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92" documentId="8_{B6337239-1A00-434D-AAD0-422EA1FEB5AE}" xr6:coauthVersionLast="47" xr6:coauthVersionMax="47" xr10:uidLastSave="{15947C08-C108-4B58-B13B-6C27318D6C14}"/>
  <bookViews>
    <workbookView xWindow="-120" yWindow="-120" windowWidth="20730" windowHeight="11040" firstSheet="2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8" i="1" l="1"/>
  <c r="T101" i="1" a="1"/>
  <c r="T101" i="1"/>
  <c r="S101" i="1" a="1"/>
  <c r="S101" i="1"/>
  <c r="N101" i="1" a="1"/>
  <c r="N101" i="1"/>
  <c r="M101" i="1" a="1"/>
  <c r="M101" i="1"/>
  <c r="T95" i="1" a="1"/>
  <c r="T95" i="1"/>
  <c r="S95" i="1" a="1"/>
  <c r="S95" i="1"/>
  <c r="N95" i="1" a="1"/>
  <c r="N95" i="1"/>
  <c r="M95" i="1" a="1"/>
  <c r="M95" i="1"/>
  <c r="N88" i="1" a="1"/>
  <c r="N88" i="1"/>
  <c r="C96" i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L95" i="16"/>
  <c r="R95" i="1"/>
  <c r="R95" i="16" s="1"/>
  <c r="D95" i="16"/>
  <c r="E95" i="16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L96" i="16"/>
  <c r="R96" i="1"/>
  <c r="R96" i="16" s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L97" i="16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L101" i="16"/>
  <c r="R101" i="1"/>
  <c r="R101" i="16" s="1"/>
  <c r="D101" i="16"/>
  <c r="E101" i="16"/>
  <c r="AI101" i="1"/>
  <c r="BB101" i="1" s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01" i="1" l="1"/>
  <c r="AJ92" i="1"/>
  <c r="AJ96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<sst xmlns="http://schemas.openxmlformats.org/spreadsheetml/2006/main" count="4961" uniqueCount="1460">
  <si>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</si>
  <si>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</si>
  <si>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</si>
  <si>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</si>
  <si>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</si>
  <si>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</si>
  <si>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</si>
  <si>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</si>
  <si>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</si>
  <si>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</si>
  <si>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</si>
  <si>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</si>
  <si>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</si>
  <si>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</si>
  <si>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</si>
  <si>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</si>
  <si>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</si>
  <si>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</si>
  <si>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</si>
  <si>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</si>
  <si>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</si>
  <si>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</si>
  <si>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</si>
  <si>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</si>
  <si>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</si>
  <si>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</si>
  <si>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</si>
  <si>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</si>
  <si>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</si>
  <si>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</si>
  <si>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</si>
  <si>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</si>
  <si>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</si>
  <si>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</si>
  <si>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</si>
  <si>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</si>
  <si>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</si>
  <si>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</si>
  <si>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</si>
  <si>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</si>
  <si>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</si>
  <si>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</si>
  <si>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</si>
  <si>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</si>
  <si>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</si>
  <si>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</si>
  <si>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</si>
  <si>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</si>
  <si>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</si>
  <si>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</si>
  <si>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</si>
  <si>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</si>
  <si>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</si>
  <si>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</si>
  <si>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</si>
  <si>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</si>
  <si>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</si>
  <si>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</si>
  <si>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</si>
  <si>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</si>
  <si>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</si>
  <si>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</si>
  <si>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</si>
  <si>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</si>
  <si>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</si>
  <si>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</si>
  <si>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</si>
  <si>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</si>
  <si>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</si>
  <si>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</si>
  <si>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</si>
  <si>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</si>
  <si>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</si>
  <si>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</si>
  <si>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</si>
  <si>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</si>
  <si>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</si>
  <si>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</si>
  <si>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</si>
  <si>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</si>
  <si>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</si>
  <si>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</si>
  <si>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</si>
  <si>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</si>
  <si>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</si>
  <si>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</si>
  <si>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</si>
  <si>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</si>
  <si>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</si>
  <si>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</si>
  <si>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</si>
  <si>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</si>
  <si>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</si>
  <si>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</si>
  <si>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</si>
  <si>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</si>
  <si>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</si>
  <si>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</si>
  <si>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</si>
  <si>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</si>
  <si>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</si>
  <si>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</si>
  <si>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</si>
  <si>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</si>
  <si>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</si>
  <si>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</si>
  <si>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</si>
  <si>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</si>
  <si>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</si>
  <si>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</si>
  <si>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</si>
  <si>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</si>
  <si>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</si>
  <si>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</si>
  <si>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</si>
  <si>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</si>
  <si>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</si>
  <si>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</si>
  <si>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</si>
  <si>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</si>
  <si>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</si>
  <si>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</si>
  <si>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</si>
  <si>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</si>
  <si>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</si>
  <si>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</si>
  <si>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</si>
  <si>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</si>
  <si>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</si>
  <si>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</si>
  <si>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</si>
  <si>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</si>
  <si>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</si>
  <si>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</si>
  <si>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</si>
  <si>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</si>
  <si>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</si>
  <si>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</si>
  <si>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</si>
  <si>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</si>
  <si>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</si>
  <si>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</si>
  <si>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</si>
  <si>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</si>
  <si>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</si>
  <si>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</si>
  <si>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</si>
  <si>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</si>
  <si>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</si>
  <si>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</si>
  <si>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</si>
  <si>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</si>
  <si>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</si>
  <si>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</si>
  <si>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</si>
  <si>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</si>
  <si>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</si>
  <si>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</si>
  <si>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</si>
  <si>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</si>
  <si>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</si>
  <si>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</si>
  <si>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</si>
  <si>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</si>
  <si>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</si>
  <si>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</si>
  <si>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</si>
  <si>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</si>
  <si>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</si>
  <si>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</si>
  <si>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</si>
  <si>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</si>
  <si>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</si>
  <si>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</si>
  <si>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</si>
  <si>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</si>
  <si>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</si>
  <si>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</si>
  <si>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</si>
  <si>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</si>
  <si>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</si>
  <si>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</si>
  <si>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</si>
  <si>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</si>
  <si>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</si>
  <si>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</si>
  <si>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</si>
  <si>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</si>
  <si>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</si>
  <si>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</si>
  <si>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</si>
  <si>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</si>
  <si>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</si>
  <si>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</si>
  <si>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</si>
  <si>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</si>
  <si>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</si>
  <si>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</si>
  <si>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</si>
  <si>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</si>
  <si>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</si>
  <si>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</si>
  <si>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</si>
  <si>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</si>
  <si>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</si>
  <si>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</si>
  <si>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</si>
  <si>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</si>
  <si>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</si>
  <si>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</si>
  <si>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</si>
  <si>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</si>
  <si>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</si>
  <si>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</si>
  <si>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</si>
  <si>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</si>
  <si>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</si>
  <si>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</si>
  <si>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</si>
  <si>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</si>
  <si>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</si>
  <si>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</si>
  <si>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</si>
  <si>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</si>
  <si>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</si>
  <si>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</si>
  <si>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</si>
  <si>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</si>
  <si>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</si>
  <si>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</si>
  <si>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</si>
  <si>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</si>
  <si>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</si>
  <si>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</si>
  <si>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</si>
  <si>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</si>
  <si>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</si>
  <si>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</si>
  <si>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</si>
  <si>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</si>
  <si>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</si>
  <si>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</si>
  <si>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</si>
  <si>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</si>
  <si>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</si>
  <si>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</si>
  <si>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</si>
  <si>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</si>
  <si>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</si>
  <si>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</si>
  <si>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</si>
  <si>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</si>
  <si>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</si>
  <si>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</si>
  <si>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</si>
  <si>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</si>
  <si>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</si>
  <si>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</si>
  <si>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</si>
  <si>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</si>
  <si>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</si>
  <si>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</si>
  <si>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</si>
  <si>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</si>
  <si>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</si>
  <si>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</si>
  <si>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</si>
  <si>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</si>
  <si>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</si>
  <si>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</si>
  <si>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</si>
  <si>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</si>
  <si>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</si>
  <si>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</si>
  <si>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</si>
  <si>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</si>
  <si>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</si>
  <si>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</si>
  <si>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</si>
  <si>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</si>
  <si>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</si>
  <si>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</si>
  <si>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</si>
  <si>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</si>
  <si>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</si>
  <si>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</si>
  <si>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</si>
  <si>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</si>
  <si>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</si>
  <si>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</si>
  <si>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</si>
  <si>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</si>
  <si>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</si>
  <si>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</si>
  <si>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</si>
  <si>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</si>
  <si>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</si>
  <si>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</si>
  <si>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</si>
  <si>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</si>
  <si>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</si>
  <si>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</si>
  <si>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</si>
  <si>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</si>
  <si>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</si>
  <si>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</si>
  <si>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</si>
  <si>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</si>
  <si>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</si>
  <si>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</si>
  <si>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</si>
  <si>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</si>
  <si>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</si>
  <si>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</si>
  <si>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</si>
  <si>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</si>
  <si>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</si>
  <si>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</si>
  <si>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</si>
  <si>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</si>
  <si>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</si>
  <si>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</si>
  <si>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</si>
  <si>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</si>
  <si>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</si>
  <si>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</si>
  <si>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</si>
  <si>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</si>
  <si>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</si>
  <si>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</si>
  <si>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</si>
  <si>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</si>
  <si>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</si>
  <si>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</si>
  <si>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</si>
  <si>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</si>
  <si>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</si>
  <si>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</si>
  <si>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</si>
  <si>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</si>
  <si>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</si>
  <si>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</si>
  <si>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</si>
  <si>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</si>
  <si>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</si>
  <si>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</si>
  <si>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</si>
  <si>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</si>
  <si>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</si>
  <si>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</si>
  <si>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</si>
  <si>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</si>
  <si>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</si>
  <si>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</si>
  <si>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</si>
  <si>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</si>
  <si>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</si>
  <si>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</si>
  <si>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</si>
  <si>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</si>
  <si>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</si>
  <si>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</si>
  <si>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</si>
  <si>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</si>
  <si>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</si>
  <si>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</si>
  <si>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</si>
  <si>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</si>
  <si>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</si>
  <si>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</si>
  <si>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</si>
  <si>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</si>
  <si>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</si>
  <si>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</si>
  <si>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</si>
  <si>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</si>
  <si>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</si>
  <si>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</si>
  <si>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</si>
  <si>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</si>
  <si>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</si>
  <si>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</si>
  <si>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</si>
  <si>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</si>
  <si>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</si>
  <si>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</si>
  <si>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</si>
  <si>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</si>
  <si>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</si>
  <si>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</si>
  <si>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</si>
  <si>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</si>
  <si>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</si>
  <si>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</si>
  <si>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</si>
  <si>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</si>
  <si>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</si>
  <si>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</si>
  <si>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</si>
  <si>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</si>
  <si>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</si>
  <si>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</si>
  <si>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</si>
  <si>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</si>
  <si>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</si>
  <si>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</si>
  <si>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</si>
  <si>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</si>
  <si>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</si>
  <si>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</si>
  <si>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</si>
  <si>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</si>
  <si>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</si>
  <si>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</si>
  <si>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</si>
  <si>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</si>
  <si>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</si>
  <si>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</si>
  <si>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</si>
  <si>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</si>
  <si>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</si>
  <si>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</si>
  <si>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</si>
  <si>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</si>
  <si>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</si>
  <si>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</si>
  <si>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</si>
  <si>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</si>
  <si>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</si>
  <si>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</si>
  <si>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</si>
  <si>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</si>
  <si>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</si>
  <si>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</si>
  <si>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</si>
  <si>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</si>
  <si>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</si>
  <si>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</si>
  <si>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</si>
  <si>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</si>
  <si>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</si>
  <si>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</si>
  <si>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</si>
  <si>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</si>
  <si>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</si>
  <si>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</si>
  <si>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</si>
  <si>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</si>
  <si>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</si>
  <si>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</si>
  <si>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</si>
  <si>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</si>
  <si>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</si>
  <si>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</si>
  <si>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</si>
  <si>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</si>
  <si>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</si>
  <si>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</si>
  <si>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</si>
  <si>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</si>
  <si>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</si>
  <si>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</si>
  <si>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</si>
  <si>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</si>
  <si>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</si>
  <si>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</si>
  <si>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</si>
  <si>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</si>
  <si>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</si>
  <si>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</si>
  <si>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</si>
  <si>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</si>
  <si>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</si>
  <si>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</si>
  <si>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</si>
  <si>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</si>
  <si>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</si>
  <si>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</si>
  <si>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</si>
  <si>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</si>
  <si>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</si>
  <si>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</si>
  <si>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</si>
  <si>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</si>
  <si>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</si>
  <si>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</si>
  <si>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</si>
  <si>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</si>
  <si>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</si>
  <si>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</si>
  <si>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</si>
  <si>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</si>
  <si>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</si>
  <si>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</si>
  <si>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</si>
  <si>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</si>
  <si>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</si>
  <si>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</si>
  <si>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</si>
  <si>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</si>
  <si>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</si>
  <si>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</si>
  <si>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</si>
  <si>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</si>
  <si>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</si>
  <si>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</si>
  <si>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</si>
  <si>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</si>
  <si>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</si>
  <si>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</si>
  <si>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</si>
  <si>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</si>
  <si>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</si>
  <si>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</si>
  <si>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</si>
  <si>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</si>
  <si>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</si>
  <si>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</si>
  <si>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</si>
  <si>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</si>
  <si>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</si>
  <si>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</si>
  <si>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</si>
  <si>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</si>
  <si>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</si>
  <si>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</si>
  <si>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</si>
  <si>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</si>
  <si>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</si>
  <si>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</si>
  <si>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</si>
  <si>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</si>
  <si>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</si>
  <si>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</si>
  <si>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</si>
  <si>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</si>
  <si>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</si>
  <si>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</si>
  <si>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</si>
  <si>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</si>
  <si>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</si>
  <si>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</si>
  <si>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</si>
  <si>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</si>
  <si>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</si>
  <si>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</si>
  <si>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</si>
  <si>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</si>
  <si>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</si>
  <si>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</si>
  <si>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</si>
  <si>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</si>
  <si>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</si>
  <si>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</si>
  <si>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</si>
  <si>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</si>
  <si>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</si>
  <si>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</si>
  <si>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</si>
  <si>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</si>
  <si>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</si>
  <si>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</si>
  <si>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</si>
  <si>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</si>
  <si>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</si>
  <si>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</si>
  <si>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</si>
  <si>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</si>
  <si>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</si>
  <si>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</si>
  <si>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</si>
  <si>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</si>
  <si>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</si>
  <si>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</si>
  <si>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</si>
  <si>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</si>
  <si>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</si>
  <si>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</si>
  <si>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</si>
  <si>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</si>
  <si>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</si>
  <si>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</si>
  <si>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</si>
  <si>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</si>
  <si>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</si>
  <si>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</si>
  <si>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</si>
  <si>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</si>
  <si>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</si>
  <si>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</si>
  <si>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</si>
  <si>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</si>
  <si>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</si>
  <si>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</si>
  <si>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</si>
  <si>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</si>
  <si>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</si>
  <si>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</si>
  <si>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</si>
  <si>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</si>
  <si>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</si>
  <si>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</si>
  <si>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</si>
  <si>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</si>
  <si>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</si>
  <si>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</si>
  <si>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</si>
  <si>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</si>
  <si>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</si>
  <si>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</si>
  <si>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</si>
  <si>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</si>
  <si>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</si>
  <si>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</si>
  <si>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</si>
  <si>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</si>
  <si>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</si>
  <si>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</si>
  <si>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</si>
  <si>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</si>
  <si>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</si>
  <si>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</si>
  <si>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</si>
  <si>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</si>
  <si>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</si>
  <si>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</si>
  <si>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</si>
  <si>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</si>
  <si>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</si>
  <si>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</si>
  <si>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</si>
  <si>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</si>
  <si>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</si>
  <si>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</si>
  <si>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</si>
  <si>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</si>
  <si>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</si>
  <si>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</si>
  <si>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</si>
  <si>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</si>
  <si>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</si>
  <si>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</si>
  <si>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</si>
  <si>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</si>
  <si>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</si>
  <si>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</si>
  <si>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</si>
  <si>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</si>
  <si>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</si>
  <si>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</si>
  <si>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</si>
  <si>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</si>
  <si>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</si>
  <si>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</si>
  <si>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</si>
  <si>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</si>
  <si>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</si>
  <si>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</si>
  <si>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</si>
  <si>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</si>
  <si>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</si>
  <si>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</si>
  <si>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</si>
  <si>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</si>
  <si>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</si>
  <si>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</si>
  <si>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</si>
  <si>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</si>
  <si>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</si>
  <si>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</si>
  <si>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</si>
  <si>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</si>
  <si>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</si>
  <si>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</si>
  <si>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</si>
  <si>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</si>
  <si>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</si>
  <si>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</si>
  <si>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</si>
  <si>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</si>
  <si>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</si>
  <si>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</si>
  <si>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</si>
  <si>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</si>
  <si>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</si>
  <si>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</si>
  <si>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</si>
  <si>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</si>
  <si>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</si>
  <si>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</si>
  <si>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</si>
  <si>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</si>
  <si>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</si>
  <si>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</si>
  <si>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</si>
  <si>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</si>
  <si>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</si>
  <si>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</si>
  <si>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</si>
  <si>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</si>
  <si>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</si>
  <si>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</si>
  <si>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</si>
  <si>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</si>
  <si>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</si>
  <si>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</si>
  <si>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</si>
  <si>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</si>
  <si>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</si>
  <si>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</si>
  <si>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</si>
  <si>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</si>
  <si>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</si>
  <si>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</si>
  <si>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</si>
  <si>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</si>
  <si>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</si>
  <si>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</si>
  <si>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</si>
  <si>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</si>
  <si>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</si>
  <si>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</si>
  <si>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</si>
  <si>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</si>
  <si>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</si>
  <si>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</si>
  <si>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</si>
  <si>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</si>
  <si>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</si>
  <si>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</si>
  <si>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</si>
  <si>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</si>
  <si>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</si>
  <si>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</si>
  <si>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</si>
  <si>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</si>
  <si>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</si>
  <si>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</si>
  <si>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</si>
  <si>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</si>
  <si>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</si>
  <si>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</si>
  <si>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</si>
  <si>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</si>
  <si>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</si>
  <si>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</si>
  <si>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</si>
  <si>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</si>
  <si>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</si>
  <si>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</si>
  <si>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</si>
  <si>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</si>
  <si>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</si>
  <si>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</si>
  <si>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</si>
  <si>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</si>
  <si>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</si>
  <si>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</si>
  <si>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</si>
  <si>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</si>
  <si>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</si>
  <si>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</si>
  <si>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</si>
  <si>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</si>
  <si>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</si>
  <si>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</si>
  <si>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</si>
  <si>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</si>
  <si>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</si>
  <si>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</si>
  <si>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</si>
  <si>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</si>
  <si>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</si>
  <si>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</si>
  <si>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</si>
  <si>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</si>
  <si>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</si>
  <si>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</si>
  <si>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</si>
  <si>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</si>
  <si>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</si>
  <si>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</si>
  <si>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</si>
  <si>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</si>
  <si>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</si>
  <si>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</si>
  <si>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</si>
  <si>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</si>
  <si>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</si>
  <si>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</si>
  <si>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</si>
  <si>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</si>
  <si>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</si>
  <si>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</si>
  <si>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</si>
  <si>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</si>
  <si>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</si>
  <si>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</si>
  <si>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</si>
  <si>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</si>
  <si>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</si>
  <si>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</si>
  <si>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</si>
  <si>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</si>
  <si>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</si>
  <si>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</si>
  <si>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</si>
  <si>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</si>
  <si>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</si>
  <si>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</si>
  <si>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</si>
  <si>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</si>
  <si>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</si>
  <si>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</si>
  <si>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</si>
  <si>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</si>
  <si>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</si>
  <si>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</si>
  <si>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</si>
  <si>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</si>
  <si>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</si>
  <si>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</si>
  <si>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</si>
  <si>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</si>
  <si>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</si>
  <si>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</si>
  <si>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</si>
  <si>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</si>
  <si>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</si>
  <si>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</si>
  <si>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</si>
  <si>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</si>
  <si>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</si>
  <si>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</si>
  <si>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</si>
  <si>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</si>
  <si>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</si>
  <si>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</si>
  <si>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</si>
  <si>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</si>
  <si>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</si>
  <si>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</si>
  <si>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</si>
  <si>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</si>
  <si>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</si>
  <si>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</si>
  <si>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</si>
  <si>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</si>
  <si>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</si>
  <si>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</si>
  <si>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</si>
  <si>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</si>
  <si>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</si>
  <si>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</si>
  <si>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</si>
  <si>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</si>
  <si>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</si>
  <si>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</si>
  <si>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</si>
  <si>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</si>
  <si>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</si>
  <si>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</si>
  <si>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</si>
  <si>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</si>
  <si>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</si>
  <si>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</si>
  <si>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</si>
  <si>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</si>
  <si>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</si>
  <si>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</si>
  <si>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</si>
  <si>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</si>
  <si>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</si>
  <si>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</si>
  <si>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</si>
  <si>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</si>
  <si>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</si>
  <si>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</si>
  <si>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</si>
  <si>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</si>
  <si>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</si>
  <si>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</si>
  <si>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</si>
  <si>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</si>
  <si>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</si>
  <si>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</si>
  <si>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</si>
  <si>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</si>
  <si>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</si>
  <si>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</si>
  <si>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</si>
  <si>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</si>
  <si>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</si>
  <si>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</si>
  <si>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</si>
  <si>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</si>
  <si>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</si>
  <si>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</si>
  <si>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</si>
  <si>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</si>
  <si>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</si>
  <si>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</si>
  <si>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</si>
  <si>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</si>
  <si>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</si>
  <si>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</si>
  <si>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</si>
  <si>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</si>
  <si>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</si>
  <si>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</si>
  <si>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</si>
  <si>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</si>
  <si>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</si>
  <si>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</si>
  <si>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</si>
  <si>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</si>
  <si>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</si>
  <si>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</si>
  <si>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</si>
  <si>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</si>
  <si>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</si>
  <si>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</si>
  <si>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</si>
  <si>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</si>
  <si>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</si>
  <si>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</si>
  <si>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</si>
  <si>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</si>
  <si>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</si>
  <si>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</si>
  <si>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</si>
  <si>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</si>
  <si>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</si>
  <si>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</si>
  <si>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</si>
  <si>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</si>
  <si>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</si>
  <si>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</si>
  <si>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</si>
  <si>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</si>
  <si>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</si>
  <si>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</si>
  <si>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</si>
  <si>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</si>
  <si>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</si>
  <si>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</si>
  <si>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</si>
  <si>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</si>
  <si>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</si>
  <si>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</si>
  <si>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</si>
  <si>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</si>
  <si>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</si>
  <si>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</si>
  <si>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</si>
  <si>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</si>
  <si>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</si>
  <si>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</si>
  <si>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</si>
  <si>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</si>
  <si>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</si>
  <si>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</si>
  <si>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</si>
  <si>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</si>
  <si>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</si>
  <si>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</si>
  <si>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</si>
  <si>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</si>
  <si>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</si>
  <si>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</si>
  <si>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</si>
  <si>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</si>
  <si>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</si>
  <si>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</si>
  <si>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</si>
  <si>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</si>
  <si>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</si>
  <si>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</si>
  <si>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</si>
  <si>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</si>
  <si>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</si>
  <si>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</si>
  <si>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</si>
  <si>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</si>
  <si>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</si>
  <si>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</si>
  <si>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</si>
  <si>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</si>
  <si>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</si>
  <si>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</si>
  <si>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</si>
  <si>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</si>
  <si>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</si>
  <si>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</si>
  <si>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</si>
  <si>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</si>
  <si>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</si>
  <si>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</si>
  <si>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</si>
  <si>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</si>
  <si>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</si>
  <si>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</si>
  <si>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</si>
  <si>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</si>
  <si>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</si>
  <si>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</si>
  <si>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</si>
  <si>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</si>
  <si>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</si>
  <si>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</si>
  <si>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</si>
  <si>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</si>
  <si>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</si>
  <si>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</si>
  <si>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</si>
  <si>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</si>
  <si>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</si>
  <si>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</si>
  <si>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</si>
  <si>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</si>
  <si>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</si>
  <si>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</si>
  <si>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</si>
  <si>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</si>
  <si>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</si>
  <si>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</si>
  <si>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</si>
  <si>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</si>
  <si>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</si>
  <si>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</si>
  <si>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</si>
  <si>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</si>
  <si>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</si>
  <si>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</si>
  <si>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</si>
  <si>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</si>
  <si>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</si>
  <si>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</si>
  <si>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</si>
  <si>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</si>
  <si>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</si>
  <si>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</si>
  <si>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</si>
  <si>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</si>
  <si>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</si>
  <si>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</si>
  <si>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</si>
  <si>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</si>
  <si>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</si>
  <si>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</si>
  <si>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</si>
  <si>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</si>
  <si>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</si>
  <si>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</si>
  <si>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</si>
  <si>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</si>
  <si>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</si>
  <si>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</si>
  <si>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</si>
  <si>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</si>
  <si>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</si>
  <si>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</si>
  <si>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</si>
  <si>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</si>
  <si>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</si>
  <si>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</si>
  <si>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</si>
  <si>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</si>
  <si>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</si>
  <si>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</si>
  <si>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</si>
  <si>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</si>
  <si>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</si>
  <si>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</si>
  <si>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</si>
  <si>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</si>
  <si>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</si>
  <si>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</si>
  <si>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</si>
  <si>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</si>
  <si>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</si>
  <si>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</si>
  <si>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</si>
  <si>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</si>
  <si>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</si>
  <si>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</si>
  <si>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</si>
  <si>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</si>
  <si>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</si>
  <si>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</si>
  <si>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</si>
  <si>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</si>
  <si>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</si>
  <si>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</si>
  <si>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</si>
  <si>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</si>
  <si>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</si>
  <si>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</si>
  <si>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</si>
  <si>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</si>
  <si>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</si>
  <si>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</si>
  <si>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</si>
  <si>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</si>
  <si>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</si>
  <si>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</si>
  <si>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</si>
  <si>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</si>
  <si>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</si>
  <si>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</si>
  <si>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</si>
  <si>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</si>
  <si>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</si>
  <si>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</si>
  <si>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</si>
  <si>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</si>
  <si>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</si>
  <si>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</si>
  <si>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</si>
  <si>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</si>
  <si>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</si>
  <si>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</si>
  <si>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</si>
  <si>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</si>
  <si>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</si>
  <si>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</si>
  <si>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</si>
  <si>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</si>
  <si>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</si>
  <si>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</si>
  <si>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</si>
  <si>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</si>
  <si>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</si>
  <si>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</si>
  <si>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</si>
  <si>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</si>
  <si>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</si>
  <si>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</si>
  <si>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</si>
  <si>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</si>
  <si>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</si>
  <si>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</si>
  <si>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</si>
  <si>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</si>
  <si>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</si>
  <si>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</si>
  <si>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</si>
  <si>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</si>
  <si>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</si>
  <si>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</si>
  <si>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</si>
  <si>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</si>
  <si>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</si>
  <si>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</si>
  <si>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</si>
  <si>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</si>
  <si>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</si>
  <si>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</si>
  <si>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</si>
  <si>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</si>
  <si>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</si>
  <si>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</si>
  <si>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</si>
  <si>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</si>
  <si>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</si>
  <si>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</si>
  <si>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</si>
  <si>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</si>
  <si>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</si>
  <si>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</si>
  <si>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</si>
  <si>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</si>
  <si>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</si>
  <si>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</si>
  <si>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</si>
  <si>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</si>
  <si>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</si>
  <si>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</si>
  <si>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</si>
  <si>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</si>
  <si>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</si>
  <si>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</si>
  <si>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</si>
  <si>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</si>
  <si>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</si>
  <si>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</si>
  <si>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</si>
  <si>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</si>
  <si>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</si>
  <si>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</si>
  <si>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</si>
  <si>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</si>
  <si>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</si>
  <si>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</si>
  <si>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</si>
  <si>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</si>
  <si>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</si>
  <si>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</si>
  <si>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</si>
  <si>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</si>
  <si>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</si>
  <si>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</si>
  <si>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</si>
  <si>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</si>
  <si>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</si>
  <si>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</si>
  <si>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</si>
  <si>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</si>
  <si>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</si>
  <si>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</si>
  <si>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</si>
  <si>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</si>
  <si>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</si>
  <si>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</si>
  <si>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</si>
  <si>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</si>
  <si>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</si>
  <si>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</si>
  <si>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</si>
  <si>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</si>
  <si>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</si>
  <si>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</si>
  <si>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</si>
  <si>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</si>
  <si>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</si>
  <si>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</si>
  <si>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</si>
  <si>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</si>
  <si>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</si>
  <si>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</si>
  <si>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</si>
  <si>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</si>
  <si>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</si>
  <si>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</si>
  <si>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</si>
  <si>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</si>
  <si>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</si>
  <si>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</si>
  <si>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</si>
  <si>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</si>
  <si>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</si>
  <si>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</si>
  <si>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</si>
  <si>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</si>
  <si>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</si>
  <si>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</si>
  <si>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</si>
  <si>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</si>
  <si>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</si>
  <si>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</si>
  <si>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</si>
  <si>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</si>
  <si>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</si>
  <si>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</si>
  <si>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</si>
  <si>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</si>
  <si>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</si>
  <si>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</si>
  <si>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</si>
  <si>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</si>
  <si>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</si>
  <si>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</si>
  <si>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</si>
  <si>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</si>
  <si>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</si>
  <si>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</si>
  <si>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</si>
  <si>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</si>
  <si>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</si>
  <si>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</si>
  <si>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</si>
  <si>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</si>
  <si>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</si>
  <si>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</si>
  <si>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</si>
  <si>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</si>
  <si>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</si>
  <si>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</si>
  <si>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</si>
  <si>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</si>
  <si>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</si>
  <si>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</si>
  <si>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</si>
  <si>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</si>
  <si>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</si>
  <si>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</si>
  <si>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</si>
  <si>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</si>
  <si>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</si>
  <si>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</si>
  <si>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</si>
  <si>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</si>
  <si>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</si>
  <si>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</si>
  <si>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</si>
  <si>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</si>
  <si>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</si>
  <si>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</si>
  <si>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</si>
  <si>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</si>
  <si>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</si>
  <si>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</si>
  <si>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</si>
  <si>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</si>
  <si>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</si>
  <si>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</si>
  <si>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</si>
  <si>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</si>
  <si>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</si>
  <si>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</si>
  <si>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</si>
  <si>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</si>
  <si>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</si>
  <si>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</si>
  <si>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</si>
  <si>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</si>
  <si>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</si>
  <si>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</si>
  <si>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</si>
  <si>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</si>
  <si>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</si>
  <si>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</si>
  <si>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</si>
  <si>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</si>
  <si>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</si>
  <si>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</si>
  <si>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</si>
  <si>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</si>
  <si>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</si>
  <si>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</si>
  <si>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</si>
  <si>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</si>
  <si>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</si>
  <si>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</si>
  <si>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</si>
  <si>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</si>
  <si>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</si>
  <si>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</si>
  <si>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</si>
  <si>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</si>
  <si>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</si>
  <si>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</si>
  <si>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</si>
  <si>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</si>
  <si>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</si>
  <si>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</si>
  <si>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</si>
  <si>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</si>
  <si>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</si>
  <si>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</si>
  <si>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</si>
  <si>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</si>
  <si>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</si>
  <si>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</si>
  <si>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</si>
  <si>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</si>
  <si>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</si>
  <si>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</si>
  <si>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</si>
  <si>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</si>
  <si>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</si>
  <si>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</si>
  <si>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</si>
  <si>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</si>
  <si>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</si>
  <si>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</si>
  <si>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</si>
  <si>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</si>
  <si>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</si>
  <si>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</si>
  <si>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</si>
  <si>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</si>
  <si>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</si>
  <si>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</si>
  <si>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</si>
  <si>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</si>
  <si>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</si>
  <si>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</si>
  <si>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</si>
  <si>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14:49h - Sem temperatura para realizar a segunda sold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</si>
  <si>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</si>
  <si>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</si>
  <si>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</si>
  <si>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</si>
  <si>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sem oportunidade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</si>
  <si>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</si>
  <si>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</si>
  <si>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</si>
  <si>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</si>
  <si>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</si>
  <si>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</si>
  <si>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</si>
  <si>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</si>
  <si>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</si>
  <si>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</si>
  <si>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</si>
  <si>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</si>
  <si>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</si>
  <si>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</si>
  <si>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TIQNORTE</t>
  </si>
  <si>
    <t>Substituição de jacaré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</si>
  <si>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</si>
  <si>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</si>
  <si>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</si>
  <si>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>TINPAT2</t>
  </si>
  <si>
    <t>Herbert</t>
  </si>
  <si>
    <t>Descarga de 3 barras km 109</t>
  </si>
  <si>
    <t>FErnanda</t>
  </si>
  <si>
    <t>Inspeção RIV - vma 45 km/h - inspeção nos pátios a 30 km/h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</si>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</sst>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AK1" activePane="topRight" state="frozen"/>
      <selection pane="topRight" activeCell="AR68" sqref="AR6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0.61736111111111114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4.6527777777777835E-2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0.55833333333333401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>PCMVIAProgramação</v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/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0.41666666666666669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/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1399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1399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1400</v>
      </c>
      <c r="X86" s="152" t="s">
        <v>969</v>
      </c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1401</v>
      </c>
      <c r="X88" s="152" t="s">
        <v>969</v>
      </c>
      <c r="Y88" s="129"/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1402</v>
      </c>
      <c r="X91" s="152" t="s">
        <v>969</v>
      </c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1403</v>
      </c>
      <c r="X92" s="152" t="s">
        <v>969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/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V4846087</v>
      </c>
      <c r="B95" s="133">
        <v>46087</v>
      </c>
      <c r="C95" s="7">
        <f>IF(BS_CONTROLE[[#This Row],[DATA]]="","",WEEKNUM(BS_CONTROLE[[#This Row],[DATA]]))</f>
        <v>10</v>
      </c>
      <c r="D95" s="45" t="s">
        <v>183</v>
      </c>
      <c r="E95" s="185">
        <v>49</v>
      </c>
      <c r="F95" s="134" t="s">
        <v>142</v>
      </c>
      <c r="G95" s="8" t="str">
        <f>IF(D95="","*",VLOOKUP(F95,BS_ATIVIDADE[#All],3,FALSE))</f>
        <v>MODERNIZAÇÃO</v>
      </c>
      <c r="H95" s="135" t="s">
        <v>444</v>
      </c>
      <c r="I95" s="135" t="s">
        <v>444</v>
      </c>
      <c r="J95" s="151">
        <v>74</v>
      </c>
      <c r="K95" s="151">
        <v>237.47200000000001</v>
      </c>
      <c r="L95" s="71">
        <v>242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5" s="135">
        <v>0.375</v>
      </c>
      <c r="P95" s="135">
        <v>0.16666666666666666</v>
      </c>
      <c r="Q95" s="71">
        <v>1500</v>
      </c>
      <c r="R95" s="9" t="str">
        <f>IFERROR(_xlfn.XLOOKUP(F95, BS_ATIVIDADE[ATIVIDADE],BS_ATIVIDADE[UNIDADE] ), "*")</f>
        <v>M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1273</v>
      </c>
      <c r="W95" s="135" t="s">
        <v>1359</v>
      </c>
      <c r="X95" s="152" t="s">
        <v>964</v>
      </c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MODERNIZAÇÃO - SOCADORA</v>
      </c>
      <c r="AJ95" s="8" t="str">
        <f>IF(D95="","*",VLOOKUP(AI95,BS_ATIVIDADE[#Data],3,FALSE))</f>
        <v>MODERNIZAÇÃO</v>
      </c>
      <c r="AK95" s="175" t="str">
        <f>IF(BS_CONTROLE[[#This Row],[Local - Partida]]=0, "-", BS_CONTROLE[[#This Row],[Local - Partida]])</f>
        <v>TVI2</v>
      </c>
      <c r="AL95" s="175" t="str">
        <f>IF(BS_CONTROLE[[#This Row],[Local - Encerramento]]=0, "-", BS_CONTROLE[[#This Row],[Local - Encerramento]])</f>
        <v>TVI2</v>
      </c>
      <c r="AM95" s="175" t="str">
        <f>IF(BS_CONTROLE[[#This Row],[Entre - Estações]]=0, "-", BS_CONTROLE[[#This Row],[Entre - Estações]])</f>
        <v>TVI-TJA</v>
      </c>
      <c r="AN95" s="175" t="str">
        <f>IF(BS_CONTROLE[[#This Row],[SB]]=0, "-", BS_CONTROLE[[#This Row],[SB]])</f>
        <v>TVI239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237.47200000000001</v>
      </c>
      <c r="AQ95" s="177">
        <f>IF(BS_CONTROLE[[#This Row],[KM - Fim]]=0, "-", BS_CONTROLE[[#This Row],[KM - Fim]])</f>
        <v>242</v>
      </c>
      <c r="AR95" s="32"/>
      <c r="AS95" s="32"/>
      <c r="AT95" s="32"/>
      <c r="AU95" s="32"/>
      <c r="AV95" s="32"/>
      <c r="AW95" s="32"/>
      <c r="AX95" s="32"/>
      <c r="AY95" s="184">
        <f>IF(D95="","*",IFERROR(IF(ISODD(COUNT(AS95:AX95)),"ERRO",SUM((AT95-AS95),(AV95-AU95),(AX95-AW95))),"ERRO"))</f>
        <v>0</v>
      </c>
      <c r="AZ95" s="11"/>
      <c r="BA95" s="60"/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Augusto/ Efraim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Produção e Intervalo</v>
      </c>
      <c r="BR95" s="15">
        <f t="shared" si="10"/>
        <v>0</v>
      </c>
      <c r="BS95" s="15">
        <f t="shared" si="11"/>
        <v>0</v>
      </c>
      <c r="BT95" s="157" t="str">
        <f t="shared" si="7"/>
        <v/>
      </c>
    </row>
    <row r="96" spans="1:72" ht="14.45">
      <c r="A96" s="44" t="str">
        <f t="shared" ref="A96" si="12">D96&amp;B96</f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/>
      <c r="M96" s="149"/>
      <c r="N96" s="149"/>
      <c r="O96" s="135"/>
      <c r="P96" s="135"/>
      <c r="Q96" s="71">
        <v>3</v>
      </c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 t="s">
        <v>1367</v>
      </c>
      <c r="W96" s="135" t="s">
        <v>1281</v>
      </c>
      <c r="X96" s="152" t="s">
        <v>969</v>
      </c>
      <c r="Y96" s="129"/>
      <c r="Z96" s="129"/>
      <c r="AA96" s="71">
        <v>1</v>
      </c>
      <c r="AB96" s="59" t="s">
        <v>961</v>
      </c>
      <c r="AC96" s="59"/>
      <c r="AD96" s="135">
        <v>0.29166666666666669</v>
      </c>
      <c r="AE96" s="71">
        <v>6252</v>
      </c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Paulo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>
      <c r="A97" s="44" t="str">
        <f t="shared" si="8"/>
        <v>E4646087</v>
      </c>
      <c r="B97" s="133">
        <v>46087</v>
      </c>
      <c r="C97" s="7">
        <f>IF(BS_CONTROLE[[#This Row],[DATA]]="","",WEEKNUM(BS_CONTROLE[[#This Row],[DATA]]))</f>
        <v>10</v>
      </c>
      <c r="D97" s="45" t="s">
        <v>158</v>
      </c>
      <c r="E97" s="185">
        <v>91</v>
      </c>
      <c r="F97" s="134" t="s">
        <v>78</v>
      </c>
      <c r="G97" s="8" t="str">
        <f>IF(D97="","*",VLOOKUP(F97,BS_ATIVIDADE[#All],3,FALSE))</f>
        <v>TRILHEIRO - DESCARGA</v>
      </c>
      <c r="H97" s="135" t="s">
        <v>418</v>
      </c>
      <c r="I97" s="135" t="s">
        <v>418</v>
      </c>
      <c r="J97" s="151">
        <v>74</v>
      </c>
      <c r="K97" s="151">
        <v>109</v>
      </c>
      <c r="L97" s="71">
        <v>110.137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149" t="s">
        <v>1404</v>
      </c>
      <c r="O97" s="135">
        <v>0.45833333333333331</v>
      </c>
      <c r="P97" s="135">
        <v>0.125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1405</v>
      </c>
      <c r="W97" s="135" t="s">
        <v>1406</v>
      </c>
      <c r="X97" s="152" t="s">
        <v>969</v>
      </c>
      <c r="Y97" s="129"/>
      <c r="Z97" s="129"/>
      <c r="AA97" s="71">
        <v>1</v>
      </c>
      <c r="AB97" s="59" t="s">
        <v>966</v>
      </c>
      <c r="AC97" s="59"/>
      <c r="AD97" s="135">
        <v>0.33333333333333331</v>
      </c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TIN</v>
      </c>
      <c r="AM97" s="175" t="str">
        <f>IF(BS_CONTROLE[[#This Row],[Entre - Estações]]=0, "-", BS_CONTROLE[[#This Row],[Entre - Estações]])</f>
        <v>TIN</v>
      </c>
      <c r="AN97" s="175" t="str">
        <f>IF(BS_CONTROLE[[#This Row],[SB]]=0, "-", BS_CONTROLE[[#This Row],[SB]])</f>
        <v>TINPAT2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109</v>
      </c>
      <c r="AQ97" s="177">
        <f>IF(BS_CONTROLE[[#This Row],[KM - Fim]]=0, "-", BS_CONTROLE[[#This Row],[KM - Fim]])</f>
        <v>110.137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Herbert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V8046087</v>
      </c>
      <c r="B98" s="133">
        <v>46087</v>
      </c>
      <c r="C98" s="7">
        <f>IF(BS_CONTROLE[[#This Row],[DATA]]="","",WEEKNUM(BS_CONTROLE[[#This Row],[DATA]]))</f>
        <v>10</v>
      </c>
      <c r="D98" s="45" t="s">
        <v>209</v>
      </c>
      <c r="E98" s="185">
        <v>92</v>
      </c>
      <c r="F98" s="134" t="s">
        <v>213</v>
      </c>
      <c r="G98" s="8" t="str">
        <f>IF(D98="","*",VLOOKUP(F98,BS_ATIVIDADE[#All],3,FALSE))</f>
        <v>OUTROS</v>
      </c>
      <c r="H98" s="135" t="s">
        <v>396</v>
      </c>
      <c r="I98" s="135" t="s">
        <v>442</v>
      </c>
      <c r="J98" s="151">
        <v>74</v>
      </c>
      <c r="K98" s="151">
        <v>31.5</v>
      </c>
      <c r="L98" s="71">
        <v>226.29599999999999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8" s="135">
        <v>0.45833333333333331</v>
      </c>
      <c r="P98" s="135">
        <v>4.1666666666666664E-2</v>
      </c>
      <c r="Q98" s="71">
        <v>1</v>
      </c>
      <c r="R98" s="9" t="str">
        <f>IFERROR(_xlfn.XLOOKUP(F98, BS_ATIVIDADE[ATIVIDADE],BS_ATIVIDADE[UNIDADE] ), "*")</f>
        <v>BINÁRIO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1407</v>
      </c>
      <c r="W98" s="135" t="s">
        <v>1408</v>
      </c>
      <c r="X98" s="152" t="s">
        <v>969</v>
      </c>
      <c r="Y98" s="129"/>
      <c r="Z98" s="129"/>
      <c r="AA98" s="71">
        <v>1</v>
      </c>
      <c r="AB98" s="59" t="s">
        <v>961</v>
      </c>
      <c r="AC98" s="59"/>
      <c r="AD98" s="135">
        <v>0.29166666666666669</v>
      </c>
      <c r="AE98" s="71">
        <v>7684</v>
      </c>
      <c r="AF98" s="71"/>
      <c r="AG98" s="71"/>
      <c r="AH98" s="42"/>
      <c r="AI98" s="119" t="str">
        <f>IF(BS_CONTROLE[[#This Row],[Atividade]]=0, "-", BS_CONTROLE[[#This Row],[Atividade]])</f>
        <v>INSPEÇÃO RIV</v>
      </c>
      <c r="AJ98" s="8" t="str">
        <f>IF(D98="","*",VLOOKUP(AI98,BS_ATIVIDADE[#Data],3,FALSE))</f>
        <v>OUTROS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TVI</v>
      </c>
      <c r="AM98" s="175" t="str">
        <f>IF(BS_CONTROLE[[#This Row],[Entre - Estações]]=0, "-", BS_CONTROLE[[#This Row],[Entre - Estações]])</f>
        <v>TAP-TLG</v>
      </c>
      <c r="AN98" s="175" t="str">
        <f>IF(BS_CONTROLE[[#This Row],[SB]]=0, "-", BS_CONTROLE[[#This Row],[SB]])</f>
        <v>TAPK35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31.5</v>
      </c>
      <c r="AQ98" s="177">
        <f>IF(BS_CONTROLE[[#This Row],[KM - Fim]]=0, "-", BS_CONTROLE[[#This Row],[KM - Fim]])</f>
        <v>226.29599999999999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BINÁRIO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FErnanda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>E1846087</v>
      </c>
      <c r="B101" s="133">
        <v>46087</v>
      </c>
      <c r="C101" s="7">
        <f>IF(BS_CONTROLE[[#This Row],[DATA]]="","",WEEKNUM(BS_CONTROLE[[#This Row],[DATA]]))</f>
        <v>10</v>
      </c>
      <c r="D101" s="45" t="s">
        <v>1279</v>
      </c>
      <c r="E101" s="185">
        <v>56</v>
      </c>
      <c r="F101" s="134" t="s">
        <v>13</v>
      </c>
      <c r="G101" s="8" t="str">
        <f>IF(D101="","*",VLOOKUP(F101,BS_ATIVIDADE[#All],3,FALSE))</f>
        <v>CAMINHÂO - SOLDA</v>
      </c>
      <c r="H101" s="135" t="s">
        <v>647</v>
      </c>
      <c r="I101" s="135" t="s">
        <v>647</v>
      </c>
      <c r="J101" s="151">
        <v>78</v>
      </c>
      <c r="K101" s="151">
        <v>177.376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1" s="135">
        <v>0.35416666666666669</v>
      </c>
      <c r="P101" s="135">
        <v>0.125</v>
      </c>
      <c r="Q101" s="71">
        <v>3</v>
      </c>
      <c r="R101" s="9" t="str">
        <f>IFERROR(_xlfn.XLOOKUP(F101, BS_ATIVIDADE[ATIVIDADE],BS_ATIVIDADE[UNIDADE] ), "*")</f>
        <v>Nº DE SOLDA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199" t="str">
        <f>IFERROR(_xlfn.XLOOKUP(J101, BASE_MAPA!$B$2:$B$408, BASE_MAPA!$G$2:$G$408), "ERRO")</f>
        <v>ITIRAPINA - BAURU</v>
      </c>
      <c r="V101" s="143" t="s">
        <v>1367</v>
      </c>
      <c r="W101" s="135" t="s">
        <v>1281</v>
      </c>
      <c r="X101" s="152" t="s">
        <v>969</v>
      </c>
      <c r="Y101" s="129"/>
      <c r="Z101" s="129"/>
      <c r="AA101" s="71">
        <v>1</v>
      </c>
      <c r="AB101" s="59" t="s">
        <v>961</v>
      </c>
      <c r="AC101" s="59"/>
      <c r="AD101" s="135">
        <v>0.29166666666666669</v>
      </c>
      <c r="AE101" s="71">
        <v>6252</v>
      </c>
      <c r="AF101" s="71"/>
      <c r="AG101" s="71"/>
      <c r="AH101" s="42"/>
      <c r="AI101" s="119" t="str">
        <f>IF(BS_CONTROLE[[#This Row],[Atividade]]=0, "-", BS_CONTROLE[[#This Row],[Atividade]])</f>
        <v>CAMINHÃO DE SOLDA</v>
      </c>
      <c r="AJ101" s="8" t="str">
        <f>IF(D101="","*",VLOOKUP(AI101,BS_ATIVIDADE[#Data],3,FALSE))</f>
        <v>CAMINHÂO - SOLDA</v>
      </c>
      <c r="AK101" s="175" t="str">
        <f>IF(BS_CONTROLE[[#This Row],[Local - Partida]]=0, "-", BS_CONTROLE[[#This Row],[Local - Partida]])</f>
        <v>ZIQZQY</v>
      </c>
      <c r="AL101" s="175" t="str">
        <f>IF(BS_CONTROLE[[#This Row],[Local - Encerramento]]=0, "-", BS_CONTROLE[[#This Row],[Local - Encerramento]])</f>
        <v>ZIQZQY</v>
      </c>
      <c r="AM101" s="175" t="str">
        <f>IF(BS_CONTROLE[[#This Row],[Entre - Estações]]=0, "-", BS_CONTROLE[[#This Row],[Entre - Estações]])</f>
        <v>ZIQ-ZQY</v>
      </c>
      <c r="AN101" s="175" t="str">
        <f>IF(BS_CONTROLE[[#This Row],[SB]]=0, "-", BS_CONTROLE[[#This Row],[SB]])</f>
        <v>ZIQZQY</v>
      </c>
      <c r="AO101" s="176">
        <f>IF(BS_CONTROLE[[#This Row],[SUB]]=0, "-", BS_CONTROLE[[#This Row],[SUB]])</f>
        <v>78</v>
      </c>
      <c r="AP101" s="177">
        <f>IF(BS_CONTROLE[[#This Row],[KM - Inicio]]=0, "-", BS_CONTROLE[[#This Row],[KM - Inicio]])</f>
        <v>177.376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Nº DE SOLDA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200" t="str">
        <f>IFERROR(_xlfn.XLOOKUP(AO101, BASE_MAPA!$B$2:$B$408, BASE_MAPA!$G$2:$G$408), "ERRO")</f>
        <v>ITIRAPINA - BAURU</v>
      </c>
      <c r="BF101" s="178" t="str">
        <f>IF(BS_CONTROLE[[#This Row],[Responsavel pelo boletim]]=0, "-", BS_CONTROLE[[#This Row],[Responsavel pelo boletim]])</f>
        <v>Paulo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1409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9" operator="equal">
      <formula>"ERRO"</formula>
    </cfRule>
  </conditionalFormatting>
  <conditionalFormatting sqref="X4 Y1:Z801">
    <cfRule type="cellIs" dxfId="120" priority="18488" operator="equal">
      <formula>"OPORTUNIDADE"</formula>
    </cfRule>
  </conditionalFormatting>
  <conditionalFormatting sqref="AZ6:AZ801">
    <cfRule type="expression" dxfId="119" priority="18483">
      <formula>$BU6=1</formula>
    </cfRule>
  </conditionalFormatting>
  <conditionalFormatting sqref="BQ6:BQ801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1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1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4:Y1048576">
    <cfRule type="cellIs" dxfId="108" priority="18305" operator="equal">
      <formula>"OPORTUNIDADE"</formula>
    </cfRule>
  </conditionalFormatting>
  <conditionalFormatting sqref="Y1047864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1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1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1 BN78:BO78" xr:uid="{0374E4CD-E1C2-4373-A381-0828C9AFF6FF}">
      <formula1>IMPCAUSADOR</formula1>
    </dataValidation>
    <dataValidation type="list" allowBlank="1" showInputMessage="1" showErrorMessage="1" sqref="BN6:BN14 BN16:BN54 BN56:BN73 BN75:BN77 BN79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1410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1411</v>
      </c>
      <c r="E3" s="186" t="s">
        <v>1412</v>
      </c>
      <c r="F3" s="186" t="s">
        <v>1413</v>
      </c>
      <c r="G3" s="186" t="s">
        <v>1414</v>
      </c>
      <c r="H3" s="186" t="s">
        <v>1415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1417</v>
      </c>
      <c r="D10" s="187">
        <v>9049</v>
      </c>
      <c r="E10" s="188">
        <v>46044</v>
      </c>
      <c r="F10" s="187" t="s">
        <v>1418</v>
      </c>
      <c r="G10" s="187" t="s">
        <v>1419</v>
      </c>
      <c r="H10" s="187"/>
    </row>
    <row r="11" spans="3:8">
      <c r="C11" s="187" t="s">
        <v>1417</v>
      </c>
      <c r="D11" s="187">
        <v>9044</v>
      </c>
      <c r="E11" s="188">
        <v>46044</v>
      </c>
      <c r="F11" s="187" t="s">
        <v>1420</v>
      </c>
      <c r="G11" s="187" t="s">
        <v>1421</v>
      </c>
      <c r="H11" s="187"/>
    </row>
    <row r="12" spans="3:8">
      <c r="C12" s="187" t="s">
        <v>1417</v>
      </c>
      <c r="D12" s="187">
        <v>762</v>
      </c>
      <c r="E12" s="188">
        <v>46044</v>
      </c>
      <c r="F12" s="187" t="s">
        <v>1422</v>
      </c>
      <c r="G12" s="187" t="s">
        <v>1421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1423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1424</v>
      </c>
      <c r="C4" s="191" t="s">
        <v>1425</v>
      </c>
      <c r="D4" s="191" t="s">
        <v>1426</v>
      </c>
      <c r="E4" s="191" t="s">
        <v>1427</v>
      </c>
      <c r="F4" s="191" t="s">
        <v>368</v>
      </c>
      <c r="G4" s="191" t="s">
        <v>1428</v>
      </c>
    </row>
    <row r="5" spans="2:7">
      <c r="B5" s="192" t="s">
        <v>1429</v>
      </c>
      <c r="C5" s="192">
        <v>309525</v>
      </c>
      <c r="D5" s="192" t="s">
        <v>1430</v>
      </c>
      <c r="E5" s="192" t="s">
        <v>249</v>
      </c>
      <c r="F5" s="192" t="s">
        <v>1431</v>
      </c>
      <c r="G5" s="193">
        <v>46296</v>
      </c>
    </row>
    <row r="6" spans="2:7">
      <c r="B6" s="192" t="s">
        <v>1432</v>
      </c>
      <c r="C6" s="192">
        <v>257410</v>
      </c>
      <c r="D6" s="192" t="s">
        <v>1433</v>
      </c>
      <c r="E6" s="192" t="s">
        <v>249</v>
      </c>
      <c r="F6" s="192" t="s">
        <v>1431</v>
      </c>
      <c r="G6" s="193"/>
    </row>
    <row r="7" spans="2:7">
      <c r="B7" s="192" t="s">
        <v>1259</v>
      </c>
      <c r="C7" s="192">
        <v>256875</v>
      </c>
      <c r="D7" s="192" t="s">
        <v>1434</v>
      </c>
      <c r="E7" s="192" t="s">
        <v>249</v>
      </c>
      <c r="F7" s="192" t="s">
        <v>1431</v>
      </c>
      <c r="G7" s="193">
        <v>46296</v>
      </c>
    </row>
    <row r="8" spans="2:7">
      <c r="B8" s="192" t="s">
        <v>1435</v>
      </c>
      <c r="C8" s="192">
        <v>257278</v>
      </c>
      <c r="D8" s="192" t="s">
        <v>1436</v>
      </c>
      <c r="E8" s="192" t="s">
        <v>240</v>
      </c>
      <c r="F8" s="192" t="s">
        <v>1437</v>
      </c>
      <c r="G8" s="193">
        <v>46235</v>
      </c>
    </row>
    <row r="9" spans="2:7">
      <c r="B9" s="192" t="s">
        <v>1438</v>
      </c>
      <c r="C9" s="192">
        <v>257033</v>
      </c>
      <c r="D9" s="192" t="s">
        <v>1439</v>
      </c>
      <c r="E9" s="192" t="s">
        <v>240</v>
      </c>
      <c r="F9" s="192" t="s">
        <v>385</v>
      </c>
      <c r="G9" s="192" t="s">
        <v>1440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1441</v>
      </c>
      <c r="C2" s="83" t="s">
        <v>1160</v>
      </c>
      <c r="D2" s="83" t="s">
        <v>1162</v>
      </c>
      <c r="E2" s="83" t="s">
        <v>1442</v>
      </c>
      <c r="F2" s="83" t="s">
        <v>1443</v>
      </c>
      <c r="G2" s="83" t="s">
        <v>1444</v>
      </c>
      <c r="H2" s="83" t="s">
        <v>1445</v>
      </c>
      <c r="I2" s="83" t="s">
        <v>1446</v>
      </c>
      <c r="J2" s="83" t="s">
        <v>1447</v>
      </c>
      <c r="K2" s="109" t="s">
        <v>1448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IF(FN_MC!Y95="","*",FN_MC!Y95)</f>
        <v>*</v>
      </c>
      <c r="C91" s="101">
        <f>IF(FN_MC!B95="","*",FN_MC!B95)</f>
        <v>46087</v>
      </c>
      <c r="D91" s="101" t="str">
        <f>IF(FN_MC!D95="","*",FN_MC!D95)</f>
        <v>V48</v>
      </c>
      <c r="E91" s="101" t="str">
        <f>IF(FN_MC!H95="","*",FN_MC!H95)</f>
        <v>TVI2</v>
      </c>
      <c r="F91" s="114" t="str">
        <f>IF(FN_MC!M95="","*",FN_MC!M95)</f>
        <v>TVI-TJA</v>
      </c>
      <c r="G91" s="101" t="str">
        <f>IF(FN_MC!I95="","*",FN_MC!I95)</f>
        <v>TVI2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*</v>
      </c>
      <c r="G92" s="101" t="str">
        <f>IF(FN_MC!I96="","*",FN_MC!I96)</f>
        <v>*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>
        <f>IF(FN_MC!B97="","*",FN_MC!B97)</f>
        <v>46087</v>
      </c>
      <c r="D93" s="101" t="str">
        <f>IF(FN_MC!D97="","*",FN_MC!D97)</f>
        <v>E46</v>
      </c>
      <c r="E93" s="101" t="str">
        <f>IF(FN_MC!H97="","*",FN_MC!H97)</f>
        <v>TIN</v>
      </c>
      <c r="F93" s="114" t="str">
        <f>IF(FN_MC!M97="","*",FN_MC!M97)</f>
        <v>TIN</v>
      </c>
      <c r="G93" s="101" t="str">
        <f>IF(FN_MC!I97="","*",FN_MC!I97)</f>
        <v>TIN</v>
      </c>
      <c r="H93" s="101" t="str">
        <f>IF(FN_MC!AB97="","*",FN_MC!AB97)</f>
        <v>ESCALA</v>
      </c>
      <c r="I93" s="101" t="str">
        <f>IF(FN_MC!AC97="","*",FN_MC!AC97)</f>
        <v>*</v>
      </c>
      <c r="J93" s="102">
        <f>IF(FN_MC!AA97="","*",FN_MC!AA97)</f>
        <v>1</v>
      </c>
      <c r="K93" s="112">
        <f>IF(FN_MC!AD97="","*",FN_MC!AD97)</f>
        <v>0.33333333333333331</v>
      </c>
    </row>
    <row r="94" spans="2:11" hidden="1">
      <c r="B94" s="100" t="str">
        <f>IF(FN_MC!Y98="","*",FN_MC!Y98)</f>
        <v>*</v>
      </c>
      <c r="C94" s="101">
        <f>IF(FN_MC!B98="","*",FN_MC!B98)</f>
        <v>46087</v>
      </c>
      <c r="D94" s="101" t="str">
        <f>IF(FN_MC!D98="","*",FN_MC!D98)</f>
        <v>V80</v>
      </c>
      <c r="E94" s="101" t="str">
        <f>IF(FN_MC!H98="","*",FN_MC!H98)</f>
        <v>TAP</v>
      </c>
      <c r="F94" s="114" t="str">
        <f>IF(FN_MC!M98="","*",FN_MC!M98)</f>
        <v>TAP-TLG</v>
      </c>
      <c r="G94" s="101" t="str">
        <f>IF(FN_MC!I98="","*",FN_MC!I98)</f>
        <v>TVI</v>
      </c>
      <c r="H94" s="101" t="str">
        <f>IF(FN_MC!AB98="","*",FN_MC!AB98)</f>
        <v>FIXO</v>
      </c>
      <c r="I94" s="101" t="str">
        <f>IF(FN_MC!AC98="","*",FN_MC!AC98)</f>
        <v>*</v>
      </c>
      <c r="J94" s="102">
        <f>IF(FN_MC!AA98="","*",FN_MC!AA98)</f>
        <v>1</v>
      </c>
      <c r="K94" s="112">
        <f>IF(FN_MC!AD98="","*",FN_MC!AD98)</f>
        <v>0.29166666666666669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>
        <f>IF(FN_MC!B101="","*",FN_MC!B101)</f>
        <v>46087</v>
      </c>
      <c r="D97" s="101" t="str">
        <f>IF(FN_MC!D101="","*",FN_MC!D101)</f>
        <v>E18</v>
      </c>
      <c r="E97" s="101" t="str">
        <f>IF(FN_MC!H101="","*",FN_MC!H101)</f>
        <v>ZIQZQY</v>
      </c>
      <c r="F97" s="114" t="str">
        <f>IF(FN_MC!M101="","*",FN_MC!M101)</f>
        <v>ZIQ-ZQY</v>
      </c>
      <c r="G97" s="101" t="str">
        <f>IF(FN_MC!I101="","*",FN_MC!I101)</f>
        <v>ZIQZQY</v>
      </c>
      <c r="H97" s="101" t="str">
        <f>IF(FN_MC!AB101="","*",FN_MC!AB101)</f>
        <v>FIXO</v>
      </c>
      <c r="I97" s="101" t="str">
        <f>IF(FN_MC!AC101="","*",FN_MC!AC101)</f>
        <v>*</v>
      </c>
      <c r="J97" s="102">
        <f>IF(FN_MC!AA101="","*",FN_MC!AA101)</f>
        <v>1</v>
      </c>
      <c r="K97" s="112">
        <f>IF(FN_MC!AD101="","*",FN_MC!AD101)</f>
        <v>0.29166666666666669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T904" sqref="T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1449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1450</v>
      </c>
      <c r="B2" s="91" t="s">
        <v>1451</v>
      </c>
      <c r="C2" s="91" t="s">
        <v>7</v>
      </c>
      <c r="D2" s="92" t="s">
        <v>1175</v>
      </c>
      <c r="E2" s="92" t="s">
        <v>368</v>
      </c>
      <c r="F2" s="92" t="s">
        <v>1452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1453</v>
      </c>
      <c r="T2" s="94" t="s">
        <v>1178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0.41666666666666669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1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Contrato</v>
      </c>
      <c r="C95" s="95" t="str">
        <f>IF(FN_MC!Z95="","*",FN_MC!Z95)</f>
        <v>*</v>
      </c>
      <c r="D95" s="96" t="str">
        <f>IF(FN_MC!S95="","*",FN_MC!S95)</f>
        <v>FERRONORTE</v>
      </c>
      <c r="E95" s="96" t="str">
        <f>IF(FN_MC!T95="","*",FN_MC!T95)</f>
        <v>TMI-TCS</v>
      </c>
      <c r="F95" s="96">
        <f>IF(FN_MC!B95="","*",FN_MC!B95)</f>
        <v>46087</v>
      </c>
      <c r="G95" s="96" t="str">
        <f>IF(FN_MC!D95="","*",FN_MC!D95)</f>
        <v>V48</v>
      </c>
      <c r="H95" s="96" t="str">
        <f>IF(FN_MC!F95="","*",FN_MC!F95)</f>
        <v>MODERNIZAÇÃO - SOCADORA</v>
      </c>
      <c r="I95" s="96" t="str">
        <f>IF(FN_MC!H95="","*",FN_MC!H95)</f>
        <v>TVI2</v>
      </c>
      <c r="J95" s="96" t="str">
        <f>IF(FN_MC!I95="","*",FN_MC!I95)</f>
        <v>TVI2</v>
      </c>
      <c r="K95" s="96" t="str">
        <f>IF(FN_MC!M95="","*",FN_MC!M95)</f>
        <v>TVI-TJA</v>
      </c>
      <c r="L95" s="196" t="str">
        <f>IF(FN_MC!N95="","*",FN_MC!N95)</f>
        <v>TVI239</v>
      </c>
      <c r="M95" s="97">
        <f>IF(FN_MC!J95="","*",FN_MC!J95)</f>
        <v>74</v>
      </c>
      <c r="N95" s="183">
        <f>IF(FN_MC!K95="","*",FN_MC!K95)</f>
        <v>237.47200000000001</v>
      </c>
      <c r="O95" s="183">
        <f>IF(FN_MC!L95="","*",FN_MC!L95)</f>
        <v>242</v>
      </c>
      <c r="P95" s="107">
        <f>IF(FN_MC!O95="","*",FN_MC!O95)</f>
        <v>0.375</v>
      </c>
      <c r="Q95" s="107">
        <f>IF(FN_MC!P95="","*",FN_MC!P95)</f>
        <v>0.16666666666666666</v>
      </c>
      <c r="R95" s="96" t="str">
        <f>IF(FN_MC!Q95="","*",CONCATENATE(FN_MC!Q95," ",FN_MC!R95))</f>
        <v>1500 M</v>
      </c>
      <c r="S95" s="96" t="str">
        <f>IF(FN_MC!V95="","*",FN_MC!V95)</f>
        <v>Augusto/ Efraim</v>
      </c>
      <c r="T95" s="96" t="str">
        <f>IF(FN_MC!W95="","*",FN_MC!W95)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1835</v>
      </c>
      <c r="W95" s="98">
        <f ca="1">_xlfn.XLOOKUP(G95&amp;$W$2,BS_CONTROLE[CHAVE],BS_CONTROLE[Quantidade_11],"-")</f>
        <v>905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-</v>
      </c>
      <c r="E96" s="96" t="str">
        <f>IF(FN_MC!T96="","*",FN_MC!T96)</f>
        <v>-</v>
      </c>
      <c r="F96" s="96" t="str">
        <f>IF(FN_MC!B96="","*",FN_MC!B96)</f>
        <v>*</v>
      </c>
      <c r="G96" s="96" t="str">
        <f>IF(FN_MC!D96="","*",FN_MC!D96)</f>
        <v>*</v>
      </c>
      <c r="H96" s="96" t="str">
        <f>IF(FN_MC!F96="","*",FN_MC!F96)</f>
        <v>*</v>
      </c>
      <c r="I96" s="96" t="str">
        <f>IF(FN_MC!H96="","*",FN_MC!H96)</f>
        <v>*</v>
      </c>
      <c r="J96" s="96" t="str">
        <f>IF(FN_MC!I96="","*",FN_MC!I96)</f>
        <v>*</v>
      </c>
      <c r="K96" s="96" t="str">
        <f>IF(FN_MC!M96="","*",FN_MC!M96)</f>
        <v>*</v>
      </c>
      <c r="L96" s="196" t="str">
        <f>IF(FN_MC!N96="","*",FN_MC!N96)</f>
        <v>*</v>
      </c>
      <c r="M96" s="97" t="str">
        <f>IF(FN_MC!J96="","*",FN_MC!J96)</f>
        <v>*</v>
      </c>
      <c r="N96" s="183" t="str">
        <f>IF(FN_MC!K96="","*",FN_MC!K96)</f>
        <v>*</v>
      </c>
      <c r="O96" s="183" t="str">
        <f>IF(FN_MC!L96="","*",FN_MC!L96)</f>
        <v>*</v>
      </c>
      <c r="P96" s="107" t="str">
        <f>IF(FN_MC!O96="","*",FN_MC!O96)</f>
        <v>*</v>
      </c>
      <c r="Q96" s="107" t="str">
        <f>IF(FN_MC!P96="","*",FN_MC!P96)</f>
        <v>*</v>
      </c>
      <c r="R96" s="96" t="str">
        <f>IF(FN_MC!Q96="","*",CONCATENATE(FN_MC!Q96," ",FN_MC!R96))</f>
        <v>3 *</v>
      </c>
      <c r="S96" s="96" t="str">
        <f>IF(FN_MC!V96="","*",FN_MC!V96)</f>
        <v>Paulo</v>
      </c>
      <c r="T96" s="96" t="str">
        <f>IF(FN_MC!W96="","*",FN_MC!W96)</f>
        <v>Caminhão de solda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Oportunidade</v>
      </c>
      <c r="C97" s="95" t="str">
        <f>IF(FN_MC!Z97="","*",FN_MC!Z97)</f>
        <v>*</v>
      </c>
      <c r="D97" s="96" t="str">
        <f>IF(FN_MC!S97="","*",FN_MC!S97)</f>
        <v>FERRONORTE</v>
      </c>
      <c r="E97" s="96" t="str">
        <f>IF(FN_MC!T97="","*",FN_MC!T97)</f>
        <v>TMI-TCS</v>
      </c>
      <c r="F97" s="96">
        <f>IF(FN_MC!B97="","*",FN_MC!B97)</f>
        <v>46087</v>
      </c>
      <c r="G97" s="96" t="str">
        <f>IF(FN_MC!D97="","*",FN_MC!D97)</f>
        <v>E46</v>
      </c>
      <c r="H97" s="96" t="str">
        <f>IF(FN_MC!F97="","*",FN_MC!F97)</f>
        <v>TRILHEIRO - DESCARGA</v>
      </c>
      <c r="I97" s="96" t="str">
        <f>IF(FN_MC!H97="","*",FN_MC!H97)</f>
        <v>TIN</v>
      </c>
      <c r="J97" s="96" t="str">
        <f>IF(FN_MC!I97="","*",FN_MC!I97)</f>
        <v>TIN</v>
      </c>
      <c r="K97" s="96" t="str">
        <f>IF(FN_MC!M97="","*",FN_MC!M97)</f>
        <v>TIN</v>
      </c>
      <c r="L97" s="196" t="str">
        <f>IF(FN_MC!N97="","*",FN_MC!N97)</f>
        <v>TINPAT2</v>
      </c>
      <c r="M97" s="97">
        <f>IF(FN_MC!J97="","*",FN_MC!J97)</f>
        <v>74</v>
      </c>
      <c r="N97" s="183">
        <f>IF(FN_MC!K97="","*",FN_MC!K97)</f>
        <v>109</v>
      </c>
      <c r="O97" s="183">
        <f>IF(FN_MC!L97="","*",FN_MC!L97)</f>
        <v>110.137</v>
      </c>
      <c r="P97" s="107">
        <f>IF(FN_MC!O97="","*",FN_MC!O97)</f>
        <v>0.45833333333333331</v>
      </c>
      <c r="Q97" s="107">
        <f>IF(FN_MC!P97="","*",FN_MC!P97)</f>
        <v>0.125</v>
      </c>
      <c r="R97" s="96" t="str">
        <f>IF(FN_MC!Q97="","*",CONCATENATE(FN_MC!Q97," ",FN_MC!R97))</f>
        <v>936 M</v>
      </c>
      <c r="S97" s="96" t="str">
        <f>IF(FN_MC!V97="","*",FN_MC!V97)</f>
        <v>Herbert</v>
      </c>
      <c r="T97" s="96" t="str">
        <f>IF(FN_MC!W97="","*",FN_MC!W97)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Oportunidade</v>
      </c>
      <c r="C98" s="95" t="str">
        <f>IF(FN_MC!Z98="","*",FN_MC!Z98)</f>
        <v>*</v>
      </c>
      <c r="D98" s="96" t="str">
        <f>IF(FN_MC!S98="","*",FN_MC!S98)</f>
        <v>FERRONORTE</v>
      </c>
      <c r="E98" s="96" t="str">
        <f>IF(FN_MC!T98="","*",FN_MC!T98)</f>
        <v>TMI-TCS</v>
      </c>
      <c r="F98" s="96">
        <f>IF(FN_MC!B98="","*",FN_MC!B98)</f>
        <v>46087</v>
      </c>
      <c r="G98" s="96" t="str">
        <f>IF(FN_MC!D98="","*",FN_MC!D98)</f>
        <v>V80</v>
      </c>
      <c r="H98" s="96" t="str">
        <f>IF(FN_MC!F98="","*",FN_MC!F98)</f>
        <v>INSPEÇÃO RIV</v>
      </c>
      <c r="I98" s="96" t="str">
        <f>IF(FN_MC!H98="","*",FN_MC!H98)</f>
        <v>TAP</v>
      </c>
      <c r="J98" s="96" t="str">
        <f>IF(FN_MC!I98="","*",FN_MC!I98)</f>
        <v>TVI</v>
      </c>
      <c r="K98" s="96" t="str">
        <f>IF(FN_MC!M98="","*",FN_MC!M98)</f>
        <v>TAP-TLG</v>
      </c>
      <c r="L98" s="196" t="str">
        <f>IF(FN_MC!N98="","*",FN_MC!N98)</f>
        <v>TAPK35</v>
      </c>
      <c r="M98" s="97">
        <f>IF(FN_MC!J98="","*",FN_MC!J98)</f>
        <v>74</v>
      </c>
      <c r="N98" s="183">
        <f>IF(FN_MC!K98="","*",FN_MC!K98)</f>
        <v>31.5</v>
      </c>
      <c r="O98" s="183">
        <f>IF(FN_MC!L98="","*",FN_MC!L98)</f>
        <v>226.29599999999999</v>
      </c>
      <c r="P98" s="107">
        <f>IF(FN_MC!O98="","*",FN_MC!O98)</f>
        <v>0.45833333333333331</v>
      </c>
      <c r="Q98" s="107">
        <f>IF(FN_MC!P98="","*",FN_MC!P98)</f>
        <v>4.1666666666666664E-2</v>
      </c>
      <c r="R98" s="96" t="str">
        <f>IF(FN_MC!Q98="","*",CONCATENATE(FN_MC!Q98," ",FN_MC!R98))</f>
        <v>1 BINÁRIO</v>
      </c>
      <c r="S98" s="96" t="str">
        <f>IF(FN_MC!V98="","*",FN_MC!V98)</f>
        <v>FErnanda</v>
      </c>
      <c r="T98" s="96" t="str">
        <f>IF(FN_MC!W98="","*",FN_MC!W98)</f>
        <v>Inspeção RIV - vma 45 km/h - inspeção nos pátios a 30 km/h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Oportunidade</v>
      </c>
      <c r="C101" s="95" t="str">
        <f>IF(FN_MC!Z101="","*",FN_MC!Z101)</f>
        <v>*</v>
      </c>
      <c r="D101" s="96" t="str">
        <f>IF(FN_MC!S101="","*",FN_MC!S101)</f>
        <v>MALHA CENTRAL</v>
      </c>
      <c r="E101" s="96" t="str">
        <f>IF(FN_MC!T101="","*",FN_MC!T101)</f>
        <v>RAMAL</v>
      </c>
      <c r="F101" s="96">
        <f>IF(FN_MC!B101="","*",FN_MC!B101)</f>
        <v>46087</v>
      </c>
      <c r="G101" s="96" t="str">
        <f>IF(FN_MC!D101="","*",FN_MC!D101)</f>
        <v>E18</v>
      </c>
      <c r="H101" s="96" t="str">
        <f>IF(FN_MC!F101="","*",FN_MC!F101)</f>
        <v>CAMINHÃO DE SOLDA</v>
      </c>
      <c r="I101" s="96" t="str">
        <f>IF(FN_MC!H101="","*",FN_MC!H101)</f>
        <v>ZIQZQY</v>
      </c>
      <c r="J101" s="96" t="str">
        <f>IF(FN_MC!I101="","*",FN_MC!I101)</f>
        <v>ZIQZQY</v>
      </c>
      <c r="K101" s="96" t="str">
        <f>IF(FN_MC!M101="","*",FN_MC!M101)</f>
        <v>ZIQ-ZQY</v>
      </c>
      <c r="L101" s="196" t="str">
        <f>IF(FN_MC!N101="","*",FN_MC!N101)</f>
        <v>ZIQZQY</v>
      </c>
      <c r="M101" s="97">
        <f>IF(FN_MC!J101="","*",FN_MC!J101)</f>
        <v>78</v>
      </c>
      <c r="N101" s="183">
        <f>IF(FN_MC!K101="","*",FN_MC!K101)</f>
        <v>177.376</v>
      </c>
      <c r="O101" s="183" t="str">
        <f>IF(FN_MC!L101="","*",FN_MC!L101)</f>
        <v>-</v>
      </c>
      <c r="P101" s="107">
        <f>IF(FN_MC!O101="","*",FN_MC!O101)</f>
        <v>0.35416666666666669</v>
      </c>
      <c r="Q101" s="107">
        <f>IF(FN_MC!P101="","*",FN_MC!P101)</f>
        <v>0.125</v>
      </c>
      <c r="R101" s="96" t="str">
        <f>IF(FN_MC!Q101="","*",CONCATENATE(FN_MC!Q101," ",FN_MC!R101))</f>
        <v>3 Nº DE SOLDA</v>
      </c>
      <c r="S101" s="96" t="str">
        <f>IF(FN_MC!V101="","*",FN_MC!V101)</f>
        <v>Paulo</v>
      </c>
      <c r="T101" s="96" t="str">
        <f>IF(FN_MC!W101="","*",FN_MC!W101)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1454</v>
      </c>
      <c r="D5" s="242"/>
      <c r="E5" s="242"/>
      <c r="F5" s="242"/>
      <c r="G5" s="242"/>
      <c r="H5" s="242"/>
      <c r="I5" s="242"/>
      <c r="J5" s="243"/>
      <c r="K5" s="244" t="s">
        <v>1455</v>
      </c>
      <c r="L5" s="245"/>
      <c r="M5" s="245"/>
      <c r="N5" s="245"/>
      <c r="O5" s="246" t="s">
        <v>1456</v>
      </c>
      <c r="P5" s="247"/>
      <c r="Q5" s="248"/>
    </row>
    <row r="6" spans="1:17" s="81" customFormat="1" ht="15.75" customHeight="1">
      <c r="A6" s="75" t="s">
        <v>1452</v>
      </c>
      <c r="B6" s="82" t="s">
        <v>1451</v>
      </c>
      <c r="C6" s="83" t="s">
        <v>1175</v>
      </c>
      <c r="D6" s="84" t="s">
        <v>1176</v>
      </c>
      <c r="E6" s="83" t="s">
        <v>1457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1458</v>
      </c>
      <c r="M6" s="116" t="s">
        <v>29</v>
      </c>
      <c r="N6" s="117" t="s">
        <v>1170</v>
      </c>
      <c r="O6" s="165" t="s">
        <v>1213</v>
      </c>
      <c r="P6" s="128"/>
      <c r="Q6" s="139" t="s">
        <v>1459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14:49h - Sem temperatura para realizar a segunda sold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sem oportunidade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0.41666666666666669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IF(FN_MC!B95="","*",FN_MC!B95)</f>
        <v>46087</v>
      </c>
      <c r="B95" s="86" t="str">
        <f>IF(FN_MC!X95="","*",FN_MC!X95)</f>
        <v>Contrato</v>
      </c>
      <c r="C95" s="87" t="str">
        <f>IF(FN_MC!S95="","*",FN_MC!S95)</f>
        <v>FERRONORTE</v>
      </c>
      <c r="D95" s="87" t="str">
        <f>IF(FN_MC!T95="","*",FN_MC!T95)</f>
        <v>TMI-TCS</v>
      </c>
      <c r="E95" s="87" t="str">
        <f>IF(FN_MC!D95="","*",FN_MC!D95)</f>
        <v>V48</v>
      </c>
      <c r="F95" s="87" t="str">
        <f>IF(FN_MC!H95="","*",FN_MC!H95)</f>
        <v>TVI2</v>
      </c>
      <c r="G95" s="87" t="str">
        <f>IF(FN_MC!M95="","*",FN_MC!M95)</f>
        <v>TVI-TJA</v>
      </c>
      <c r="H95" s="125">
        <f>IF(FN_MC!K95="","*",FN_MC!K95)</f>
        <v>237.47200000000001</v>
      </c>
      <c r="I95" s="110">
        <f>IF(FN_MC!O95="","*",FN_MC!O95)</f>
        <v>0.375</v>
      </c>
      <c r="J95" s="110">
        <f>IF(FN_MC!P95="","*",FN_MC!P95)</f>
        <v>0.16666666666666666</v>
      </c>
      <c r="K95" s="118" t="str">
        <f>IF(FN_MC!AK95="","*",FN_MC!AK95)</f>
        <v>TVI2</v>
      </c>
      <c r="L95" s="118" t="str">
        <f>IF(FN_MC!AM95="","*",FN_MC!AM95)</f>
        <v>TVI-TJA</v>
      </c>
      <c r="M95" s="118">
        <f>IF(FN_MC!AP95="","*",FN_MC!AP95)</f>
        <v>237.47200000000001</v>
      </c>
      <c r="N95" s="118" t="str">
        <f>IF(FN_MC!AM95="","*",FN_MC!AM95)</f>
        <v>TVI-TJA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Oportunidade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*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>
        <f>IF(FN_MC!B97="","*",FN_MC!B97)</f>
        <v>46087</v>
      </c>
      <c r="B97" s="86" t="str">
        <f>IF(FN_MC!X97="","*",FN_MC!X97)</f>
        <v>Oportunidade</v>
      </c>
      <c r="C97" s="87" t="str">
        <f>IF(FN_MC!S97="","*",FN_MC!S97)</f>
        <v>FERRONORTE</v>
      </c>
      <c r="D97" s="87" t="str">
        <f>IF(FN_MC!T97="","*",FN_MC!T97)</f>
        <v>TMI-TCS</v>
      </c>
      <c r="E97" s="87" t="str">
        <f>IF(FN_MC!D97="","*",FN_MC!D97)</f>
        <v>E46</v>
      </c>
      <c r="F97" s="87" t="str">
        <f>IF(FN_MC!H97="","*",FN_MC!H97)</f>
        <v>TIN</v>
      </c>
      <c r="G97" s="87" t="str">
        <f>IF(FN_MC!M97="","*",FN_MC!M97)</f>
        <v>TIN</v>
      </c>
      <c r="H97" s="125">
        <f>IF(FN_MC!K97="","*",FN_MC!K97)</f>
        <v>109</v>
      </c>
      <c r="I97" s="110">
        <f>IF(FN_MC!O97="","*",FN_MC!O97)</f>
        <v>0.45833333333333331</v>
      </c>
      <c r="J97" s="110">
        <f>IF(FN_MC!P97="","*",FN_MC!P97)</f>
        <v>0.125</v>
      </c>
      <c r="K97" s="118" t="str">
        <f>IF(FN_MC!AK97="","*",FN_MC!AK97)</f>
        <v>TIN</v>
      </c>
      <c r="L97" s="118" t="str">
        <f>IF(FN_MC!AM97="","*",FN_MC!AM97)</f>
        <v>TIN</v>
      </c>
      <c r="M97" s="118">
        <f>IF(FN_MC!AP97="","*",FN_MC!AP97)</f>
        <v>109</v>
      </c>
      <c r="N97" s="118" t="str">
        <f>IF(FN_MC!AM97="","*",FN_MC!AM97)</f>
        <v>TIN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>
        <f>IF(FN_MC!B98="","*",FN_MC!B98)</f>
        <v>46087</v>
      </c>
      <c r="B98" s="86" t="str">
        <f>IF(FN_MC!X98="","*",FN_MC!X98)</f>
        <v>Oportunidade</v>
      </c>
      <c r="C98" s="87" t="str">
        <f>IF(FN_MC!S98="","*",FN_MC!S98)</f>
        <v>FERRONORTE</v>
      </c>
      <c r="D98" s="87" t="str">
        <f>IF(FN_MC!T98="","*",FN_MC!T98)</f>
        <v>TMI-TCS</v>
      </c>
      <c r="E98" s="87" t="str">
        <f>IF(FN_MC!D98="","*",FN_MC!D98)</f>
        <v>V80</v>
      </c>
      <c r="F98" s="87" t="str">
        <f>IF(FN_MC!H98="","*",FN_MC!H98)</f>
        <v>TAP</v>
      </c>
      <c r="G98" s="87" t="str">
        <f>IF(FN_MC!M98="","*",FN_MC!M98)</f>
        <v>TAP-TLG</v>
      </c>
      <c r="H98" s="125">
        <f>IF(FN_MC!K98="","*",FN_MC!K98)</f>
        <v>31.5</v>
      </c>
      <c r="I98" s="110">
        <f>IF(FN_MC!O98="","*",FN_MC!O98)</f>
        <v>0.45833333333333331</v>
      </c>
      <c r="J98" s="110">
        <f>IF(FN_MC!P98="","*",FN_MC!P98)</f>
        <v>4.1666666666666664E-2</v>
      </c>
      <c r="K98" s="118" t="str">
        <f>IF(FN_MC!AK98="","*",FN_MC!AK98)</f>
        <v>TAP</v>
      </c>
      <c r="L98" s="118" t="str">
        <f>IF(FN_MC!AM98="","*",FN_MC!AM98)</f>
        <v>TAP-TLG</v>
      </c>
      <c r="M98" s="118">
        <f>IF(FN_MC!AP98="","*",FN_MC!AP98)</f>
        <v>31.5</v>
      </c>
      <c r="N98" s="118" t="str">
        <f>IF(FN_MC!AM98="","*",FN_MC!AM98)</f>
        <v>TAP-TLG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>
        <f>IF(FN_MC!B101="","*",FN_MC!B101)</f>
        <v>46087</v>
      </c>
      <c r="B101" s="86" t="str">
        <f>IF(FN_MC!X101="","*",FN_MC!X101)</f>
        <v>Oportunidade</v>
      </c>
      <c r="C101" s="87" t="str">
        <f>IF(FN_MC!S101="","*",FN_MC!S101)</f>
        <v>MALHA CENTRAL</v>
      </c>
      <c r="D101" s="87" t="str">
        <f>IF(FN_MC!T101="","*",FN_MC!T101)</f>
        <v>RAMAL</v>
      </c>
      <c r="E101" s="87" t="str">
        <f>IF(FN_MC!D101="","*",FN_MC!D101)</f>
        <v>E18</v>
      </c>
      <c r="F101" s="87" t="str">
        <f>IF(FN_MC!H101="","*",FN_MC!H101)</f>
        <v>ZIQZQY</v>
      </c>
      <c r="G101" s="87" t="str">
        <f>IF(FN_MC!M101="","*",FN_MC!M101)</f>
        <v>ZIQ-ZQY</v>
      </c>
      <c r="H101" s="125">
        <f>IF(FN_MC!K101="","*",FN_MC!K101)</f>
        <v>177.376</v>
      </c>
      <c r="I101" s="110">
        <f>IF(FN_MC!O101="","*",FN_MC!O101)</f>
        <v>0.35416666666666669</v>
      </c>
      <c r="J101" s="110">
        <f>IF(FN_MC!P101="","*",FN_MC!P101)</f>
        <v>0.125</v>
      </c>
      <c r="K101" s="118" t="str">
        <f>IF(FN_MC!AK101="","*",FN_MC!AK101)</f>
        <v>ZIQZQY</v>
      </c>
      <c r="L101" s="118" t="str">
        <f>IF(FN_MC!AM101="","*",FN_MC!AM101)</f>
        <v>ZIQ-ZQY</v>
      </c>
      <c r="M101" s="118">
        <f>IF(FN_MC!AP101="","*",FN_MC!AP101)</f>
        <v>177.376</v>
      </c>
      <c r="N101" s="118" t="str">
        <f>IF(FN_MC!AM101="","*",FN_MC!AM101)</f>
        <v>ZIQ-ZQY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2026-03-05T18:35:17Z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