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051" documentId="120_S{118792C3-22EF-5104-A093-F22BFE3913F3}" xr6:coauthVersionLast="47" xr6:coauthVersionMax="47" xr10:uidLastSave="{10696444-6F91-458D-9ACE-B9795CFE061A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CONTROLE - MAQUINISTAS" sheetId="12" r:id="rId7"/>
    <sheet name="Diesel" sheetId="14" r:id="rId8"/>
    <sheet name="CONTROLE D" sheetId="10" r:id="rId9"/>
    <sheet name="CONTROLE D+1" sheetId="15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9" hidden="1">'CONTROLE D+1'!$A$2:$W$1050</definedName>
    <definedName name="_xlnm._FilterDatabase" localSheetId="6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30" i="1" l="1" a="1"/>
  <c r="U430" i="1" s="1"/>
  <c r="T430" i="1" a="1"/>
  <c r="T430" i="1" s="1"/>
  <c r="S430" i="1" a="1"/>
  <c r="S430" i="1" s="1"/>
  <c r="R430" i="1"/>
  <c r="N430" i="1" a="1"/>
  <c r="N430" i="1" s="1"/>
  <c r="M430" i="1" a="1"/>
  <c r="M430" i="1" s="1"/>
  <c r="G430" i="1"/>
  <c r="U428" i="1" a="1"/>
  <c r="U428" i="1" s="1"/>
  <c r="T428" i="1" a="1"/>
  <c r="T428" i="1" s="1"/>
  <c r="S428" i="1" a="1"/>
  <c r="S428" i="1" s="1"/>
  <c r="R428" i="1"/>
  <c r="N428" i="1" a="1"/>
  <c r="N428" i="1" s="1"/>
  <c r="M428" i="1" a="1"/>
  <c r="M428" i="1" s="1"/>
  <c r="G428" i="1"/>
  <c r="U427" i="1" a="1"/>
  <c r="U427" i="1" s="1"/>
  <c r="T427" i="1" a="1"/>
  <c r="T427" i="1" s="1"/>
  <c r="S427" i="1" a="1"/>
  <c r="S427" i="1" s="1"/>
  <c r="R427" i="1"/>
  <c r="N427" i="1" a="1"/>
  <c r="N427" i="1" s="1"/>
  <c r="M427" i="1" a="1"/>
  <c r="M427" i="1" s="1"/>
  <c r="U423" i="1" a="1"/>
  <c r="U423" i="1" s="1"/>
  <c r="T423" i="1" a="1"/>
  <c r="T423" i="1" s="1"/>
  <c r="S423" i="1" a="1"/>
  <c r="S423" i="1" s="1"/>
  <c r="R423" i="1"/>
  <c r="N423" i="1" a="1"/>
  <c r="N423" i="1" s="1"/>
  <c r="M423" i="1" a="1"/>
  <c r="M423" i="1" s="1"/>
  <c r="G423" i="1"/>
  <c r="U422" i="1" a="1"/>
  <c r="U422" i="1" s="1"/>
  <c r="T422" i="1" a="1"/>
  <c r="T422" i="1" s="1"/>
  <c r="S422" i="1" a="1"/>
  <c r="S422" i="1" s="1"/>
  <c r="R422" i="1"/>
  <c r="M422" i="1" a="1"/>
  <c r="M422" i="1" s="1"/>
  <c r="G422" i="1"/>
  <c r="U401" i="1" a="1"/>
  <c r="U401" i="1" s="1"/>
  <c r="T401" i="1" a="1"/>
  <c r="T401" i="1" s="1"/>
  <c r="S401" i="1" a="1"/>
  <c r="S401" i="1" s="1"/>
  <c r="R401" i="1"/>
  <c r="M401" i="1" a="1"/>
  <c r="M401" i="1" s="1"/>
  <c r="G401" i="1"/>
  <c r="N416" i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 s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 s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AQ769" i="1"/>
  <c r="BB769" i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AQ19" i="1"/>
  <c r="BB19" i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R396" i="15" s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K398" i="15"/>
  <c r="L398" i="15"/>
  <c r="D398" i="15"/>
  <c r="E398" i="15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R412" i="15" s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R413" i="15" s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K419" i="15"/>
  <c r="L419" i="15"/>
  <c r="D419" i="15"/>
  <c r="E419" i="15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K420" i="15"/>
  <c r="L420" i="15"/>
  <c r="D420" i="15"/>
  <c r="E420" i="15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K423" i="15"/>
  <c r="L423" i="15"/>
  <c r="R426" i="1"/>
  <c r="R423" i="15" s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K424" i="15"/>
  <c r="L424" i="15"/>
  <c r="D424" i="15"/>
  <c r="E424" i="15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K425" i="15"/>
  <c r="L425" i="15"/>
  <c r="D425" i="15"/>
  <c r="E425" i="15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K427" i="15"/>
  <c r="L427" i="15"/>
  <c r="D427" i="15"/>
  <c r="E427" i="15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9" i="1" l="1" a="1"/>
  <c r="BC19" i="1" s="1"/>
  <c r="BD19" i="1" a="1"/>
  <c r="BD19" i="1" s="1"/>
  <c r="BC769" i="1" a="1"/>
  <c r="BC769" i="1" s="1"/>
  <c r="BD769" i="1" a="1"/>
  <c r="BD769" i="1" s="1"/>
  <c r="BC9" i="1" a="1"/>
  <c r="BC9" i="1" s="1"/>
  <c r="BC20" i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<sst xmlns="http://schemas.openxmlformats.org/spreadsheetml/2006/main" count="8422" uniqueCount="1624">
  <si>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</si>
  <si>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</si>
  <si>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</si>
  <si>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</si>
  <si>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</si>
  <si>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</si>
  <si>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</si>
  <si>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</si>
  <si>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</si>
  <si>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</si>
  <si>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</si>
  <si>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</si>
  <si>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</si>
  <si>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</si>
  <si>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</si>
  <si>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</si>
  <si>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</si>
  <si>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</si>
  <si>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</si>
  <si>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</si>
  <si>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</si>
  <si>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</si>
  <si>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</si>
  <si>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</si>
  <si>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</si>
  <si>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</si>
  <si>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</si>
  <si>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</si>
  <si>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</si>
  <si>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</si>
  <si>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</si>
  <si>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</si>
  <si>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</si>
  <si>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</si>
  <si>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</si>
  <si>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</si>
  <si>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</si>
  <si>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</si>
  <si>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</si>
  <si>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</si>
  <si>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</si>
  <si>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</si>
  <si>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</si>
  <si>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</si>
  <si>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</si>
  <si>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</si>
  <si>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</si>
  <si>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</si>
  <si>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</si>
  <si>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</si>
  <si>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</si>
  <si>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</si>
  <si>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</si>
  <si>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</si>
  <si>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</si>
  <si>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</si>
  <si>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</si>
  <si>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</si>
  <si>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</si>
  <si>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</si>
  <si>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</si>
  <si>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</si>
  <si>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</si>
  <si>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</si>
  <si>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</si>
  <si>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</si>
  <si>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</si>
  <si>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</si>
  <si>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</si>
  <si>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</si>
  <si>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</si>
  <si>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</si>
  <si>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</si>
  <si>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</si>
  <si>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</si>
  <si>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</si>
  <si>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</si>
  <si>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</si>
  <si>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</si>
  <si>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</si>
  <si>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</si>
  <si>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</si>
  <si>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</si>
  <si>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</si>
  <si>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</si>
  <si>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</si>
  <si>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</si>
  <si>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</si>
  <si>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</si>
  <si>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</si>
  <si>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</si>
  <si>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</si>
  <si>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</si>
  <si>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</si>
  <si>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</si>
  <si>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</si>
  <si>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</si>
  <si>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</si>
  <si>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</si>
  <si>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</si>
  <si>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</si>
  <si>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</si>
  <si>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</si>
  <si>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</si>
  <si>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</si>
  <si>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</si>
  <si>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</si>
  <si>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</si>
  <si>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</si>
  <si>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</si>
  <si>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</si>
  <si>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</si>
  <si>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</si>
  <si>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</si>
  <si>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</si>
  <si>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</si>
  <si>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</si>
  <si>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</si>
  <si>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</si>
  <si>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</si>
  <si>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</si>
  <si>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</si>
  <si>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</si>
  <si>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</si>
  <si>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</si>
  <si>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</si>
  <si>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</si>
  <si>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</si>
  <si>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</si>
  <si>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</si>
  <si>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</si>
  <si>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</si>
  <si>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</si>
  <si>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</si>
  <si>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</si>
  <si>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</si>
  <si>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</si>
  <si>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</si>
  <si>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</si>
  <si>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</si>
  <si>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</si>
  <si>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</si>
  <si>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</si>
  <si>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</si>
  <si>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</si>
  <si>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</si>
  <si>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</si>
  <si>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</si>
  <si>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</si>
  <si>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</si>
  <si>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</si>
  <si>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</si>
  <si>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</si>
  <si>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</si>
  <si>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</si>
  <si>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</si>
  <si>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</si>
  <si>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</si>
  <si>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</si>
  <si>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</si>
  <si>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</si>
  <si>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</si>
  <si>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</si>
  <si>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</si>
  <si>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</si>
  <si>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</si>
  <si>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</si>
  <si>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</si>
  <si>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</si>
  <si>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</si>
  <si>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</si>
  <si>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</si>
  <si>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</si>
  <si>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</si>
  <si>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</si>
  <si>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</si>
  <si>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</si>
  <si>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</si>
  <si>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</si>
  <si>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</si>
  <si>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</si>
  <si>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</si>
  <si>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</si>
  <si>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</si>
  <si>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</si>
  <si>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</si>
  <si>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</si>
  <si>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</si>
  <si>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</si>
  <si>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</si>
  <si>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</si>
  <si>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</si>
  <si>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</si>
  <si>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</si>
  <si>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</si>
  <si>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</si>
  <si>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</si>
  <si>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</si>
  <si>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</si>
  <si>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</si>
  <si>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</si>
  <si>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</si>
  <si>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</si>
  <si>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</si>
  <si>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</si>
  <si>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</si>
  <si>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</si>
  <si>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</si>
  <si>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</si>
  <si>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</si>
  <si>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</si>
  <si>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</si>
  <si>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</si>
  <si>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</si>
  <si>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</si>
  <si>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</si>
  <si>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</si>
  <si>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</si>
  <si>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</si>
  <si>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</si>
  <si>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</si>
  <si>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</si>
  <si>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</si>
  <si>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</si>
  <si>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</si>
  <si>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</si>
  <si>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</si>
  <si>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</si>
  <si>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</si>
  <si>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</si>
  <si>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</si>
  <si>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</si>
  <si>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</si>
  <si>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</si>
  <si>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</si>
  <si>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</si>
  <si>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</si>
  <si>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</si>
  <si>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</si>
  <si>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</si>
  <si>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</si>
  <si>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</si>
  <si>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</si>
  <si>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</si>
  <si>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</si>
  <si>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</si>
  <si>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</si>
  <si>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</si>
  <si>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</si>
  <si>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</si>
  <si>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</si>
  <si>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</si>
  <si>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</si>
  <si>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</si>
  <si>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</si>
  <si>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</si>
  <si>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</si>
  <si>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</si>
  <si>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</si>
  <si>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</si>
  <si>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</si>
  <si>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</si>
  <si>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</si>
  <si>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</si>
  <si>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</si>
  <si>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</si>
  <si>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</si>
  <si>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</si>
  <si>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</si>
  <si>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</si>
  <si>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</si>
  <si>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</si>
  <si>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</si>
  <si>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</si>
  <si>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</si>
  <si>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</si>
  <si>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</si>
  <si>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</si>
  <si>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</si>
  <si>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</si>
  <si>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</si>
  <si>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</si>
  <si>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</si>
  <si>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</si>
  <si>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</si>
  <si>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</si>
  <si>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</si>
  <si>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</si>
  <si>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</si>
  <si>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</si>
  <si>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</si>
  <si>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</si>
  <si>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</si>
  <si>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</si>
  <si>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</si>
  <si>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</si>
  <si>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</si>
  <si>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</si>
  <si>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</si>
  <si>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</si>
  <si>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</si>
  <si>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</si>
  <si>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</si>
  <si>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</si>
  <si>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</si>
  <si>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</si>
  <si>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</si>
  <si>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</si>
  <si>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</si>
  <si>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</si>
  <si>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</si>
  <si>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</si>
  <si>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</si>
  <si>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</si>
  <si>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</si>
  <si>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</si>
  <si>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</si>
  <si>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</si>
  <si>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</si>
  <si>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</si>
  <si>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</si>
  <si>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</si>
  <si>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</si>
  <si>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</si>
  <si>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</si>
  <si>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</si>
  <si>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</si>
  <si>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</si>
  <si>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</si>
  <si>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</si>
  <si>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</si>
  <si>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</si>
  <si>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</si>
  <si>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</si>
  <si>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</si>
  <si>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</si>
  <si>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</si>
  <si>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</si>
  <si>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</si>
  <si>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</si>
  <si>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</si>
  <si>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</si>
  <si>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</si>
  <si>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</si>
  <si>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</si>
  <si>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</si>
  <si>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</si>
  <si>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</si>
  <si>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</si>
  <si>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</si>
  <si>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</si>
  <si>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</si>
  <si>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</si>
  <si>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</si>
  <si>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</si>
  <si>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</si>
  <si>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</si>
  <si>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</si>
  <si>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</si>
  <si>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</si>
  <si>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</si>
  <si>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</si>
  <si>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</si>
  <si>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</si>
  <si>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</si>
  <si>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</si>
  <si>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</si>
  <si>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</si>
  <si>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</si>
  <si>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</si>
  <si>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</si>
  <si>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</si>
  <si>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</si>
  <si>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</si>
  <si>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</si>
  <si>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</si>
  <si>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</si>
  <si>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</si>
  <si>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</si>
  <si>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</si>
  <si>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</si>
  <si>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</si>
  <si>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</si>
  <si>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</si>
  <si>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</si>
  <si>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</si>
  <si>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</si>
  <si>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</si>
  <si>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</si>
  <si>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</si>
  <si>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</si>
  <si>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</si>
  <si>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</si>
  <si>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</si>
  <si>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</si>
  <si>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</si>
  <si>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</si>
  <si>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</si>
  <si>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</si>
  <si>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</si>
  <si>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</si>
  <si>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</si>
  <si>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</si>
  <si>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</si>
  <si>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</si>
  <si>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</si>
  <si>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</si>
  <si>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</si>
  <si>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</si>
  <si>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</si>
  <si>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</si>
  <si>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</si>
  <si>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</si>
  <si>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</si>
  <si>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</si>
  <si>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</si>
  <si>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</si>
  <si>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</si>
  <si>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</si>
  <si>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</si>
  <si>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</si>
  <si>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</si>
  <si>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</si>
  <si>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</si>
  <si>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</si>
  <si>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</si>
  <si>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</si>
  <si>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</si>
  <si>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</si>
  <si>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</si>
  <si>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</si>
  <si>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</si>
  <si>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</si>
  <si>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</si>
  <si>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</si>
  <si>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</si>
  <si>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</si>
  <si>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</si>
  <si>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</si>
  <si>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</si>
  <si>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</si>
  <si>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</si>
  <si>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</si>
  <si>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</si>
  <si>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</si>
  <si>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</si>
  <si>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</si>
  <si>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</si>
  <si>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</si>
  <si>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</si>
  <si>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</si>
  <si>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</si>
  <si>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</si>
  <si>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</si>
  <si>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</si>
  <si>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</si>
  <si>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</si>
  <si>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</si>
  <si>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</si>
  <si>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</si>
  <si>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</si>
  <si>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</si>
  <si>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</si>
  <si>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</si>
  <si>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</si>
  <si>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</si>
  <si>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</si>
  <si>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</si>
  <si>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</si>
  <si>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</si>
  <si>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</si>
  <si>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</si>
  <si>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</si>
  <si>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</si>
  <si>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</si>
  <si>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</si>
  <si>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</si>
  <si>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</si>
  <si>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</si>
  <si>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</si>
  <si>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</si>
  <si>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</si>
  <si>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</si>
  <si>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</si>
  <si>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</si>
  <si>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</si>
  <si>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</si>
  <si>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</si>
  <si>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</si>
  <si>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</si>
  <si>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</si>
  <si>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</si>
  <si>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</si>
  <si>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</si>
  <si>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</si>
  <si>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</si>
  <si>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</si>
  <si>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</si>
  <si>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</si>
  <si>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</si>
  <si>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</si>
  <si>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</si>
  <si>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</si>
  <si>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</si>
  <si>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</si>
  <si>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</si>
  <si>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</si>
  <si>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</si>
  <si>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</si>
  <si>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</si>
  <si>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</si>
  <si>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</si>
  <si>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</si>
  <si>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</si>
  <si>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</si>
  <si>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</si>
  <si>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</si>
  <si>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</si>
  <si>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</si>
  <si>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</si>
  <si>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</si>
  <si>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</si>
  <si>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</si>
  <si>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</si>
  <si>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</si>
  <si>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</si>
  <si>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</si>
  <si>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</si>
  <si>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</si>
  <si>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</si>
  <si>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</si>
  <si>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</si>
  <si>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</si>
  <si>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</si>
  <si>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</si>
  <si>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</si>
  <si>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</si>
  <si>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</si>
  <si>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</si>
  <si>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</si>
  <si>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</si>
  <si>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</si>
  <si>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</si>
  <si>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</si>
  <si>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</si>
  <si>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</si>
  <si>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</si>
  <si>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</si>
  <si>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</si>
  <si>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</si>
  <si>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</si>
  <si>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</si>
  <si>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</si>
  <si>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</si>
  <si>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</si>
  <si>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</si>
  <si>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</si>
  <si>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</si>
  <si>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</si>
  <si>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</si>
  <si>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</si>
  <si>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</si>
  <si>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</si>
  <si>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</si>
  <si>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</si>
  <si>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</si>
  <si>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</si>
  <si>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</si>
  <si>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</si>
  <si>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</si>
  <si>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</si>
  <si>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</si>
  <si>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</si>
  <si>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</si>
  <si>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</si>
  <si>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</si>
  <si>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</si>
  <si>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</si>
  <si>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</si>
  <si>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</si>
  <si>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</si>
  <si>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</si>
  <si>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</si>
  <si>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</si>
  <si>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</si>
  <si>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</si>
  <si>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</si>
  <si>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</si>
  <si>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</si>
  <si>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</si>
  <si>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</si>
  <si>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</si>
  <si>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</si>
  <si>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</si>
  <si>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</si>
  <si>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</si>
  <si>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</si>
  <si>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</si>
  <si>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</si>
  <si>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</si>
  <si>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</si>
  <si>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</si>
  <si>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</si>
  <si>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</si>
  <si>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</si>
  <si>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</si>
  <si>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</si>
  <si>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</si>
  <si>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</si>
  <si>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</si>
  <si>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</si>
  <si>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</si>
  <si>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</si>
  <si>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</si>
  <si>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</si>
  <si>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</si>
  <si>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</si>
  <si>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</si>
  <si>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</si>
  <si>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</si>
  <si>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</si>
  <si>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</si>
  <si>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</si>
  <si>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</si>
  <si>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</si>
  <si>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</si>
  <si>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</si>
  <si>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</si>
  <si>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</si>
  <si>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</si>
  <si>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</si>
  <si>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</si>
  <si>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</si>
  <si>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</si>
  <si>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</si>
  <si>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</si>
  <si>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</si>
  <si>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</si>
  <si>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</si>
  <si>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</si>
  <si>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</si>
  <si>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</si>
  <si>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</si>
  <si>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</si>
  <si>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</si>
  <si>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</si>
  <si>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</si>
  <si>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</si>
  <si>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</si>
  <si>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</si>
  <si>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</si>
  <si>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</si>
  <si>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</si>
  <si>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</si>
  <si>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</si>
  <si>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</si>
  <si>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</si>
  <si>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</si>
  <si>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</si>
  <si>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</si>
  <si>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</si>
  <si>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</si>
  <si>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</si>
  <si>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</si>
  <si>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</si>
  <si>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</si>
  <si>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</si>
  <si>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</si>
  <si>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</si>
  <si>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</si>
  <si>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</si>
  <si>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</si>
  <si>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</si>
  <si>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</si>
  <si>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</si>
  <si>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</si>
  <si>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</si>
  <si>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</si>
  <si>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</si>
  <si>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</si>
  <si>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</si>
  <si>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</si>
  <si>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</si>
  <si>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</si>
  <si>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</si>
  <si>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</si>
  <si>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</si>
  <si>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</si>
  <si>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</si>
  <si>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</si>
  <si>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</si>
  <si>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</si>
  <si>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</si>
  <si>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</si>
  <si>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</si>
  <si>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</si>
  <si>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</si>
  <si>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</si>
  <si>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</si>
  <si>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</si>
  <si>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</si>
  <si>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</si>
  <si>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</si>
  <si>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</si>
  <si>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</si>
  <si>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</si>
  <si>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</si>
  <si>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</si>
  <si>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</si>
  <si>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</si>
  <si>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</si>
  <si>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</si>
  <si>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</si>
  <si>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</si>
  <si>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</si>
  <si>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</si>
  <si>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</si>
  <si>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</si>
  <si>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</si>
  <si>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</si>
  <si>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</si>
  <si>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</si>
  <si>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</si>
  <si>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</si>
  <si>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</si>
  <si>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</si>
  <si>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</si>
  <si>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</si>
  <si>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</si>
  <si>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</si>
  <si>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</si>
  <si>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</si>
  <si>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</si>
  <si>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</si>
  <si>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</si>
  <si>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</si>
  <si>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</si>
  <si>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</si>
  <si>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</si>
  <si>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</si>
  <si>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</si>
  <si>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</si>
  <si>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</si>
  <si>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</si>
  <si>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</si>
  <si>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</si>
  <si>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</si>
  <si>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</si>
  <si>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</si>
  <si>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</si>
  <si>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</si>
  <si>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</si>
  <si>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</si>
  <si>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</si>
  <si>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</si>
  <si>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</si>
  <si>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</si>
  <si>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</si>
  <si>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</si>
  <si>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</si>
  <si>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</si>
  <si>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</si>
  <si>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</si>
  <si>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</si>
  <si>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</si>
  <si>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</si>
  <si>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</si>
  <si>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</si>
  <si>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</si>
  <si>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</si>
  <si>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</si>
  <si>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</si>
  <si>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</si>
  <si>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</si>
  <si>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</si>
  <si>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</si>
  <si>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</si>
  <si>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</si>
  <si>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</si>
  <si>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</si>
  <si>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</si>
  <si>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</si>
  <si>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</si>
  <si>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</si>
  <si>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</si>
  <si>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</si>
  <si>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</si>
  <si>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</si>
  <si>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</si>
  <si>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</si>
  <si>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</si>
  <si>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</si>
  <si>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</si>
  <si>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</si>
  <si>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</si>
  <si>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</si>
  <si>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</si>
  <si>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</si>
  <si>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</si>
  <si>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</si>
  <si>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</si>
  <si>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</si>
  <si>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</si>
  <si>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</si>
  <si>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</si>
  <si>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</si>
  <si>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</si>
  <si>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</si>
  <si>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</si>
  <si>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</si>
  <si>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</si>
  <si>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</si>
  <si>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</si>
  <si>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</si>
  <si>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</si>
  <si>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</si>
  <si>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</si>
  <si>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</si>
  <si>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</si>
  <si>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</si>
  <si>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</si>
  <si>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</si>
  <si>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</si>
  <si>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</si>
  <si>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</si>
  <si>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</si>
  <si>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</si>
  <si>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</si>
  <si>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</si>
  <si>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</si>
  <si>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</si>
  <si>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</si>
  <si>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</si>
  <si>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</si>
  <si>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</si>
  <si>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</si>
  <si>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</si>
  <si>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</si>
  <si>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</si>
  <si>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</si>
  <si>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</si>
  <si>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</si>
  <si>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</si>
  <si>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</si>
  <si>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</si>
  <si>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</si>
  <si>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</si>
  <si>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</si>
  <si>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</si>
  <si>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</si>
  <si>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</si>
  <si>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</si>
  <si>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</si>
  <si>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</si>
  <si>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</si>
  <si>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</si>
  <si>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</si>
  <si>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</si>
  <si>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</si>
  <si>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</si>
  <si>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</si>
  <si>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</si>
  <si>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</si>
  <si>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</si>
  <si>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</si>
  <si>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</si>
  <si>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</si>
  <si>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</si>
  <si>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</si>
  <si>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</si>
  <si>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</si>
  <si>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</si>
  <si>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</si>
  <si>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</si>
  <si>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</si>
  <si>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</si>
  <si>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</si>
  <si>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</si>
  <si>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</si>
  <si>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</si>
  <si>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</si>
  <si>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</si>
  <si>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</si>
  <si>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</si>
  <si>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</si>
  <si>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</si>
  <si>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</si>
  <si>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</si>
  <si>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</si>
  <si>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</si>
  <si>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</si>
  <si>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</si>
  <si>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</si>
  <si>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</si>
  <si>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</si>
  <si>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</si>
  <si>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</si>
  <si>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</si>
  <si>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</si>
  <si>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</si>
  <si>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</si>
  <si>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</si>
  <si>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</si>
  <si>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</si>
  <si>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</si>
  <si>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</si>
  <si>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</si>
  <si>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</si>
  <si>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</si>
  <si>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</si>
  <si>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</si>
  <si>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</si>
  <si>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</si>
  <si>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</si>
  <si>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</si>
  <si>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</si>
  <si>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</si>
  <si>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</si>
  <si>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</si>
  <si>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</si>
  <si>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</si>
  <si>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</si>
  <si>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</si>
  <si>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</si>
  <si>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</si>
  <si>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</si>
  <si>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</si>
  <si>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</si>
  <si>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</si>
  <si>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</si>
  <si>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</si>
  <si>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</si>
  <si>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</si>
  <si>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</si>
  <si>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</si>
  <si>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</si>
  <si>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</si>
  <si>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</si>
  <si>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</si>
  <si>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</si>
  <si>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</si>
  <si>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</si>
  <si>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</si>
  <si>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</si>
  <si>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</si>
  <si>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</si>
  <si>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</si>
  <si>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</si>
  <si>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</si>
  <si>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</si>
  <si>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</si>
  <si>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</si>
  <si>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</si>
  <si>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</si>
  <si>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</si>
  <si>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</si>
  <si>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</si>
  <si>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</si>
  <si>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</si>
  <si>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</si>
  <si>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</si>
  <si>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</si>
  <si>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</si>
  <si>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</si>
  <si>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</si>
  <si>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</si>
  <si>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</si>
  <si>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</si>
  <si>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</si>
  <si>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</si>
  <si>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</si>
  <si>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</si>
  <si>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</si>
  <si>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</si>
  <si>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</si>
  <si>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</si>
  <si>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</si>
  <si>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</si>
  <si>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</si>
  <si>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</si>
  <si>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</si>
  <si>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</si>
  <si>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</si>
  <si>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</si>
  <si>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</si>
  <si>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</si>
  <si>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</si>
  <si>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</si>
  <si>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</si>
  <si>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</si>
  <si>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</si>
  <si>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</si>
  <si>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</si>
  <si>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</si>
  <si>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</si>
  <si>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</si>
  <si>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</si>
  <si>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</si>
  <si>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</si>
  <si>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</si>
  <si>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</si>
  <si>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</si>
  <si>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</si>
  <si>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</si>
  <si>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</si>
  <si>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</si>
  <si>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</si>
  <si>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</si>
  <si>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</si>
  <si>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</si>
  <si>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</si>
  <si>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</si>
  <si>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</si>
  <si>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</si>
  <si>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</si>
  <si>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</si>
  <si>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</si>
  <si>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</si>
  <si>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</si>
  <si>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</si>
  <si>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</si>
  <si>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</si>
  <si>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</si>
  <si>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</si>
  <si>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</si>
  <si>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</si>
  <si>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</si>
  <si>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</si>
  <si>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</si>
  <si>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</si>
  <si>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</si>
  <si>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</si>
  <si>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</si>
  <si>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</si>
  <si>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</si>
  <si>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</si>
  <si>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</si>
  <si>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</si>
  <si>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</si>
  <si>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</si>
  <si>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</si>
  <si>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</si>
  <si>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</si>
  <si>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</si>
  <si>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</si>
  <si>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</si>
  <si>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</si>
  <si>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</si>
  <si>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</si>
  <si>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</si>
  <si>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</si>
  <si>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</si>
  <si>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</si>
  <si>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</si>
  <si>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</si>
  <si>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</si>
  <si>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</si>
  <si>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</si>
  <si>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</si>
  <si>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</si>
  <si>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</si>
  <si>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</si>
  <si>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</si>
  <si>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</si>
  <si>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</si>
  <si>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</si>
  <si>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</si>
  <si>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</si>
  <si>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</si>
  <si>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</si>
  <si>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</si>
  <si>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</si>
  <si>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</si>
  <si>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</si>
  <si>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</si>
  <si>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</si>
  <si>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</si>
  <si>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</si>
  <si>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</si>
  <si>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</si>
  <si>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</si>
  <si>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</si>
  <si>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</si>
  <si>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</si>
  <si>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</si>
  <si>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</si>
  <si>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</si>
  <si>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</si>
  <si>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</si>
  <si>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</si>
  <si>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</si>
  <si>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</si>
  <si>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</si>
  <si>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</si>
  <si>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</si>
  <si>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</si>
  <si>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</si>
  <si>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</si>
  <si>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</si>
  <si>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</si>
  <si>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</si>
  <si>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</si>
  <si>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</si>
  <si>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</si>
  <si>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</si>
  <si>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</si>
  <si>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</si>
  <si>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</si>
  <si>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</si>
  <si>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</si>
  <si>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</si>
  <si>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</si>
  <si>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</si>
  <si>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</si>
  <si>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</si>
  <si>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</si>
  <si>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</si>
  <si>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</si>
  <si>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</si>
  <si>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</si>
  <si>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</si>
  <si>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</si>
  <si>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</si>
  <si>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</si>
  <si>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</si>
  <si>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</si>
  <si>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</si>
  <si>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</si>
  <si>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</si>
  <si>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</si>
  <si>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</si>
  <si>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</si>
  <si>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</si>
  <si>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</si>
  <si>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</si>
  <si>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</si>
  <si>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</si>
  <si>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</si>
  <si>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</si>
  <si>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</si>
  <si>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</si>
  <si>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</si>
  <si>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</si>
  <si>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</si>
  <si>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</si>
  <si>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</si>
  <si>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</si>
  <si>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</si>
  <si>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</si>
  <si>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</si>
  <si>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</si>
  <si>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</si>
  <si>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</si>
  <si>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</si>
  <si>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</si>
  <si>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</si>
  <si>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</si>
  <si>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</si>
  <si>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</si>
  <si>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</si>
  <si>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</si>
  <si>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</si>
  <si>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</si>
  <si>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</si>
  <si>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</si>
  <si>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</si>
  <si>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</si>
  <si>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</si>
  <si>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</si>
  <si>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</si>
  <si>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</si>
  <si>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</si>
  <si>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</si>
  <si>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</si>
  <si>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</si>
  <si>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</si>
  <si>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</si>
  <si>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</si>
  <si>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</si>
  <si>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</si>
  <si>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</si>
  <si>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</si>
  <si>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</si>
  <si>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</si>
  <si>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</si>
  <si>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</si>
  <si>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</si>
  <si>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</si>
  <si>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</si>
  <si>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</si>
  <si>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</si>
  <si>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</si>
  <si>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</si>
  <si>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</si>
  <si>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</si>
  <si>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</si>
  <si>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</si>
  <si>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</si>
  <si>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</si>
  <si>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</si>
  <si>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</si>
  <si>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</si>
  <si>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</si>
  <si>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</si>
  <si>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</si>
  <si>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</si>
  <si>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</si>
  <si>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</si>
  <si>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</si>
  <si>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</si>
  <si>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</si>
  <si>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</si>
  <si>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</si>
  <si>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</si>
  <si>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</si>
  <si>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</si>
  <si>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</si>
  <si>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</si>
  <si>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</si>
  <si>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</si>
  <si>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</si>
  <si>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</si>
  <si>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</si>
  <si>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</si>
  <si>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</si>
  <si>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</si>
  <si>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</si>
  <si>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</si>
  <si>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</si>
  <si>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</si>
  <si>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</si>
  <si>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</si>
  <si>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</si>
  <si>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</si>
  <si>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</si>
  <si>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</si>
  <si>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</si>
  <si>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</si>
  <si>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</si>
  <si>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</si>
  <si>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</si>
  <si>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</si>
  <si>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</si>
  <si>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</si>
  <si>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</si>
  <si>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</si>
  <si>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</si>
  <si>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</si>
  <si>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</si>
  <si>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</si>
  <si>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</si>
  <si>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</si>
  <si>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</si>
  <si>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</si>
  <si>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</si>
  <si>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</si>
  <si>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</si>
  <si>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</si>
  <si>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</si>
  <si>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</si>
  <si>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</si>
  <si>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</si>
  <si>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</si>
  <si>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</si>
  <si>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</si>
  <si>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</si>
  <si>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</si>
  <si>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</si>
  <si>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</si>
  <si>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</si>
  <si>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</si>
  <si>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</si>
  <si>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</si>
  <si>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</si>
  <si>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</si>
  <si>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</si>
  <si>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</si>
  <si>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</si>
  <si>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</si>
  <si>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</si>
  <si>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</si>
  <si>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</si>
  <si>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</si>
  <si>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</si>
  <si>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</si>
  <si>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</si>
  <si>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</si>
  <si>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</si>
  <si>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</si>
  <si>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</si>
  <si>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</si>
  <si>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</si>
  <si>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</si>
  <si>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</si>
  <si>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</si>
  <si>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</si>
  <si>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</si>
  <si>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</si>
  <si>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</si>
  <si>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</si>
  <si>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</si>
  <si>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</si>
  <si>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</si>
  <si>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</si>
  <si>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</si>
  <si>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</si>
  <si>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</si>
  <si>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</si>
  <si>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</si>
  <si>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</si>
  <si>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</si>
  <si>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</si>
  <si>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</si>
  <si>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</si>
  <si>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</si>
  <si>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</si>
  <si>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</si>
  <si>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</si>
  <si>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</si>
  <si>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</si>
  <si>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</si>
  <si>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</si>
  <si>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</si>
  <si>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</si>
  <si>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</si>
  <si>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</si>
  <si>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</si>
  <si>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</si>
  <si>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</si>
  <si>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</si>
  <si>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</si>
  <si>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</si>
  <si>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</si>
  <si>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</si>
  <si>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</si>
  <si>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</si>
  <si>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</si>
  <si>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</si>
  <si>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</si>
  <si>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</si>
  <si>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</si>
  <si>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</si>
  <si>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</si>
  <si>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</si>
  <si>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</si>
  <si>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</si>
  <si>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</si>
  <si>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</si>
  <si>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</si>
  <si>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</si>
  <si>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</si>
  <si>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</si>
  <si>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</si>
  <si>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</si>
  <si>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</si>
  <si>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</si>
  <si>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</si>
  <si>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</si>
  <si>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</si>
  <si>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</si>
  <si>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</si>
  <si>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</si>
  <si>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</si>
  <si>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</si>
  <si>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</si>
  <si>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</si>
  <si>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</si>
  <si>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</si>
  <si>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</si>
  <si>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</si>
  <si>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</si>
  <si>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</si>
  <si>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</si>
  <si>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</si>
  <si>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</si>
  <si>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</si>
  <si>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</si>
  <si>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</si>
  <si>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</si>
  <si>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</si>
  <si>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</si>
  <si>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</si>
  <si>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</si>
  <si>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</si>
  <si>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</si>
  <si>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</si>
  <si>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</si>
  <si>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</si>
  <si>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</si>
  <si>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</si>
  <si>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</si>
  <si>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</si>
  <si>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</si>
  <si>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</si>
  <si>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</si>
  <si>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</si>
  <si>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</si>
  <si>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</si>
  <si>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</si>
  <si>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</si>
  <si>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</si>
  <si>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</si>
  <si>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</si>
  <si>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</si>
  <si>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</si>
  <si>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</si>
  <si>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</si>
  <si>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</si>
  <si>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</si>
  <si>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</si>
  <si>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</si>
  <si>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</si>
  <si>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</si>
  <si>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</si>
  <si>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</si>
  <si>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</si>
  <si>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</si>
  <si>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</si>
  <si>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</si>
  <si>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</si>
  <si>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</si>
  <si>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</si>
  <si>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</si>
  <si>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</si>
  <si>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</si>
  <si>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</si>
  <si>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</si>
  <si>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</si>
  <si>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</si>
  <si>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</si>
  <si>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</si>
  <si>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</si>
  <si>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</si>
  <si>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</si>
  <si>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</si>
  <si>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</si>
  <si>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</si>
  <si>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</si>
  <si>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</si>
  <si>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</si>
  <si>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</si>
  <si>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</si>
  <si>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</si>
  <si>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</si>
  <si>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</si>
  <si>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</si>
  <si>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</si>
  <si>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</si>
  <si>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</si>
  <si>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</si>
  <si>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</si>
  <si>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</si>
  <si>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</si>
  <si>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</si>
  <si>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</si>
  <si>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</si>
  <si>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</si>
  <si>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</si>
  <si>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</si>
  <si>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</si>
  <si>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</si>
  <si>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</si>
  <si>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</si>
  <si>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</si>
  <si>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</si>
  <si>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</si>
  <si>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</si>
  <si>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</si>
  <si>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</si>
  <si>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</si>
  <si>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</si>
  <si>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</si>
  <si>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</si>
  <si>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</si>
  <si>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</si>
  <si>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</si>
  <si>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</si>
  <si>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</si>
  <si>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</si>
  <si>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</si>
  <si>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</si>
  <si>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</si>
  <si>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</si>
  <si>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</si>
  <si>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</si>
  <si>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</si>
  <si>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</si>
  <si>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</si>
  <si>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</si>
  <si>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</si>
  <si>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</si>
  <si>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</si>
  <si>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</si>
  <si>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</si>
  <si>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</si>
  <si>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</si>
  <si>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</si>
  <si>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</si>
  <si>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</si>
  <si>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</si>
  <si>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</si>
  <si>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</si>
  <si>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</si>
  <si>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</si>
  <si>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</si>
  <si>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</si>
  <si>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</si>
  <si>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</si>
  <si>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</si>
  <si>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</si>
  <si>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</si>
  <si>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Realizado intervalo das 11h08 até 13h08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</si>
  <si>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</si>
  <si>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</si>
  <si>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</si>
  <si>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</si>
  <si>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</si>
  <si>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 xml:space="preserve">Tp pronto 10h39 / Realizado intervalo das 12h40 até 14h10 / Produção 7 dormentes substituidos e 18 metros de limpeza de lastro. 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</si>
  <si>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</si>
  <si>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</si>
  <si>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</si>
  <si>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</si>
  <si>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</si>
  <si>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</si>
  <si>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realizado intervalo das 12h05 até 13h35</t>
  </si>
  <si>
    <t>MC1 09h29 / Sem oportunidade de faixa</t>
  </si>
  <si>
    <t>Bloco Modernização</t>
  </si>
  <si>
    <t>Em intervalo das 10h00 até 20h00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</si>
  <si>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</si>
  <si>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</si>
  <si>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</si>
  <si>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</si>
  <si>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TP pronto 07h29 / Aguardando confirmar cauda do Y71</t>
  </si>
  <si>
    <t>TP pronto 07h29 / Realizado intervalo das 12h55 até 13h55</t>
  </si>
  <si>
    <t>;</t>
  </si>
  <si>
    <t>TP pronto 07h29 / Em intervalo das 12h55 até 13h55</t>
  </si>
  <si>
    <t>TP pronto 09h17 /  sem oportunidade</t>
  </si>
  <si>
    <t xml:space="preserve">TP pronto 12h40 / Em intervalo das 13h35 até 16h05 / </t>
  </si>
  <si>
    <t>Aguardando ativos posicionar no bloc</t>
  </si>
  <si>
    <t>Em intervalo das 12h03 até 20h03</t>
  </si>
  <si>
    <t>Previsão de pronto 10h00</t>
  </si>
  <si>
    <t>Em intervalo bloco</t>
  </si>
  <si>
    <t>Descarga de dormentes + Recolha de dormentes + Descarga de pedra</t>
  </si>
  <si>
    <t>TP pronto 08h49, sem oportunidade de faixa</t>
  </si>
  <si>
    <t>ZEV-1</t>
  </si>
  <si>
    <t>ZPT-ZEV</t>
  </si>
  <si>
    <t>MC1 07h39 / Sem oportunidade de faixa</t>
  </si>
  <si>
    <t>Z3V3</t>
  </si>
  <si>
    <t xml:space="preserve">Manobra </t>
  </si>
  <si>
    <t>ZEZZXW</t>
  </si>
  <si>
    <t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t>
  </si>
  <si>
    <t>ZPT-ZXW</t>
  </si>
  <si>
    <t>ZPTZXW</t>
  </si>
  <si>
    <t>Deslocamento turmas na serra</t>
  </si>
  <si>
    <t>pDM - Substituição de dormentes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</si>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</sst>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U1" activePane="topRight" state="frozen"/>
      <selection pane="topRight" activeCell="BL386" sqref="BL38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6" t="s">
        <v>919</v>
      </c>
      <c r="C1" s="197"/>
      <c r="D1" s="197"/>
      <c r="E1" s="3"/>
      <c r="F1" s="196" t="s">
        <v>920</v>
      </c>
      <c r="G1" s="197"/>
      <c r="H1" s="198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9"/>
      <c r="AH1" s="5"/>
      <c r="AI1" s="206" t="s">
        <v>921</v>
      </c>
      <c r="AJ1" s="207"/>
      <c r="AK1" s="207"/>
      <c r="AL1" s="207"/>
      <c r="AM1" s="208"/>
      <c r="AN1" s="209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10"/>
      <c r="BG1" s="5"/>
      <c r="BH1" s="211" t="s">
        <v>922</v>
      </c>
      <c r="BI1" s="212"/>
      <c r="BJ1" s="212"/>
      <c r="BK1" s="213"/>
      <c r="BL1" s="5"/>
      <c r="BM1" s="203" t="s">
        <v>923</v>
      </c>
      <c r="BN1" s="204"/>
      <c r="BO1" s="204"/>
      <c r="BP1" s="204"/>
      <c r="BQ1" s="204"/>
      <c r="BR1" s="204"/>
      <c r="BS1" s="205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6" t="s">
        <v>924</v>
      </c>
      <c r="AJ2" s="207"/>
      <c r="AK2" s="207"/>
      <c r="AL2" s="207"/>
      <c r="AM2" s="208"/>
      <c r="AN2" s="209"/>
      <c r="AO2" s="207"/>
      <c r="AP2" s="207"/>
      <c r="AQ2" s="210"/>
      <c r="AR2" s="6"/>
      <c r="AS2" s="206" t="s">
        <v>927</v>
      </c>
      <c r="AT2" s="207"/>
      <c r="AU2" s="207"/>
      <c r="AV2" s="207"/>
      <c r="AW2" s="207"/>
      <c r="AX2" s="207"/>
      <c r="AY2" s="210"/>
      <c r="AZ2" s="6"/>
      <c r="BA2" s="200" t="s">
        <v>928</v>
      </c>
      <c r="BB2" s="202"/>
      <c r="BC2" s="206" t="s">
        <v>925</v>
      </c>
      <c r="BD2" s="207"/>
      <c r="BE2" s="207"/>
      <c r="BF2" s="210"/>
      <c r="BG2" s="5"/>
      <c r="BH2" s="214"/>
      <c r="BI2" s="215"/>
      <c r="BJ2" s="215"/>
      <c r="BK2" s="216"/>
      <c r="BL2" s="5"/>
      <c r="BM2" s="217"/>
      <c r="BN2" s="218"/>
      <c r="BO2" s="218"/>
      <c r="BP2" s="218"/>
      <c r="BQ2" s="218"/>
      <c r="BR2" s="218"/>
      <c r="BS2" s="219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0" t="s">
        <v>929</v>
      </c>
      <c r="AJ3" s="202"/>
      <c r="AK3" s="200" t="s">
        <v>930</v>
      </c>
      <c r="AL3" s="201"/>
      <c r="AM3" s="224"/>
      <c r="AN3" s="225"/>
      <c r="AO3" s="201"/>
      <c r="AP3" s="201"/>
      <c r="AQ3" s="202"/>
      <c r="AR3" s="63"/>
      <c r="AS3" s="222" t="s">
        <v>936</v>
      </c>
      <c r="AT3" s="223"/>
      <c r="AU3" s="222" t="s">
        <v>937</v>
      </c>
      <c r="AV3" s="223"/>
      <c r="AW3" s="222" t="s">
        <v>938</v>
      </c>
      <c r="AX3" s="223"/>
      <c r="AY3" s="63" t="s">
        <v>939</v>
      </c>
      <c r="AZ3" s="63"/>
      <c r="BA3" s="220"/>
      <c r="BB3" s="221"/>
      <c r="BC3" s="200" t="s">
        <v>932</v>
      </c>
      <c r="BD3" s="201"/>
      <c r="BE3" s="201"/>
      <c r="BF3" s="202"/>
      <c r="BG3" s="62"/>
      <c r="BH3" s="214"/>
      <c r="BI3" s="215"/>
      <c r="BJ3" s="215"/>
      <c r="BK3" s="216"/>
      <c r="BL3" s="62"/>
      <c r="BM3" s="203" t="s">
        <v>940</v>
      </c>
      <c r="BN3" s="204"/>
      <c r="BO3" s="204"/>
      <c r="BP3" s="205"/>
      <c r="BQ3" s="203" t="s">
        <v>707</v>
      </c>
      <c r="BR3" s="204"/>
      <c r="BS3" s="205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0.54722222222222228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8.333333333333337E-2</v>
      </c>
      <c r="AZ361" s="153"/>
      <c r="BA361" s="109">
        <v>400</v>
      </c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2</v>
      </c>
      <c r="BI361" s="17"/>
      <c r="BJ361" s="17" t="s">
        <v>1510</v>
      </c>
      <c r="BK361" s="18" t="s">
        <v>1511</v>
      </c>
      <c r="BL361" s="16"/>
      <c r="BM361" s="130" t="s">
        <v>410</v>
      </c>
      <c r="BN361" s="130" t="s">
        <v>410</v>
      </c>
      <c r="BO361" s="130" t="s">
        <v>410</v>
      </c>
      <c r="BP361" s="18" t="s">
        <v>558</v>
      </c>
      <c r="BQ361" s="12" t="str">
        <f>IF(AND(BR361&lt;1,BS361&lt;1),"Produção e Intervalo",IF(BR361&lt;1,"Intervalo",IF(BS361&lt;1,"Produção","Aderente")))</f>
        <v>Aderente</v>
      </c>
      <c r="BR361" s="19">
        <f>IF(OR(B361="",F361=""),"*",AY361/P361)</f>
        <v>1.0000000000000004</v>
      </c>
      <c r="BS361" s="19">
        <f>IF(OR(B361="",F361=""),"*",BA361/Q361)</f>
        <v>2</v>
      </c>
      <c r="BT361" s="8" t="str">
        <f t="shared" si="8"/>
        <v>OKOK</v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>
        <v>7</v>
      </c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2</v>
      </c>
      <c r="BI365" s="17"/>
      <c r="BJ365" s="17" t="s">
        <v>1516</v>
      </c>
      <c r="BK365" s="17" t="s">
        <v>1517</v>
      </c>
      <c r="BL365" s="16"/>
      <c r="BM365" s="130" t="s">
        <v>406</v>
      </c>
      <c r="BN365" s="130" t="s">
        <v>435</v>
      </c>
      <c r="BO365" s="130" t="s">
        <v>527</v>
      </c>
      <c r="BP365" s="17" t="s">
        <v>1517</v>
      </c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0.23333333333333334</v>
      </c>
      <c r="BT365" s="8" t="str">
        <f t="shared" si="8"/>
        <v>SuperExecução</v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1</v>
      </c>
      <c r="BI374" s="17"/>
      <c r="BJ374" s="17" t="s">
        <v>1523</v>
      </c>
      <c r="BK374" s="18" t="s">
        <v>1524</v>
      </c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0.75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1</v>
      </c>
      <c r="BI375" s="17"/>
      <c r="BJ375" s="17" t="s">
        <v>1523</v>
      </c>
      <c r="BK375" s="18" t="s">
        <v>1524</v>
      </c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0.75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381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0.83333333333333337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0.41666666666666669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1</v>
      </c>
      <c r="BI378" s="17"/>
      <c r="BJ378" s="17" t="s">
        <v>1527</v>
      </c>
      <c r="BK378" s="17" t="s">
        <v>1527</v>
      </c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</v>
      </c>
      <c r="BR378" s="19">
        <f>IF(OR(B378="",F378=""),"*",AY378/P378)</f>
        <v>1.2500000000000002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1528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0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1</v>
      </c>
      <c r="BI379" s="17"/>
      <c r="BJ379" s="17" t="s">
        <v>1527</v>
      </c>
      <c r="BK379" s="17" t="s">
        <v>1527</v>
      </c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1529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0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1</v>
      </c>
      <c r="BI380" s="17"/>
      <c r="BJ380" s="17" t="s">
        <v>1527</v>
      </c>
      <c r="BK380" s="17" t="s">
        <v>1527</v>
      </c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1530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0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1</v>
      </c>
      <c r="BI381" s="17"/>
      <c r="BJ381" s="17" t="s">
        <v>1527</v>
      </c>
      <c r="BK381" s="17" t="s">
        <v>1527</v>
      </c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1531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1</v>
      </c>
      <c r="BI382" s="17"/>
      <c r="BJ382" s="17" t="s">
        <v>1527</v>
      </c>
      <c r="BK382" s="17" t="s">
        <v>1527</v>
      </c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1531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0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1</v>
      </c>
      <c r="BI383" s="17"/>
      <c r="BJ383" s="17" t="s">
        <v>1527</v>
      </c>
      <c r="BK383" s="17" t="s">
        <v>1527</v>
      </c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0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1</v>
      </c>
      <c r="BI384" s="17"/>
      <c r="BJ384" s="17" t="s">
        <v>1527</v>
      </c>
      <c r="BK384" s="17" t="s">
        <v>1527</v>
      </c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>
        <v>60</v>
      </c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2</v>
      </c>
      <c r="BI386" s="17"/>
      <c r="BJ386" s="17" t="s">
        <v>1532</v>
      </c>
      <c r="BK386" s="17" t="s">
        <v>1533</v>
      </c>
      <c r="BL386" s="16" t="s">
        <v>1534</v>
      </c>
      <c r="BM386" s="130" t="s">
        <v>405</v>
      </c>
      <c r="BN386" s="130" t="s">
        <v>434</v>
      </c>
      <c r="BO386" s="130" t="s">
        <v>512</v>
      </c>
      <c r="BP386" s="17" t="s">
        <v>1535</v>
      </c>
      <c r="BQ386" s="12" t="str">
        <f>IF(AND(BR386&lt;1,BS386&lt;1),"Produção e Intervalo",IF(BR386&lt;1,"Intervalo",IF(BS386&lt;1,"Produção","Aderente")))</f>
        <v>Intervalo</v>
      </c>
      <c r="BR386" s="19">
        <f>IF(OR(B386="",F386=""),"*",AY386/P386)</f>
        <v>0.50000000000000089</v>
      </c>
      <c r="BS386" s="19">
        <f>IF(OR(B386="",F386=""),"*",BA386/Q386)</f>
        <v>2</v>
      </c>
      <c r="BT386" s="8" t="str">
        <f t="shared" si="8"/>
        <v>CCOCirculaçãoIntervaloOportunidade</v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>
        <v>0</v>
      </c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1536</v>
      </c>
      <c r="BK388" s="17" t="s">
        <v>1536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1536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1</v>
      </c>
      <c r="BI389" s="17"/>
      <c r="BJ389" s="17" t="s">
        <v>1321</v>
      </c>
      <c r="BK389" s="18" t="s">
        <v>1537</v>
      </c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0.83333333333333304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381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1</v>
      </c>
      <c r="BI390" s="17"/>
      <c r="BJ390" s="17" t="s">
        <v>1538</v>
      </c>
      <c r="BK390" s="18" t="s">
        <v>1539</v>
      </c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</v>
      </c>
      <c r="BR390" s="19">
        <f>IF(OR(B390="",F390=""),"*",AY390/P390)</f>
        <v>1.4545454545454548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>
        <v>0.52083333333333337</v>
      </c>
      <c r="AS391" s="108">
        <v>0</v>
      </c>
      <c r="AT391" s="108">
        <v>6.9444444444444447E-4</v>
      </c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6.9444444444444447E-4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>
        <v>1</v>
      </c>
      <c r="BI391" s="17"/>
      <c r="BJ391" s="17" t="s">
        <v>1540</v>
      </c>
      <c r="BK391" s="18" t="s">
        <v>1541</v>
      </c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1542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1</v>
      </c>
      <c r="BI392" s="17"/>
      <c r="BJ392" s="17" t="s">
        <v>1540</v>
      </c>
      <c r="BK392" s="18" t="s">
        <v>1539</v>
      </c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1543</v>
      </c>
      <c r="BK395" s="17" t="s">
        <v>1543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1543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1544</v>
      </c>
      <c r="J396" s="105">
        <v>54</v>
      </c>
      <c r="K396" s="105">
        <v>106</v>
      </c>
      <c r="L396" s="105"/>
      <c r="M396" s="127" t="s">
        <v>1545</v>
      </c>
      <c r="N396" s="127" t="s">
        <v>1545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1546</v>
      </c>
      <c r="BK396" s="17" t="s">
        <v>1546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1546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 hidden="1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82.5</v>
      </c>
      <c r="L400" s="105">
        <v>83.3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/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82.5</v>
      </c>
      <c r="AQ400" s="105">
        <f>BS_CONTROLE[[#This Row],[KM - Inicio]]</f>
        <v>82.5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 hidden="1">
      <c r="A401" s="47" t="str">
        <f>D401&amp;B401</f>
        <v xml:space="preserve">TURMA FIXA VIA </v>
      </c>
      <c r="B401" s="102"/>
      <c r="C401" s="135" t="str">
        <f>IF(BS_CONTROLE[[#This Row],[DATA]]="","",WEEKNUM(BS_CONTROLE[[#This Row],[DATA]]))</f>
        <v/>
      </c>
      <c r="D401" s="104" t="s">
        <v>810</v>
      </c>
      <c r="E401" s="159">
        <v>174</v>
      </c>
      <c r="F401" s="126" t="s">
        <v>747</v>
      </c>
      <c r="G401" s="142" t="str">
        <f>IF(D401="","*",VLOOKUP(F401,BS_ATIVIDADE[],3,FALSE))</f>
        <v>TRILHO - SUBSTITUIÇÂO</v>
      </c>
      <c r="H401" s="106" t="s">
        <v>558</v>
      </c>
      <c r="I401" s="106" t="s">
        <v>558</v>
      </c>
      <c r="J401" s="105">
        <v>68</v>
      </c>
      <c r="K401" s="105">
        <v>56.2</v>
      </c>
      <c r="L401" s="105" t="s">
        <v>558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1" s="127" t="s">
        <v>272</v>
      </c>
      <c r="O401" s="106">
        <v>0.54166666666666663</v>
      </c>
      <c r="P401" s="106">
        <v>0.16666666666666666</v>
      </c>
      <c r="Q401" s="105">
        <v>624</v>
      </c>
      <c r="R401" s="10" t="str">
        <f>IFERROR(_xlfn.XLOOKUP(F401, BS_ATIVIDADE[ATIVIDADE],BS_ATIVIDADE[UNIDADE] ), "*")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1058</v>
      </c>
      <c r="W401" s="151" t="s">
        <v>1187</v>
      </c>
      <c r="X401" s="104" t="s">
        <v>381</v>
      </c>
      <c r="Y401" s="129"/>
      <c r="Z401" s="104"/>
      <c r="AA401" s="105" t="s">
        <v>558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SUBSTITUIÇÃO - TRILHO</v>
      </c>
      <c r="AJ401" s="9" t="str">
        <f>IF(BS_CONTROLE[[#This Row],[Atividade]]=0, "-", BS_CONTROLE[[#This Row],[Atividade]])</f>
        <v>PDM - SUBSTITUIÇÃO - TRILHO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ZBM</v>
      </c>
      <c r="AN401" s="105" t="str">
        <f>IF(BS_CONTROLE[[#This Row],[SB]]=0, "-", BS_CONTROLE[[#This Row],[SB]])</f>
        <v>ZBMK571</v>
      </c>
      <c r="AO401" s="105">
        <f>IF(BS_CONTROLE[[#This Row],[SUB]]=0, "-", BS_CONTROLE[[#This Row],[SUB]])</f>
        <v>68</v>
      </c>
      <c r="AP401" s="105">
        <f>BS_CONTROLE[[#This Row],[KM - Inicio]]</f>
        <v>56.2</v>
      </c>
      <c r="AQ401" s="105">
        <f>BS_CONTROLE[[#This Row],[KM - Inicio]]</f>
        <v>56.2</v>
      </c>
      <c r="AR401" s="108"/>
      <c r="AS401" s="108"/>
      <c r="AT401" s="108"/>
      <c r="AU401" s="136"/>
      <c r="AV401" s="136"/>
      <c r="AW401" s="14"/>
      <c r="AX401" s="14"/>
      <c r="AY401" s="164">
        <f>IF(D401="","*",IFERROR(IF(ISODD(COUNT(AS401:AX401)),"ERRO",SUM((AT401-AS401),(AV401-AU401),(AX401-AW401))),"ERRO"))</f>
        <v>0</v>
      </c>
      <c r="AZ401" s="153"/>
      <c r="BA401" s="109"/>
      <c r="BB401" s="10" t="str">
        <f>IFERROR(_xlfn.XLOOKUP(AI401, BS_ATIVIDADE[ATIVIDADE],BS_ATIVIDADE[UNIDADE] ), "*")</f>
        <v>M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/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/>
      </c>
    </row>
    <row r="404" spans="1:72" hidden="1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/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 hidden="1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/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 hidden="1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/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 hidden="1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/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 hidden="1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/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 hidden="1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/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/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 hidden="1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721</v>
      </c>
      <c r="G412" s="142" t="str">
        <f>IF(D412="","*",VLOOKUP(F412,BS_ATIVIDADE[],3,FALSE))</f>
        <v>DORMENTE - DESCARGA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/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DESCARGA - DORMENTE</v>
      </c>
      <c r="AJ412" s="9" t="str">
        <f>IF(BS_CONTROLE[[#This Row],[Atividade]]=0, "-", BS_CONTROLE[[#This Row],[Atividade]])</f>
        <v>PDM - DESCARGA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 hidden="1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721</v>
      </c>
      <c r="G413" s="142" t="str">
        <f>IF(D413="","*",VLOOKUP(F413,BS_ATIVIDADE[],3,FALSE))</f>
        <v>DORMENTE - DESCARGA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/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DESCARGA - DORMENTE</v>
      </c>
      <c r="AJ413" s="9" t="str">
        <f>IF(BS_CONTROLE[[#This Row],[Atividade]]=0, "-", BS_CONTROLE[[#This Row],[Atividade]])</f>
        <v>PDM - DESCARGA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 hidden="1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/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 hidden="1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/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 hidden="1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/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/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 hidden="1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/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 hidden="1">
      <c r="A420" s="47" t="str">
        <f>D420&amp;B420</f>
        <v>W9746094</v>
      </c>
      <c r="B420" s="102">
        <v>46094</v>
      </c>
      <c r="C420" s="135">
        <f>IF(BS_CONTROLE[[#This Row],[DATA]]="","",WEEKNUM(BS_CONTROLE[[#This Row],[DATA]]))</f>
        <v>11</v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1547</v>
      </c>
      <c r="I420" s="106" t="s">
        <v>1547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 t="s">
        <v>1548</v>
      </c>
      <c r="X420" s="104" t="s">
        <v>386</v>
      </c>
      <c r="Y420" s="129"/>
      <c r="Z420" s="104"/>
      <c r="AA420" s="105">
        <v>1</v>
      </c>
      <c r="AB420" s="103" t="s">
        <v>377</v>
      </c>
      <c r="AC420" s="152" t="s">
        <v>371</v>
      </c>
      <c r="AD420" s="107">
        <v>0.3125</v>
      </c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Produção e Intervalo</v>
      </c>
      <c r="BR420" s="19">
        <f>IF(OR(B420="",F420=""),"*",AY420/P420)</f>
        <v>0</v>
      </c>
      <c r="BS420" s="19">
        <f>IF(OR(B420="",F420=""),"*",BA420/Q420)</f>
        <v>0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>MOD ZEZ46094</v>
      </c>
      <c r="B422" s="102">
        <v>46094</v>
      </c>
      <c r="C422" s="135">
        <f>IF(BS_CONTROLE[[#This Row],[DATA]]="","",WEEKNUM(BS_CONTROLE[[#This Row],[DATA]]))</f>
        <v>11</v>
      </c>
      <c r="D422" s="104" t="s">
        <v>574</v>
      </c>
      <c r="E422" s="159">
        <v>312</v>
      </c>
      <c r="F422" s="126" t="s">
        <v>548</v>
      </c>
      <c r="G422" s="142" t="str">
        <f>IF(D422="","*",VLOOKUP(F422,BS_ATIVIDADE[],3,FALSE))</f>
        <v>OUTROS</v>
      </c>
      <c r="H422" s="106" t="s">
        <v>558</v>
      </c>
      <c r="I422" s="106" t="s">
        <v>558</v>
      </c>
      <c r="J422" s="105">
        <v>92</v>
      </c>
      <c r="K422" s="105">
        <v>75.099999999999994</v>
      </c>
      <c r="L422" s="105">
        <v>81.900000000000006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22" s="127" t="s">
        <v>1549</v>
      </c>
      <c r="O422" s="106">
        <v>0.375</v>
      </c>
      <c r="P422" s="106">
        <v>0.16666666666666666</v>
      </c>
      <c r="Q422" s="105">
        <v>1</v>
      </c>
      <c r="R422" s="10" t="str">
        <f>IFERROR(_xlfn.XLOOKUP(F422, BS_ATIVIDADE[ATIVIDADE],BS_ATIVIDADE[UNIDADE] ), "*")</f>
        <v>BINÁRIO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2" s="105" t="s">
        <v>1012</v>
      </c>
      <c r="W422" s="151" t="s">
        <v>1550</v>
      </c>
      <c r="X422" s="104" t="s">
        <v>381</v>
      </c>
      <c r="Y422" s="129"/>
      <c r="Z422" s="104"/>
      <c r="AA422" s="105" t="s">
        <v>558</v>
      </c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BLOCO</v>
      </c>
      <c r="AJ422" s="9" t="str">
        <f>IF(BS_CONTROLE[[#This Row],[Atividade]]=0, "-", BS_CONTROLE[[#This Row],[Atividade]])</f>
        <v>BLOCO</v>
      </c>
      <c r="AK422" s="31" t="str">
        <f>BS_CONTROLE[[#This Row],[Local - Partida]]</f>
        <v>-</v>
      </c>
      <c r="AL422" s="31" t="str">
        <f>BS_CONTROLE[[#This Row],[Local - Encerramento]]</f>
        <v>-</v>
      </c>
      <c r="AM422" s="105" t="str">
        <f>IF(BS_CONTROLE[[#This Row],[Entre - Estações]]=0, "-", BS_CONTROLE[[#This Row],[Entre - Estações]])</f>
        <v>ZEZ-069</v>
      </c>
      <c r="AN422" s="105" t="str">
        <f>IF(BS_CONTROLE[[#This Row],[SB]]=0, "-", BS_CONTROLE[[#This Row],[SB]])</f>
        <v>ZEZZXW</v>
      </c>
      <c r="AO422" s="105">
        <f>IF(BS_CONTROLE[[#This Row],[SUB]]=0, "-", BS_CONTROLE[[#This Row],[SUB]])</f>
        <v>92</v>
      </c>
      <c r="AP422" s="105">
        <f>BS_CONTROLE[[#This Row],[KM - Inicio]]</f>
        <v>75.099999999999994</v>
      </c>
      <c r="AQ422" s="105">
        <f>BS_CONTROLE[[#This Row],[KM - Inicio]]</f>
        <v>75.099999999999994</v>
      </c>
      <c r="AR422" s="108"/>
      <c r="AS422" s="108"/>
      <c r="AT422" s="108"/>
      <c r="AU422" s="136"/>
      <c r="AV422" s="136"/>
      <c r="AW422" s="14"/>
      <c r="AX422" s="14"/>
      <c r="AY422" s="164">
        <f>IF(D422="","*",IFERROR(IF(ISODD(COUNT(AS422:AX422)),"ERRO",SUM((AT422-AS422),(AV422-AU422),(AX422-AW422))),"ERRO"))</f>
        <v>0</v>
      </c>
      <c r="AZ422" s="153"/>
      <c r="BA422" s="109"/>
      <c r="BB422" s="10" t="str">
        <f>IFERROR(_xlfn.XLOOKUP(AI422, BS_ATIVIDADE[ATIVIDADE],BS_ATIVIDADE[UNIDADE] ), "*")</f>
        <v>BINÁRIO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Produção e Intervalo</v>
      </c>
      <c r="BR422" s="19">
        <f>IF(OR(B422="",F422=""),"*",AY422/P422)</f>
        <v>0</v>
      </c>
      <c r="BS422" s="19">
        <f>IF(OR(B422="",F422=""),"*",BA422/Q422)</f>
        <v>0</v>
      </c>
      <c r="BT422" s="8" t="str">
        <f t="shared" si="9"/>
        <v/>
      </c>
    </row>
    <row r="423" spans="1:72" hidden="1">
      <c r="A423" s="47" t="str">
        <f>D423&amp;B423</f>
        <v>W6146094</v>
      </c>
      <c r="B423" s="102">
        <v>46094</v>
      </c>
      <c r="C423" s="135">
        <f>IF(BS_CONTROLE[[#This Row],[DATA]]="","",WEEKNUM(BS_CONTROLE[[#This Row],[DATA]]))</f>
        <v>11</v>
      </c>
      <c r="D423" s="104" t="s">
        <v>792</v>
      </c>
      <c r="E423" s="159">
        <v>42</v>
      </c>
      <c r="F423" s="126" t="s">
        <v>751</v>
      </c>
      <c r="G423" s="142" t="str">
        <f>IF(D423="","*",VLOOKUP(F423,BS_ATIVIDADE[],3,FALSE))</f>
        <v>OUTROS</v>
      </c>
      <c r="H423" s="106" t="s">
        <v>336</v>
      </c>
      <c r="I423" s="106" t="s">
        <v>336</v>
      </c>
      <c r="J423" s="105">
        <v>92</v>
      </c>
      <c r="K423" s="105">
        <v>78.5</v>
      </c>
      <c r="L423" s="105">
        <v>81.3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23" s="106">
        <v>0.32291666666666669</v>
      </c>
      <c r="P423" s="106">
        <v>6.9444444444444447E-4</v>
      </c>
      <c r="Q423" s="105">
        <v>800</v>
      </c>
      <c r="R423" s="10" t="str">
        <f>IFERROR(_xlfn.XLOOKUP(F423, BS_ATIVIDADE[ATIVIDADE],BS_ATIVIDADE[UNIDADE] ), "*")</f>
        <v>Nº DE PEÇAS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1012</v>
      </c>
      <c r="W423" s="151" t="s">
        <v>1313</v>
      </c>
      <c r="X423" s="104" t="s">
        <v>381</v>
      </c>
      <c r="Y423" s="129"/>
      <c r="Z423" s="104"/>
      <c r="AA423" s="105">
        <v>1</v>
      </c>
      <c r="AB423" s="103" t="s">
        <v>377</v>
      </c>
      <c r="AC423" s="126" t="s">
        <v>371</v>
      </c>
      <c r="AD423" s="107">
        <v>0.3125</v>
      </c>
      <c r="AE423" s="105">
        <v>7663</v>
      </c>
      <c r="AF423" s="107" t="s">
        <v>558</v>
      </c>
      <c r="AG423" s="107" t="s">
        <v>558</v>
      </c>
      <c r="AH423" s="15"/>
      <c r="AI423" s="126" t="str">
        <f>IF(BS_CONTROLE[[#This Row],[Atividade]]=0, "-", BS_CONTROLE[[#This Row],[Atividade]])</f>
        <v>RECOLHIMENTO DE DORMENTE</v>
      </c>
      <c r="AJ423" s="9" t="str">
        <f>IF(BS_CONTROLE[[#This Row],[Atividade]]=0, "-", BS_CONTROLE[[#This Row],[Atividade]])</f>
        <v>RECOLHIMENTO DE DORMENTE</v>
      </c>
      <c r="AK423" s="31" t="str">
        <f>BS_CONTROLE[[#This Row],[Local - Partida]]</f>
        <v>K67ZEV2</v>
      </c>
      <c r="AL423" s="31" t="str">
        <f>BS_CONTROLE[[#This Row],[Local - Encerramento]]</f>
        <v>K67ZEV2</v>
      </c>
      <c r="AM423" s="105" t="str">
        <f>IF(BS_CONTROLE[[#This Row],[Entre - Estações]]=0, "-", BS_CONTROLE[[#This Row],[Entre - Estações]])</f>
        <v>ZXW-ZEZ</v>
      </c>
      <c r="AN423" s="105" t="str">
        <f>IF(BS_CONTROLE[[#This Row],[SB]]=0, "-", BS_CONTROLE[[#This Row],[SB]])</f>
        <v>K79ZEZ2</v>
      </c>
      <c r="AO423" s="105">
        <f>IF(BS_CONTROLE[[#This Row],[SUB]]=0, "-", BS_CONTROLE[[#This Row],[SUB]])</f>
        <v>92</v>
      </c>
      <c r="AP423" s="105">
        <f>BS_CONTROLE[[#This Row],[KM - Inicio]]</f>
        <v>78.5</v>
      </c>
      <c r="AQ423" s="105">
        <f>BS_CONTROLE[[#This Row],[KM - Inicio]]</f>
        <v>78.5</v>
      </c>
      <c r="AR423" s="108"/>
      <c r="AS423" s="108"/>
      <c r="AT423" s="108"/>
      <c r="AU423" s="136"/>
      <c r="AV423" s="136"/>
      <c r="AW423" s="14"/>
      <c r="AX423" s="14"/>
      <c r="AY423" s="164">
        <f>IF(D423="","*",IFERROR(IF(ISODD(COUNT(AS423:AX423)),"ERRO",SUM((AT423-AS423),(AV423-AU423),(AX423-AW423))),"ERRO"))</f>
        <v>0</v>
      </c>
      <c r="AZ423" s="153"/>
      <c r="BA423" s="109"/>
      <c r="BB423" s="10" t="str">
        <f>IFERROR(_xlfn.XLOOKUP(AI423, BS_ATIVIDADE[ATIVIDADE],BS_ATIVIDADE[UNIDADE] ), "*")</f>
        <v>Nº DE PEÇAS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Produção e Intervalo</v>
      </c>
      <c r="BR423" s="19">
        <f>IF(OR(B423="",F423=""),"*",AY423/P423)</f>
        <v>0</v>
      </c>
      <c r="BS423" s="19">
        <f>IF(OR(B423="",F423=""),"*",BA423/Q423)</f>
        <v>0</v>
      </c>
      <c r="BT423" s="8" t="str">
        <f t="shared" si="9"/>
        <v/>
      </c>
    </row>
    <row r="424" spans="1:72" hidden="1">
      <c r="A424" s="47" t="str">
        <f>D424&amp;B424</f>
        <v>MODERNIZAÇÃO TURMA 246094</v>
      </c>
      <c r="B424" s="102">
        <v>46094</v>
      </c>
      <c r="C424" s="135">
        <f>IF(BS_CONTROLE[[#This Row],[DATA]]="","",WEEKNUM(BS_CONTROLE[[#This Row],[DATA]]))</f>
        <v>11</v>
      </c>
      <c r="D424" s="104" t="s">
        <v>596</v>
      </c>
      <c r="E424" s="159">
        <v>418</v>
      </c>
      <c r="F424" s="126" t="s">
        <v>691</v>
      </c>
      <c r="G424" s="142" t="str">
        <f>IF(D424="","*",VLOOKUP(F424,BS_ATIVIDADE[],3,FALSE))</f>
        <v>MODERNIZAÇÃO</v>
      </c>
      <c r="H424" s="106" t="s">
        <v>558</v>
      </c>
      <c r="I424" s="106" t="s">
        <v>558</v>
      </c>
      <c r="J424" s="105">
        <v>92</v>
      </c>
      <c r="K424" s="105">
        <v>80.040000000000006</v>
      </c>
      <c r="L424" s="105">
        <v>80.066999999999993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24" s="106">
        <v>0.375</v>
      </c>
      <c r="P424" s="106">
        <v>6.9444444444444447E-4</v>
      </c>
      <c r="Q424" s="105">
        <v>2</v>
      </c>
      <c r="R424" s="10" t="str">
        <f>IFERROR(_xlfn.XLOOKUP(F424, BS_ATIVIDADE[ATIVIDADE],BS_ATIVIDADE[UNIDADE] ), "*")</f>
        <v>Nº DE SOLDA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1012</v>
      </c>
      <c r="W424" s="151" t="s">
        <v>1025</v>
      </c>
      <c r="X424" s="104" t="s">
        <v>381</v>
      </c>
      <c r="Y424" s="129"/>
      <c r="Z424" s="104"/>
      <c r="AA424" s="105" t="s">
        <v>558</v>
      </c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SOLDA</v>
      </c>
      <c r="AJ424" s="9" t="str">
        <f>IF(BS_CONTROLE[[#This Row],[Atividade]]=0, "-", BS_CONTROLE[[#This Row],[Atividade]])</f>
        <v>MODERNIZAÇÃO - SOLDA</v>
      </c>
      <c r="AK424" s="31" t="str">
        <f>BS_CONTROLE[[#This Row],[Local - Partida]]</f>
        <v>-</v>
      </c>
      <c r="AL424" s="31" t="str">
        <f>BS_CONTROLE[[#This Row],[Local - Encerramento]]</f>
        <v>-</v>
      </c>
      <c r="AM424" s="105" t="str">
        <f>IF(BS_CONTROLE[[#This Row],[Entre - Estações]]=0, "-", BS_CONTROLE[[#This Row],[Entre - Estações]])</f>
        <v>ZXW-ZEZ</v>
      </c>
      <c r="AN424" s="105" t="str">
        <f>IF(BS_CONTROLE[[#This Row],[SB]]=0, "-", BS_CONTROLE[[#This Row],[SB]])</f>
        <v>ZXWK792</v>
      </c>
      <c r="AO424" s="105">
        <f>IF(BS_CONTROLE[[#This Row],[SUB]]=0, "-", BS_CONTROLE[[#This Row],[SUB]])</f>
        <v>92</v>
      </c>
      <c r="AP424" s="105">
        <f>BS_CONTROLE[[#This Row],[KM - Inicio]]</f>
        <v>80.040000000000006</v>
      </c>
      <c r="AQ424" s="105">
        <f>BS_CONTROLE[[#This Row],[KM - Inicio]]</f>
        <v>80.040000000000006</v>
      </c>
      <c r="AR424" s="108"/>
      <c r="AS424" s="108"/>
      <c r="AT424" s="108"/>
      <c r="AU424" s="136"/>
      <c r="AV424" s="136"/>
      <c r="AW424" s="14"/>
      <c r="AX424" s="14"/>
      <c r="AY424" s="164">
        <f>IF(D424="","*",IFERROR(IF(ISODD(COUNT(AS424:AX424)),"ERRO",SUM((AT424-AS424),(AV424-AU424),(AX424-AW424))),"ERRO"))</f>
        <v>0</v>
      </c>
      <c r="AZ424" s="153"/>
      <c r="BA424" s="109"/>
      <c r="BB424" s="10" t="str">
        <f>IFERROR(_xlfn.XLOOKUP(AI424, BS_ATIVIDADE[ATIVIDADE],BS_ATIVIDADE[UNIDADE] ), "*")</f>
        <v>Nº DE SOLDA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Produção e Intervalo</v>
      </c>
      <c r="BR424" s="19">
        <f>IF(OR(B424="",F424=""),"*",AY424/P424)</f>
        <v>0</v>
      </c>
      <c r="BS424" s="19">
        <f>IF(OR(B424="",F424=""),"*",BA424/Q424)</f>
        <v>0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>W6246094</v>
      </c>
      <c r="B426" s="102">
        <v>46094</v>
      </c>
      <c r="C426" s="135">
        <f>IF(BS_CONTROLE[[#This Row],[DATA]]="","",WEEKNUM(BS_CONTROLE[[#This Row],[DATA]]))</f>
        <v>11</v>
      </c>
      <c r="D426" s="104" t="s">
        <v>793</v>
      </c>
      <c r="E426" s="159">
        <v>420</v>
      </c>
      <c r="F426" s="126" t="s">
        <v>572</v>
      </c>
      <c r="G426" s="142" t="str">
        <f>IF(D426="","*",VLOOKUP(F426,BS_ATIVIDADE[],3,FALSE))</f>
        <v>OUTROS</v>
      </c>
      <c r="H426" s="106" t="s">
        <v>1263</v>
      </c>
      <c r="I426" s="106" t="s">
        <v>1225</v>
      </c>
      <c r="J426" s="105">
        <v>54</v>
      </c>
      <c r="K426" s="105">
        <v>83.7</v>
      </c>
      <c r="L426" s="105" t="s">
        <v>558</v>
      </c>
      <c r="M426" s="127" t="s">
        <v>1551</v>
      </c>
      <c r="N426" s="127" t="s">
        <v>1552</v>
      </c>
      <c r="O426" s="106">
        <v>0.33333333333333331</v>
      </c>
      <c r="P426" s="106">
        <v>4.1666666666666664E-2</v>
      </c>
      <c r="Q426" s="105">
        <v>1</v>
      </c>
      <c r="R426" s="10" t="str">
        <f>IFERROR(_xlfn.XLOOKUP(F426, BS_ATIVIDADE[ATIVIDADE],BS_ATIVIDADE[UNIDADE] ), "*")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6" s="105" t="s">
        <v>1029</v>
      </c>
      <c r="W426" s="151" t="s">
        <v>1553</v>
      </c>
      <c r="X426" s="104" t="s">
        <v>386</v>
      </c>
      <c r="Y426" s="129"/>
      <c r="Z426" s="104"/>
      <c r="AA426" s="105">
        <v>1</v>
      </c>
      <c r="AB426" s="103" t="s">
        <v>377</v>
      </c>
      <c r="AC426" s="152" t="s">
        <v>371</v>
      </c>
      <c r="AD426" s="107">
        <v>0.3125</v>
      </c>
      <c r="AE426" s="105">
        <v>9049</v>
      </c>
      <c r="AF426" s="105" t="s">
        <v>558</v>
      </c>
      <c r="AG426" s="105"/>
      <c r="AH426" s="15"/>
      <c r="AI426" s="126" t="str">
        <f>IF(BS_CONTROLE[[#This Row],[Atividade]]=0, "-", BS_CONTROLE[[#This Row],[Atividade]])</f>
        <v>DESLOCAMENTO</v>
      </c>
      <c r="AJ426" s="9" t="str">
        <f>IF(BS_CONTROLE[[#This Row],[Atividade]]=0, "-", BS_CONTROLE[[#This Row],[Atividade]])</f>
        <v>DESLOCAMENTO</v>
      </c>
      <c r="AK426" s="31" t="str">
        <f>BS_CONTROLE[[#This Row],[Local - Partida]]</f>
        <v>ZPT105-1</v>
      </c>
      <c r="AL426" s="31" t="str">
        <f>BS_CONTROLE[[#This Row],[Local - Encerramento]]</f>
        <v>ZDRZPT</v>
      </c>
      <c r="AM426" s="105" t="str">
        <f>IF(BS_CONTROLE[[#This Row],[Entre - Estações]]=0, "-", BS_CONTROLE[[#This Row],[Entre - Estações]])</f>
        <v>ZPT-ZXW</v>
      </c>
      <c r="AN426" s="105" t="str">
        <f>IF(BS_CONTROLE[[#This Row],[SB]]=0, "-", BS_CONTROLE[[#This Row],[SB]])</f>
        <v>ZPTZXW</v>
      </c>
      <c r="AO426" s="105">
        <f>IF(BS_CONTROLE[[#This Row],[SUB]]=0, "-", BS_CONTROLE[[#This Row],[SUB]])</f>
        <v>54</v>
      </c>
      <c r="AP426" s="105">
        <f>BS_CONTROLE[[#This Row],[KM - Inicio]]</f>
        <v>83.7</v>
      </c>
      <c r="AQ426" s="105">
        <f>BS_CONTROLE[[#This Row],[KM - Inicio]]</f>
        <v>83.7</v>
      </c>
      <c r="AR426" s="108"/>
      <c r="AS426" s="108"/>
      <c r="AT426" s="108"/>
      <c r="AU426" s="136"/>
      <c r="AV426" s="136"/>
      <c r="AW426" s="14"/>
      <c r="AX426" s="14"/>
      <c r="AY426" s="164">
        <f>IF(D426="","*",IFERROR(IF(ISODD(COUNT(AS426:AX426)),"ERRO",SUM((AT426-AS426),(AV426-AU426),(AX426-AW426))),"ERRO"))</f>
        <v>0</v>
      </c>
      <c r="AZ426" s="153"/>
      <c r="BA426" s="109"/>
      <c r="BB426" s="10" t="str">
        <f>IFERROR(_xlfn.XLOOKUP(AI426, BS_ATIVIDADE[ATIVIDADE],BS_ATIVIDADE[UNIDADE] ), "*")</f>
        <v>BINÁRIO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Produção e Intervalo</v>
      </c>
      <c r="BR426" s="19">
        <f>IF(OR(B426="",F426=""),"*",AY426/P426)</f>
        <v>0</v>
      </c>
      <c r="BS426" s="19">
        <f>IF(OR(B426="",F426=""),"*",BA426/Q426)</f>
        <v>0</v>
      </c>
      <c r="BT426" s="8" t="str">
        <f t="shared" si="9"/>
        <v/>
      </c>
    </row>
    <row r="427" spans="1:72" hidden="1">
      <c r="A427" s="47" t="str">
        <f>D427&amp;B427</f>
        <v>MOD ZGP46094</v>
      </c>
      <c r="B427" s="102">
        <v>46094</v>
      </c>
      <c r="C427" s="135">
        <f>IF(BS_CONTROLE[[#This Row],[DATA]]="","",WEEKNUM(BS_CONTROLE[[#This Row],[DATA]]))</f>
        <v>11</v>
      </c>
      <c r="D427" s="104" t="s">
        <v>915</v>
      </c>
      <c r="E427" s="159">
        <v>46</v>
      </c>
      <c r="F427" s="126" t="s">
        <v>548</v>
      </c>
      <c r="G427" s="142" t="str">
        <f>IF(D427="","*",VLOOKUP(F427,BS_ATIVIDADE[],3,FALSE))</f>
        <v>OUTROS</v>
      </c>
      <c r="H427" s="106" t="s">
        <v>558</v>
      </c>
      <c r="I427" s="106" t="s">
        <v>558</v>
      </c>
      <c r="J427" s="105">
        <v>92</v>
      </c>
      <c r="K427" s="105">
        <v>102</v>
      </c>
      <c r="L427" s="105">
        <v>106.3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7" s="106">
        <v>0.47916666666666669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1012</v>
      </c>
      <c r="W427" s="151" t="s">
        <v>1526</v>
      </c>
      <c r="X427" s="104" t="s">
        <v>386</v>
      </c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</v>
      </c>
      <c r="AN427" s="105" t="str">
        <f>IF(BS_CONTROLE[[#This Row],[SB]]=0, "-", BS_CONTROLE[[#This Row],[SB]])</f>
        <v>ZGP2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4">
        <f>IF(D427="","*",IFERROR(IF(ISODD(COUNT(AS427:AX427)),"ERRO",SUM((AT427-AS427),(AV427-AU427),(AX427-AW427))),"ERRO"))</f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Produção e Intervalo</v>
      </c>
      <c r="BR427" s="19">
        <f>IF(OR(B427="",F427=""),"*",AY427/P427)</f>
        <v>0</v>
      </c>
      <c r="BS427" s="19">
        <f>IF(OR(B427="",F427=""),"*",BA427/Q427)</f>
        <v>0</v>
      </c>
      <c r="BT427" s="8" t="str">
        <f t="shared" si="9"/>
        <v/>
      </c>
    </row>
    <row r="428" spans="1:72" hidden="1">
      <c r="A428" s="47" t="str">
        <f>D428&amp;B428</f>
        <v>V8546094</v>
      </c>
      <c r="B428" s="102">
        <v>46094</v>
      </c>
      <c r="C428" s="135">
        <f>IF(BS_CONTROLE[[#This Row],[DATA]]="","",WEEKNUM(BS_CONTROLE[[#This Row],[DATA]]))</f>
        <v>11</v>
      </c>
      <c r="D428" s="104" t="s">
        <v>759</v>
      </c>
      <c r="E428" s="159">
        <v>318</v>
      </c>
      <c r="F428" s="126" t="s">
        <v>663</v>
      </c>
      <c r="G428" s="142" t="str">
        <f>IF(D428="","*",VLOOKUP(F428,BS_ATIVIDADE[],3,FALSE))</f>
        <v>MECANIZAÇÃO - SOCADORA</v>
      </c>
      <c r="H428" s="106" t="s">
        <v>1225</v>
      </c>
      <c r="I428" s="106" t="s">
        <v>1225</v>
      </c>
      <c r="J428" s="105">
        <v>92</v>
      </c>
      <c r="K428" s="105">
        <v>102.1</v>
      </c>
      <c r="L428" s="105">
        <v>103.54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0.41666666666666669</v>
      </c>
      <c r="P428" s="106">
        <v>0</v>
      </c>
      <c r="Q428" s="105">
        <v>1310</v>
      </c>
      <c r="R428" s="10" t="str">
        <f>IFERROR(_xlfn.XLOOKUP(F428, BS_ATIVIDADE[ATIVIDADE],BS_ATIVIDADE[UNIDADE] ), "*")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1012</v>
      </c>
      <c r="W428" s="151" t="s">
        <v>1317</v>
      </c>
      <c r="X428" s="104" t="s">
        <v>386</v>
      </c>
      <c r="Y428" s="129"/>
      <c r="Z428" s="104"/>
      <c r="AA428" s="105">
        <v>1</v>
      </c>
      <c r="AB428" s="103" t="s">
        <v>377</v>
      </c>
      <c r="AC428" s="152" t="s">
        <v>371</v>
      </c>
      <c r="AD428" s="107">
        <v>0.3125</v>
      </c>
      <c r="AE428" s="105">
        <v>2235</v>
      </c>
      <c r="AF428" s="105" t="s">
        <v>558</v>
      </c>
      <c r="AG428" s="105"/>
      <c r="AH428" s="15"/>
      <c r="AI428" s="126" t="str">
        <f>IF(BS_CONTROLE[[#This Row],[Atividade]]=0, "-", BS_CONTROLE[[#This Row],[Atividade]])</f>
        <v>MECANIZAÇÃO - SOCADORA</v>
      </c>
      <c r="AJ428" s="9" t="str">
        <f>IF(BS_CONTROLE[[#This Row],[Atividade]]=0, "-", BS_CONTROLE[[#This Row],[Atividade]])</f>
        <v>MECANIZAÇÃO - SOCADORA</v>
      </c>
      <c r="AK428" s="31" t="str">
        <f>BS_CONTROLE[[#This Row],[Local - Partida]]</f>
        <v>ZDRZPT</v>
      </c>
      <c r="AL428" s="31" t="str">
        <f>BS_CONTROLE[[#This Row],[Local - Encerramento]]</f>
        <v>ZDRZPT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4">
        <f>IF(D428="","*",IFERROR(IF(ISODD(COUNT(AS428:AX428)),"ERRO",SUM((AT428-AS428),(AV428-AU428),(AX428-AW428))),"ERRO"))</f>
        <v>0</v>
      </c>
      <c r="AZ428" s="153"/>
      <c r="BA428" s="109"/>
      <c r="BB428" s="10" t="str">
        <f>IFERROR(_xlfn.XLOOKUP(AI428, BS_ATIVIDADE[ATIVIDADE],BS_ATIVIDADE[UNIDADE] ), "*")</f>
        <v>M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e">
        <f>IF(AND(BR428&lt;1,BS428&lt;1),"Produção e Intervalo",IF(BR428&lt;1,"Intervalo",IF(BS428&lt;1,"Produção","Aderente")))</f>
        <v>#DIV/0!</v>
      </c>
      <c r="BR428" s="19" t="e">
        <f>IF(OR(B428="",F428=""),"*",AY428/P428)</f>
        <v>#DIV/0!</v>
      </c>
      <c r="BS428" s="19">
        <f>IF(OR(B428="",F428=""),"*",BA428/Q428)</f>
        <v>0</v>
      </c>
      <c r="BT428" s="8" t="str">
        <f t="shared" si="9"/>
        <v/>
      </c>
    </row>
    <row r="429" spans="1:72" hidden="1">
      <c r="A429" s="47" t="str">
        <f>D429&amp;B429</f>
        <v>HUELTON (TP-725)46094</v>
      </c>
      <c r="B429" s="102">
        <v>46094</v>
      </c>
      <c r="C429" s="135">
        <f>IF(BS_CONTROLE[[#This Row],[DATA]]="","",WEEKNUM(BS_CONTROLE[[#This Row],[DATA]]))</f>
        <v>11</v>
      </c>
      <c r="D429" s="104" t="s">
        <v>854</v>
      </c>
      <c r="E429" s="159">
        <v>423</v>
      </c>
      <c r="F429" s="126" t="s">
        <v>740</v>
      </c>
      <c r="G429" s="142" t="str">
        <f>IF(D429="","*",VLOOKUP(F429,BS_ATIVIDADE[],3,FALSE))</f>
        <v>SOLDA</v>
      </c>
      <c r="H429" s="106" t="s">
        <v>558</v>
      </c>
      <c r="I429" s="106" t="s">
        <v>558</v>
      </c>
      <c r="J429" s="105">
        <v>92</v>
      </c>
      <c r="K429" s="105">
        <v>106.8</v>
      </c>
      <c r="L429" s="105" t="s">
        <v>558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29" s="127" t="s">
        <v>367</v>
      </c>
      <c r="O429" s="106">
        <v>0.375</v>
      </c>
      <c r="P429" s="106">
        <v>0.125</v>
      </c>
      <c r="Q429" s="105">
        <v>2</v>
      </c>
      <c r="R429" s="10" t="str">
        <f>IFERROR(_xlfn.XLOOKUP(F429, BS_ATIVIDADE[ATIVIDADE],BS_ATIVIDADE[UNIDADE] ), "*")</f>
        <v>Nº DE SOLDA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1029</v>
      </c>
      <c r="W429" s="151" t="s">
        <v>1025</v>
      </c>
      <c r="X429" s="104" t="s">
        <v>386</v>
      </c>
      <c r="Y429" s="129"/>
      <c r="Z429" s="104"/>
      <c r="AA429" s="105" t="s">
        <v>558</v>
      </c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PDM - SOLDA</v>
      </c>
      <c r="AJ429" s="9" t="str">
        <f>IF(BS_CONTROLE[[#This Row],[Atividade]]=0, "-", BS_CONTROLE[[#This Row],[Atividade]])</f>
        <v>PDM - SOLDA</v>
      </c>
      <c r="AK429" s="31" t="str">
        <f>BS_CONTROLE[[#This Row],[Local - Partida]]</f>
        <v>-</v>
      </c>
      <c r="AL429" s="31" t="str">
        <f>BS_CONTROLE[[#This Row],[Local - Encerramento]]</f>
        <v>-</v>
      </c>
      <c r="AM429" s="105" t="str">
        <f>IF(BS_CONTROLE[[#This Row],[Entre - Estações]]=0, "-", BS_CONTROLE[[#This Row],[Entre - Estações]])</f>
        <v>ZPT</v>
      </c>
      <c r="AN429" s="105" t="str">
        <f>IF(BS_CONTROLE[[#This Row],[SB]]=0, "-", BS_CONTROLE[[#This Row],[SB]])</f>
        <v>ZPT2</v>
      </c>
      <c r="AO429" s="105">
        <f>IF(BS_CONTROLE[[#This Row],[SUB]]=0, "-", BS_CONTROLE[[#This Row],[SUB]])</f>
        <v>92</v>
      </c>
      <c r="AP429" s="105">
        <f>BS_CONTROLE[[#This Row],[KM - Inicio]]</f>
        <v>106.8</v>
      </c>
      <c r="AQ429" s="105">
        <f>BS_CONTROLE[[#This Row],[KM - Inicio]]</f>
        <v>106.8</v>
      </c>
      <c r="AR429" s="108"/>
      <c r="AS429" s="108"/>
      <c r="AT429" s="108"/>
      <c r="AU429" s="136"/>
      <c r="AV429" s="136"/>
      <c r="AW429" s="14"/>
      <c r="AX429" s="14"/>
      <c r="AY429" s="164">
        <f>IF(D429="","*",IFERROR(IF(ISODD(COUNT(AS429:AX429)),"ERRO",SUM((AT429-AS429),(AV429-AU429),(AX429-AW429))),"ERRO"))</f>
        <v>0</v>
      </c>
      <c r="AZ429" s="153"/>
      <c r="BA429" s="109"/>
      <c r="BB429" s="10" t="str">
        <f>IFERROR(_xlfn.XLOOKUP(AI429, BS_ATIVIDADE[ATIVIDADE],BS_ATIVIDADE[UNIDADE] ), "*")</f>
        <v>Nº DE SOLDA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Produção e Intervalo</v>
      </c>
      <c r="BR429" s="19">
        <f>IF(OR(B429="",F429=""),"*",AY429/P429)</f>
        <v>0</v>
      </c>
      <c r="BS429" s="19">
        <f>IF(OR(B429="",F429=""),"*",BA429/Q429)</f>
        <v>0</v>
      </c>
      <c r="BT429" s="8" t="str">
        <f t="shared" si="9"/>
        <v/>
      </c>
    </row>
    <row r="430" spans="1:72" hidden="1">
      <c r="A430" s="47" t="str">
        <f>D430&amp;B430</f>
        <v>EXPANSÃO TURMA 146094</v>
      </c>
      <c r="B430" s="102">
        <v>46094</v>
      </c>
      <c r="C430" s="135">
        <f>IF(BS_CONTROLE[[#This Row],[DATA]]="","",WEEKNUM(BS_CONTROLE[[#This Row],[DATA]]))</f>
        <v>11</v>
      </c>
      <c r="D430" s="104" t="s">
        <v>559</v>
      </c>
      <c r="E430" s="159">
        <v>285</v>
      </c>
      <c r="F430" s="126" t="s">
        <v>619</v>
      </c>
      <c r="G430" s="142" t="str">
        <f>IF(D430="","*",VLOOKUP(F430,BS_ATIVIDADE[],3,FALSE))</f>
        <v>EXPANSÃO</v>
      </c>
      <c r="H430" s="106" t="s">
        <v>558</v>
      </c>
      <c r="I430" s="106" t="s">
        <v>558</v>
      </c>
      <c r="J430" s="105">
        <v>30</v>
      </c>
      <c r="K430" s="105">
        <v>111.5</v>
      </c>
      <c r="L430" s="105">
        <v>112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0" s="127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430" s="106">
        <v>0.41666666666666669</v>
      </c>
      <c r="P430" s="106">
        <v>6.25E-2</v>
      </c>
      <c r="Q430" s="105">
        <v>1</v>
      </c>
      <c r="R430" s="10" t="str">
        <f>IFERROR(_xlfn.XLOOKUP(F430, BS_ATIVIDADE[ATIVIDADE],BS_ATIVIDADE[UNIDADE] ), "*")</f>
        <v>Nº DE SOLDA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0" s="105" t="s">
        <v>1047</v>
      </c>
      <c r="W430" s="151" t="s">
        <v>1025</v>
      </c>
      <c r="X430" s="104" t="s">
        <v>386</v>
      </c>
      <c r="Y430" s="129"/>
      <c r="Z430" s="104"/>
      <c r="AA430" s="105" t="s">
        <v>558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EXPANSÃO - SOLDA</v>
      </c>
      <c r="AJ430" s="9" t="str">
        <f>IF(BS_CONTROLE[[#This Row],[Atividade]]=0, "-", BS_CONTROLE[[#This Row],[Atividade]])</f>
        <v>EXPANSÃO - SOLDA</v>
      </c>
      <c r="AK430" s="31" t="str">
        <f>BS_CONTROLE[[#This Row],[Local - Partida]]</f>
        <v>-</v>
      </c>
      <c r="AL430" s="31" t="str">
        <f>BS_CONTROLE[[#This Row],[Local - Encerramento]]</f>
        <v>-</v>
      </c>
      <c r="AM430" s="105" t="str">
        <f>IF(BS_CONTROLE[[#This Row],[Entre - Estações]]=0, "-", BS_CONTROLE[[#This Row],[Entre - Estações]])</f>
        <v>ZGM-109</v>
      </c>
      <c r="AN430" s="105">
        <f>IF(BS_CONTROLE[[#This Row],[SB]]=0, "-", BS_CONTROLE[[#This Row],[SB]])</f>
        <v>1121111</v>
      </c>
      <c r="AO430" s="105">
        <f>IF(BS_CONTROLE[[#This Row],[SUB]]=0, "-", BS_CONTROLE[[#This Row],[SUB]])</f>
        <v>30</v>
      </c>
      <c r="AP430" s="105">
        <f>BS_CONTROLE[[#This Row],[KM - Inicio]]</f>
        <v>111.5</v>
      </c>
      <c r="AQ430" s="105">
        <f>BS_CONTROLE[[#This Row],[KM - Inicio]]</f>
        <v>111.5</v>
      </c>
      <c r="AR430" s="108"/>
      <c r="AS430" s="108"/>
      <c r="AT430" s="108"/>
      <c r="AU430" s="136"/>
      <c r="AV430" s="136"/>
      <c r="AW430" s="14"/>
      <c r="AX430" s="14"/>
      <c r="AY430" s="164">
        <f>IF(D430="","*",IFERROR(IF(ISODD(COUNT(AS430:AX430)),"ERRO",SUM((AT430-AS430),(AV430-AU430),(AX430-AW430))),"ERRO"))</f>
        <v>0</v>
      </c>
      <c r="AZ430" s="153"/>
      <c r="BA430" s="109"/>
      <c r="BB430" s="10" t="str">
        <f>IFERROR(_xlfn.XLOOKUP(AI430, BS_ATIVIDADE[ATIVIDADE],BS_ATIVIDADE[UNIDADE] ), "*")</f>
        <v>Nº DE SOLDA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Produção e Intervalo</v>
      </c>
      <c r="BR430" s="19">
        <f>IF(OR(B430="",F430=""),"*",AY430/P430)</f>
        <v>0</v>
      </c>
      <c r="BS430" s="19">
        <f>IF(OR(B430="",F430=""),"*",BA430/Q430)</f>
        <v>0</v>
      </c>
      <c r="BT430" s="8" t="str">
        <f t="shared" si="9"/>
        <v/>
      </c>
    </row>
    <row r="431" spans="1:72" hidden="1">
      <c r="A431" s="47" t="str">
        <f>D431&amp;B431</f>
        <v>LEANDRO (TP-727)46094</v>
      </c>
      <c r="B431" s="102">
        <v>46094</v>
      </c>
      <c r="C431" s="135">
        <f>IF(BS_CONTROLE[[#This Row],[DATA]]="","",WEEKNUM(BS_CONTROLE[[#This Row],[DATA]]))</f>
        <v>11</v>
      </c>
      <c r="D431" s="104" t="s">
        <v>878</v>
      </c>
      <c r="E431" s="159">
        <v>425</v>
      </c>
      <c r="F431" s="126" t="s">
        <v>744</v>
      </c>
      <c r="G431" s="142" t="str">
        <f>IF(D431="","*",VLOOKUP(F431,BS_ATIVIDADE[],3,FALSE))</f>
        <v>DORMENTE - SUBSTITUIÇÂO</v>
      </c>
      <c r="H431" s="106" t="s">
        <v>558</v>
      </c>
      <c r="I431" s="106" t="s">
        <v>558</v>
      </c>
      <c r="J431" s="105">
        <v>30</v>
      </c>
      <c r="K431" s="105">
        <v>113</v>
      </c>
      <c r="L431" s="105" t="s">
        <v>558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1" s="127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431" s="106">
        <v>0.41666666666666669</v>
      </c>
      <c r="P431" s="106">
        <v>8.3333333333333329E-2</v>
      </c>
      <c r="Q431" s="105">
        <v>30</v>
      </c>
      <c r="R431" s="10" t="str">
        <f>IFERROR(_xlfn.XLOOKUP(F431, BS_ATIVIDADE[ATIVIDADE],BS_ATIVIDADE[UNIDADE] ), "*")</f>
        <v>Nº DE DORMENTES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1" s="105" t="s">
        <v>1029</v>
      </c>
      <c r="W431" s="151" t="s">
        <v>1554</v>
      </c>
      <c r="X431" s="104" t="s">
        <v>381</v>
      </c>
      <c r="Y431" s="129"/>
      <c r="Z431" s="104"/>
      <c r="AA431" s="105" t="s">
        <v>558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PDM - SUBSTITUIÇÃO - DORMENTE</v>
      </c>
      <c r="AJ431" s="9" t="str">
        <f>IF(BS_CONTROLE[[#This Row],[Atividade]]=0, "-", BS_CONTROLE[[#This Row],[Atividade]])</f>
        <v>PDM - SUBSTITUIÇÃO - DORMENTE</v>
      </c>
      <c r="AK431" s="31" t="str">
        <f>BS_CONTROLE[[#This Row],[Local - Partida]]</f>
        <v>-</v>
      </c>
      <c r="AL431" s="31" t="str">
        <f>BS_CONTROLE[[#This Row],[Local - Encerramento]]</f>
        <v>-</v>
      </c>
      <c r="AM431" s="105" t="str">
        <f>IF(BS_CONTROLE[[#This Row],[Entre - Estações]]=0, "-", BS_CONTROLE[[#This Row],[Entre - Estações]])</f>
        <v>ZGM-109</v>
      </c>
      <c r="AN431" s="105">
        <f>IF(BS_CONTROLE[[#This Row],[SB]]=0, "-", BS_CONTROLE[[#This Row],[SB]])</f>
        <v>1131121</v>
      </c>
      <c r="AO431" s="105">
        <f>IF(BS_CONTROLE[[#This Row],[SUB]]=0, "-", BS_CONTROLE[[#This Row],[SUB]])</f>
        <v>30</v>
      </c>
      <c r="AP431" s="105">
        <f>BS_CONTROLE[[#This Row],[KM - Inicio]]</f>
        <v>113</v>
      </c>
      <c r="AQ431" s="105">
        <f>BS_CONTROLE[[#This Row],[KM - Inicio]]</f>
        <v>113</v>
      </c>
      <c r="AR431" s="108"/>
      <c r="AS431" s="108"/>
      <c r="AT431" s="108"/>
      <c r="AU431" s="136"/>
      <c r="AV431" s="136"/>
      <c r="AW431" s="14"/>
      <c r="AX431" s="14"/>
      <c r="AY431" s="164">
        <f>IF(D431="","*",IFERROR(IF(ISODD(COUNT(AS431:AX431)),"ERRO",SUM((AT431-AS431),(AV431-AU431),(AX431-AW431))),"ERRO"))</f>
        <v>0</v>
      </c>
      <c r="AZ431" s="153"/>
      <c r="BA431" s="109"/>
      <c r="BB431" s="10" t="str">
        <f>IFERROR(_xlfn.XLOOKUP(AI431, BS_ATIVIDADE[ATIVIDADE],BS_ATIVIDADE[UNIDADE] ), "*")</f>
        <v>Nº DE DORMENTES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Produção e Intervalo</v>
      </c>
      <c r="BR431" s="19">
        <f>IF(OR(B431="",F431=""),"*",AY431/P431)</f>
        <v>0</v>
      </c>
      <c r="BS431" s="19">
        <f>IF(OR(B431="",F431=""),"*",BA431/Q431)</f>
        <v>0</v>
      </c>
      <c r="BT431" s="8" t="str">
        <f t="shared" si="9"/>
        <v/>
      </c>
    </row>
    <row r="432" spans="1:72" hidden="1">
      <c r="A432" s="47" t="str">
        <f>D432&amp;B432</f>
        <v>RAFAEL (TP-695)46094</v>
      </c>
      <c r="B432" s="102">
        <v>46094</v>
      </c>
      <c r="C432" s="135">
        <f>IF(BS_CONTROLE[[#This Row],[DATA]]="","",WEEKNUM(BS_CONTROLE[[#This Row],[DATA]]))</f>
        <v>11</v>
      </c>
      <c r="D432" s="104" t="s">
        <v>892</v>
      </c>
      <c r="E432" s="159">
        <v>426</v>
      </c>
      <c r="F432" s="126" t="s">
        <v>714</v>
      </c>
      <c r="G432" s="142" t="str">
        <f>IF(D432="","*",VLOOKUP(F432,BS_ATIVIDADE[],3,FALSE))</f>
        <v>AMV</v>
      </c>
      <c r="H432" s="106" t="s">
        <v>558</v>
      </c>
      <c r="I432" s="106" t="s">
        <v>558</v>
      </c>
      <c r="J432" s="105">
        <v>53</v>
      </c>
      <c r="K432" s="105">
        <v>122.7</v>
      </c>
      <c r="L432" s="105">
        <v>122.6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432" s="106">
        <v>0.375</v>
      </c>
      <c r="P432" s="106">
        <v>0.125</v>
      </c>
      <c r="Q432" s="105">
        <v>1</v>
      </c>
      <c r="R432" s="10" t="str">
        <f>IFERROR(_xlfn.XLOOKUP(F432, BS_ATIVIDADE[ATIVIDADE],BS_ATIVIDADE[UNIDADE] ), "*")</f>
        <v>Nº DE PEÇAS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1029</v>
      </c>
      <c r="W432" s="151" t="s">
        <v>1088</v>
      </c>
      <c r="X432" s="104" t="s">
        <v>386</v>
      </c>
      <c r="Y432" s="129"/>
      <c r="Z432" s="104"/>
      <c r="AA432" s="105" t="s">
        <v>558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PDM - AMV - JACARÉ</v>
      </c>
      <c r="AJ432" s="9" t="str">
        <f>IF(BS_CONTROLE[[#This Row],[Atividade]]=0, "-", BS_CONTROLE[[#This Row],[Atividade]])</f>
        <v>PDM - AMV - JACARÉ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ZPG-ZZV</v>
      </c>
      <c r="AN432" s="105" t="str">
        <f>IF(BS_CONTROLE[[#This Row],[SB]]=0, "-", BS_CONTROLE[[#This Row],[SB]])</f>
        <v>ZPGZZV</v>
      </c>
      <c r="AO432" s="105">
        <f>IF(BS_CONTROLE[[#This Row],[SUB]]=0, "-", BS_CONTROLE[[#This Row],[SUB]])</f>
        <v>53</v>
      </c>
      <c r="AP432" s="105">
        <f>BS_CONTROLE[[#This Row],[KM - Inicio]]</f>
        <v>122.7</v>
      </c>
      <c r="AQ432" s="105">
        <f>BS_CONTROLE[[#This Row],[KM - Inicio]]</f>
        <v>122.7</v>
      </c>
      <c r="AR432" s="108"/>
      <c r="AS432" s="108"/>
      <c r="AT432" s="108"/>
      <c r="AU432" s="136"/>
      <c r="AV432" s="136"/>
      <c r="AW432" s="14"/>
      <c r="AX432" s="14"/>
      <c r="AY432" s="164">
        <f>IF(D432="","*",IFERROR(IF(ISODD(COUNT(AS432:AX432)),"ERRO",SUM((AT432-AS432),(AV432-AU432),(AX432-AW432))),"ERRO"))</f>
        <v>0</v>
      </c>
      <c r="AZ432" s="153"/>
      <c r="BA432" s="109"/>
      <c r="BB432" s="10" t="str">
        <f>IFERROR(_xlfn.XLOOKUP(AI432, BS_ATIVIDADE[ATIVIDADE],BS_ATIVIDADE[UNIDADE] ), "*")</f>
        <v>Nº DE PEÇAS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Produção e Intervalo</v>
      </c>
      <c r="BR432" s="19">
        <f>IF(OR(B432="",F432=""),"*",AY432/P432)</f>
        <v>0</v>
      </c>
      <c r="BS432" s="19">
        <f>IF(OR(B432="",F432=""),"*",BA432/Q432)</f>
        <v>0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1555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1556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1556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81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67" operator="equal">
      <formula>"NÃO"</formula>
    </cfRule>
    <cfRule type="cellIs" dxfId="220" priority="11868" operator="equal">
      <formula>"SIM"</formula>
    </cfRule>
  </conditionalFormatting>
  <conditionalFormatting sqref="AZ6:AZ1001">
    <cfRule type="expression" dxfId="219" priority="54323">
      <formula>#REF!=1</formula>
    </cfRule>
  </conditionalFormatting>
  <conditionalFormatting sqref="BE6:BE1001 AY6:AY1001 U6:U1001">
    <cfRule type="cellIs" dxfId="218" priority="54307" operator="equal">
      <formula>"ERRO"</formula>
    </cfRule>
  </conditionalFormatting>
  <conditionalFormatting sqref="BQ6:BQ1001">
    <cfRule type="cellIs" dxfId="217" priority="54302" operator="equal">
      <formula>"Produção e Intervalo"</formula>
    </cfRule>
    <cfRule type="cellIs" dxfId="216" priority="54303" operator="equal">
      <formula>"Aderente"</formula>
    </cfRule>
    <cfRule type="cellIs" dxfId="215" priority="54304" operator="equal">
      <formula>"Intervalo"</formula>
    </cfRule>
    <cfRule type="cellIs" dxfId="214" priority="54305" operator="equal">
      <formula>"Produção"</formula>
    </cfRule>
    <cfRule type="cellIs" dxfId="213" priority="54306" operator="equal">
      <formula>"ERRO"</formula>
    </cfRule>
  </conditionalFormatting>
  <conditionalFormatting sqref="BR6:BS1001">
    <cfRule type="cellIs" dxfId="212" priority="54284" operator="equal">
      <formula>"*"</formula>
    </cfRule>
    <cfRule type="cellIs" dxfId="211" priority="54285" operator="greaterThanOrEqual">
      <formula>1</formula>
    </cfRule>
    <cfRule type="cellIs" dxfId="210" priority="54286" operator="lessThan">
      <formula>1</formula>
    </cfRule>
  </conditionalFormatting>
  <conditionalFormatting sqref="BK949 BK81 BK83:BK84 BK101 BK67 BK69 BK72:BK73 BJ9:BJ366 BJ368:BJ1001">
    <cfRule type="iconSet" priority="61071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948 BK389:BK392 BK374:BK375">
    <cfRule type="iconSet" priority="61073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10" operator="equal">
      <formula>"OPORTUNIDADE"</formula>
    </cfRule>
  </conditionalFormatting>
  <conditionalFormatting sqref="Y6:Z39">
    <cfRule type="cellIs" dxfId="208" priority="408" operator="equal">
      <formula>"NÃO"</formula>
    </cfRule>
    <cfRule type="cellIs" dxfId="207" priority="409" operator="equal">
      <formula>"SIM"</formula>
    </cfRule>
  </conditionalFormatting>
  <conditionalFormatting sqref="BH6:BH8">
    <cfRule type="iconSet" priority="406">
      <iconSet showValue="0">
        <cfvo type="percent" val="0"/>
        <cfvo type="num" val="1"/>
        <cfvo type="num" val="1" gte="0"/>
      </iconSet>
    </cfRule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78" operator="equal">
      <formula>"OPORTUNIDADE"</formula>
    </cfRule>
  </conditionalFormatting>
  <conditionalFormatting sqref="Y44:Z44">
    <cfRule type="cellIs" dxfId="205" priority="376" operator="equal">
      <formula>"NÃO"</formula>
    </cfRule>
    <cfRule type="cellIs" dxfId="204" priority="377" operator="equal">
      <formula>"SIM"</formula>
    </cfRule>
  </conditionalFormatting>
  <conditionalFormatting sqref="Y48:Z52">
    <cfRule type="cellIs" dxfId="203" priority="375" operator="equal">
      <formula>"OPORTUNIDADE"</formula>
    </cfRule>
  </conditionalFormatting>
  <conditionalFormatting sqref="Y48:Z52">
    <cfRule type="cellIs" dxfId="202" priority="373" operator="equal">
      <formula>"NÃO"</formula>
    </cfRule>
    <cfRule type="cellIs" dxfId="201" priority="374" operator="equal">
      <formula>"SIM"</formula>
    </cfRule>
  </conditionalFormatting>
  <conditionalFormatting sqref="Y68:Z68">
    <cfRule type="cellIs" dxfId="200" priority="369" operator="equal">
      <formula>"OPORTUNIDADE"</formula>
    </cfRule>
  </conditionalFormatting>
  <conditionalFormatting sqref="Y68:Z68">
    <cfRule type="cellIs" dxfId="199" priority="367" operator="equal">
      <formula>"NÃO"</formula>
    </cfRule>
    <cfRule type="cellIs" dxfId="198" priority="368" operator="equal">
      <formula>"SIM"</formula>
    </cfRule>
  </conditionalFormatting>
  <conditionalFormatting sqref="Y75:Z75">
    <cfRule type="cellIs" dxfId="197" priority="366" operator="equal">
      <formula>"OPORTUNIDADE"</formula>
    </cfRule>
  </conditionalFormatting>
  <conditionalFormatting sqref="Y75:Z75">
    <cfRule type="cellIs" dxfId="196" priority="364" operator="equal">
      <formula>"NÃO"</formula>
    </cfRule>
    <cfRule type="cellIs" dxfId="195" priority="365" operator="equal">
      <formula>"SIM"</formula>
    </cfRule>
  </conditionalFormatting>
  <conditionalFormatting sqref="Y77:Z78">
    <cfRule type="cellIs" dxfId="194" priority="363" operator="equal">
      <formula>"OPORTUNIDADE"</formula>
    </cfRule>
  </conditionalFormatting>
  <conditionalFormatting sqref="Y77:Z78">
    <cfRule type="cellIs" dxfId="193" priority="361" operator="equal">
      <formula>"NÃO"</formula>
    </cfRule>
    <cfRule type="cellIs" dxfId="192" priority="362" operator="equal">
      <formula>"SIM"</formula>
    </cfRule>
  </conditionalFormatting>
  <conditionalFormatting sqref="Y81:Z81">
    <cfRule type="cellIs" dxfId="191" priority="360" operator="equal">
      <formula>"OPORTUNIDADE"</formula>
    </cfRule>
  </conditionalFormatting>
  <conditionalFormatting sqref="Y81:Z81">
    <cfRule type="cellIs" dxfId="190" priority="358" operator="equal">
      <formula>"NÃO"</formula>
    </cfRule>
    <cfRule type="cellIs" dxfId="189" priority="359" operator="equal">
      <formula>"SIM"</formula>
    </cfRule>
  </conditionalFormatting>
  <conditionalFormatting sqref="Y82:Z82">
    <cfRule type="cellIs" dxfId="188" priority="357" operator="equal">
      <formula>"OPORTUNIDADE"</formula>
    </cfRule>
  </conditionalFormatting>
  <conditionalFormatting sqref="Y82:Z82">
    <cfRule type="cellIs" dxfId="187" priority="355" operator="equal">
      <formula>"NÃO"</formula>
    </cfRule>
    <cfRule type="cellIs" dxfId="186" priority="356" operator="equal">
      <formula>"SIM"</formula>
    </cfRule>
  </conditionalFormatting>
  <conditionalFormatting sqref="Y91:Z91">
    <cfRule type="cellIs" dxfId="185" priority="354" operator="equal">
      <formula>"OPORTUNIDADE"</formula>
    </cfRule>
  </conditionalFormatting>
  <conditionalFormatting sqref="Y91:Z91">
    <cfRule type="cellIs" dxfId="184" priority="352" operator="equal">
      <formula>"NÃO"</formula>
    </cfRule>
    <cfRule type="cellIs" dxfId="183" priority="353" operator="equal">
      <formula>"SIM"</formula>
    </cfRule>
  </conditionalFormatting>
  <conditionalFormatting sqref="Y93:Z93">
    <cfRule type="cellIs" dxfId="182" priority="351" operator="equal">
      <formula>"OPORTUNIDADE"</formula>
    </cfRule>
  </conditionalFormatting>
  <conditionalFormatting sqref="Y93:Z93">
    <cfRule type="cellIs" dxfId="181" priority="349" operator="equal">
      <formula>"NÃO"</formula>
    </cfRule>
    <cfRule type="cellIs" dxfId="180" priority="350" operator="equal">
      <formula>"SIM"</formula>
    </cfRule>
  </conditionalFormatting>
  <conditionalFormatting sqref="Y95:Z95">
    <cfRule type="cellIs" dxfId="179" priority="348" operator="equal">
      <formula>"OPORTUNIDADE"</formula>
    </cfRule>
  </conditionalFormatting>
  <conditionalFormatting sqref="Y95:Z95">
    <cfRule type="cellIs" dxfId="178" priority="346" operator="equal">
      <formula>"NÃO"</formula>
    </cfRule>
    <cfRule type="cellIs" dxfId="177" priority="347" operator="equal">
      <formula>"SIM"</formula>
    </cfRule>
  </conditionalFormatting>
  <conditionalFormatting sqref="Y96:Z97">
    <cfRule type="cellIs" dxfId="176" priority="345" operator="equal">
      <formula>"OPORTUNIDADE"</formula>
    </cfRule>
  </conditionalFormatting>
  <conditionalFormatting sqref="Y96:Z97">
    <cfRule type="cellIs" dxfId="175" priority="343" operator="equal">
      <formula>"NÃO"</formula>
    </cfRule>
    <cfRule type="cellIs" dxfId="174" priority="344" operator="equal">
      <formula>"SIM"</formula>
    </cfRule>
  </conditionalFormatting>
  <conditionalFormatting sqref="BK95:BK9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74">
      <iconSet showValue="0">
        <cfvo type="percent" val="0"/>
        <cfvo type="num" val="1"/>
        <cfvo type="num" val="1" gte="0"/>
      </iconSet>
    </cfRule>
    <cfRule type="iconSet" priority="61175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78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89:BP392 BP374:BP375 BP371 BP368 BP377:BP385 BP397:BP1001 BP361:BP363">
    <cfRule type="iconSet" priority="6118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88" operator="equal">
      <formula>"OPORTUNIDADE"</formula>
    </cfRule>
  </conditionalFormatting>
  <conditionalFormatting sqref="Z173">
    <cfRule type="cellIs" dxfId="172" priority="286" operator="equal">
      <formula>"NÃO"</formula>
    </cfRule>
    <cfRule type="cellIs" dxfId="171" priority="287" operator="equal">
      <formula>"SIM"</formula>
    </cfRule>
  </conditionalFormatting>
  <conditionalFormatting sqref="BP13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45" operator="equal">
      <formula>"OPORTUNIDADE"</formula>
    </cfRule>
  </conditionalFormatting>
  <conditionalFormatting sqref="Z201">
    <cfRule type="cellIs" dxfId="169" priority="243" operator="equal">
      <formula>"NÃO"</formula>
    </cfRule>
    <cfRule type="cellIs" dxfId="168" priority="244" operator="equal">
      <formula>"SIM"</formula>
    </cfRule>
  </conditionalFormatting>
  <conditionalFormatting sqref="Z202">
    <cfRule type="cellIs" dxfId="167" priority="242" operator="equal">
      <formula>"OPORTUNIDADE"</formula>
    </cfRule>
  </conditionalFormatting>
  <conditionalFormatting sqref="Z202">
    <cfRule type="cellIs" dxfId="166" priority="240" operator="equal">
      <formula>"NÃO"</formula>
    </cfRule>
    <cfRule type="cellIs" dxfId="165" priority="241" operator="equal">
      <formula>"SIM"</formula>
    </cfRule>
  </conditionalFormatting>
  <conditionalFormatting sqref="BP14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34" operator="equal">
      <formula>"OPORTUNIDADE"</formula>
    </cfRule>
  </conditionalFormatting>
  <conditionalFormatting sqref="Y201">
    <cfRule type="cellIs" dxfId="163" priority="232" operator="equal">
      <formula>"NÃO"</formula>
    </cfRule>
    <cfRule type="cellIs" dxfId="162" priority="233" operator="equal">
      <formula>"SIM"</formula>
    </cfRule>
  </conditionalFormatting>
  <conditionalFormatting sqref="BK19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12" operator="equal">
      <formula>"OPORTUNIDADE"</formula>
    </cfRule>
  </conditionalFormatting>
  <conditionalFormatting sqref="Z245">
    <cfRule type="cellIs" dxfId="160" priority="210" operator="equal">
      <formula>"NÃO"</formula>
    </cfRule>
    <cfRule type="cellIs" dxfId="159" priority="211" operator="equal">
      <formula>"SIM"</formula>
    </cfRule>
  </conditionalFormatting>
  <conditionalFormatting sqref="BP18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86" operator="equal">
      <formula>"OPORTUNIDADE"</formula>
    </cfRule>
  </conditionalFormatting>
  <conditionalFormatting sqref="Z285">
    <cfRule type="cellIs" dxfId="157" priority="184" operator="equal">
      <formula>"NÃO"</formula>
    </cfRule>
    <cfRule type="cellIs" dxfId="156" priority="185" operator="equal">
      <formula>"SIM"</formula>
    </cfRule>
  </conditionalFormatting>
  <conditionalFormatting sqref="Z286">
    <cfRule type="cellIs" dxfId="155" priority="183" operator="equal">
      <formula>"OPORTUNIDADE"</formula>
    </cfRule>
  </conditionalFormatting>
  <conditionalFormatting sqref="Z286">
    <cfRule type="cellIs" dxfId="154" priority="181" operator="equal">
      <formula>"NÃO"</formula>
    </cfRule>
    <cfRule type="cellIs" dxfId="153" priority="182" operator="equal">
      <formula>"SIM"</formula>
    </cfRule>
  </conditionalFormatting>
  <conditionalFormatting sqref="BK2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1557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1558</v>
      </c>
      <c r="C4" s="160" t="s">
        <v>1559</v>
      </c>
      <c r="D4" s="160" t="s">
        <v>1560</v>
      </c>
      <c r="E4" s="160" t="s">
        <v>1561</v>
      </c>
      <c r="F4" s="160" t="s">
        <v>4</v>
      </c>
      <c r="G4" s="160" t="s">
        <v>1562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1563</v>
      </c>
      <c r="C6" s="161">
        <v>407867</v>
      </c>
      <c r="D6" s="161" t="s">
        <v>1564</v>
      </c>
      <c r="E6" s="161" t="s">
        <v>789</v>
      </c>
      <c r="F6" s="161" t="s">
        <v>1565</v>
      </c>
      <c r="G6" s="162"/>
    </row>
    <row r="7" spans="2:7">
      <c r="B7" s="161" t="s">
        <v>1566</v>
      </c>
      <c r="C7" s="161">
        <v>293644</v>
      </c>
      <c r="D7" s="161" t="s">
        <v>1567</v>
      </c>
      <c r="E7" s="161" t="s">
        <v>789</v>
      </c>
      <c r="F7" s="161" t="s">
        <v>1565</v>
      </c>
      <c r="G7" s="162"/>
    </row>
    <row r="8" spans="2:7">
      <c r="B8" s="161" t="s">
        <v>1568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1569</v>
      </c>
      <c r="C9" s="161">
        <v>256790</v>
      </c>
      <c r="D9" s="161" t="s">
        <v>1570</v>
      </c>
      <c r="E9" s="161" t="s">
        <v>790</v>
      </c>
      <c r="F9" s="161" t="s">
        <v>1571</v>
      </c>
      <c r="G9" s="162">
        <v>46357</v>
      </c>
    </row>
    <row r="10" spans="2:7">
      <c r="B10" s="161" t="s">
        <v>1572</v>
      </c>
      <c r="C10" s="161">
        <v>265193</v>
      </c>
      <c r="D10" s="161" t="s">
        <v>1573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1574</v>
      </c>
      <c r="C11" s="161">
        <v>293716</v>
      </c>
      <c r="D11" s="161" t="s">
        <v>1575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1576</v>
      </c>
      <c r="C12" s="161">
        <v>257258</v>
      </c>
      <c r="D12" s="161" t="s">
        <v>1577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1578</v>
      </c>
      <c r="C13" s="161">
        <v>371147</v>
      </c>
      <c r="D13" s="161" t="s">
        <v>1579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1580</v>
      </c>
      <c r="C14" s="161">
        <v>259230</v>
      </c>
      <c r="D14" s="161" t="s">
        <v>1581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1582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1583</v>
      </c>
      <c r="C16" s="161">
        <v>258542</v>
      </c>
      <c r="D16" s="161" t="s">
        <v>1584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1585</v>
      </c>
      <c r="C17" s="161">
        <v>257050</v>
      </c>
      <c r="D17" s="161" t="s">
        <v>1586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1587</v>
      </c>
      <c r="C2" s="121" t="s">
        <v>946</v>
      </c>
      <c r="D2" s="76" t="s">
        <v>948</v>
      </c>
      <c r="E2" s="76" t="s">
        <v>1588</v>
      </c>
      <c r="F2" s="99" t="s">
        <v>1589</v>
      </c>
      <c r="G2" s="76" t="s">
        <v>1590</v>
      </c>
      <c r="H2" s="76" t="s">
        <v>1591</v>
      </c>
      <c r="I2" s="76" t="s">
        <v>1592</v>
      </c>
      <c r="J2" s="76" t="s">
        <v>1593</v>
      </c>
      <c r="K2" s="78" t="s">
        <v>1594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 xml:space="preserve">TURMA FIXA VIA </v>
      </c>
      <c r="E397" s="94" t="str">
        <f>IF(SP_SUL!H401="","*",SP_SUL!H401)</f>
        <v>-</v>
      </c>
      <c r="F397" s="100" t="str">
        <f>IF(SP_SUL!M401="","*",SP_SUL!M401)</f>
        <v>ZBM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 hidden="1">
      <c r="B400" s="94" t="str">
        <f>IF(SP_SUL!Y404="","*",SP_SUL!Y404)</f>
        <v>*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 hidden="1">
      <c r="B404" s="94" t="str">
        <f>IF(SP_SUL!Y408="","*",SP_SUL!Y408)</f>
        <v>*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 hidden="1">
      <c r="B408" s="94" t="str">
        <f>IF(SP_SUL!Y412="","*",SP_SUL!Y412)</f>
        <v>*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 hidden="1">
      <c r="B411" s="94" t="str">
        <f>IF(SP_SUL!Y415="","*",SP_SUL!Y415)</f>
        <v>*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46094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FIXO</v>
      </c>
      <c r="I416" s="95" t="str">
        <f>IF(SP_SUL!AC420="","*",SP_SUL!AC420)</f>
        <v>ACIONAMENTO</v>
      </c>
      <c r="J416" s="96">
        <f>IF(SP_SUL!AA420="","*",SP_SUL!AA420)</f>
        <v>1</v>
      </c>
      <c r="K416" s="97">
        <f>IF(SP_SUL!AD420="","*",SP_SUL!AD420)</f>
        <v>0.3125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>
        <f>IF(SP_SUL!B422="","*",SP_SUL!B422)</f>
        <v>46094</v>
      </c>
      <c r="D418" s="94" t="str">
        <f>IF(SP_SUL!D422="","*",SP_SUL!D422)</f>
        <v>MOD ZEZ</v>
      </c>
      <c r="E418" s="94" t="str">
        <f>IF(SP_SUL!H422="","*",SP_SUL!H422)</f>
        <v>-</v>
      </c>
      <c r="F418" s="100" t="str">
        <f>IF(SP_SUL!M422="","*",SP_SUL!M422)</f>
        <v>ZEZ-069</v>
      </c>
      <c r="G418" s="95" t="str">
        <f>IF(SP_SUL!I422="","*",SP_SUL!I422)</f>
        <v>-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-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>
        <f>IF(SP_SUL!B423="","*",SP_SUL!B423)</f>
        <v>46094</v>
      </c>
      <c r="D419" s="94" t="str">
        <f>IF(SP_SUL!D423="","*",SP_SUL!D423)</f>
        <v>W61</v>
      </c>
      <c r="E419" s="94" t="str">
        <f>IF(SP_SUL!H423="","*",SP_SUL!H423)</f>
        <v>K67ZEV2</v>
      </c>
      <c r="F419" s="100" t="str">
        <f>IF(SP_SUL!M423="","*",SP_SUL!M423)</f>
        <v>ZXW-ZEZ</v>
      </c>
      <c r="G419" s="95" t="str">
        <f>IF(SP_SUL!I423="","*",SP_SUL!I423)</f>
        <v>K67ZEV2</v>
      </c>
      <c r="H419" s="95" t="str">
        <f>IF(SP_SUL!AB423="","*",SP_SUL!AB423)</f>
        <v>FIXO</v>
      </c>
      <c r="I419" s="95" t="str">
        <f>IF(SP_SUL!AC423="","*",SP_SUL!AC423)</f>
        <v>ACIONAMENTO</v>
      </c>
      <c r="J419" s="96">
        <f>IF(SP_SUL!AA423="","*",SP_SUL!AA423)</f>
        <v>1</v>
      </c>
      <c r="K419" s="97">
        <f>IF(SP_SUL!AD423="","*",SP_SUL!AD423)</f>
        <v>0.3125</v>
      </c>
    </row>
    <row r="420" spans="2:11" hidden="1">
      <c r="B420" s="94" t="str">
        <f>IF(SP_SUL!Y424="","*",SP_SUL!Y424)</f>
        <v>*</v>
      </c>
      <c r="C420" s="95">
        <f>IF(SP_SUL!B424="","*",SP_SUL!B424)</f>
        <v>46094</v>
      </c>
      <c r="D420" s="94" t="str">
        <f>IF(SP_SUL!D424="","*",SP_SUL!D424)</f>
        <v>MODERNIZAÇÃO TURMA 2</v>
      </c>
      <c r="E420" s="94" t="str">
        <f>IF(SP_SUL!H424="","*",SP_SUL!H424)</f>
        <v>-</v>
      </c>
      <c r="F420" s="100" t="str">
        <f>IF(SP_SUL!M424="","*",SP_SUL!M424)</f>
        <v>ZXW-ZEZ</v>
      </c>
      <c r="G420" s="95" t="str">
        <f>IF(SP_SUL!I424="","*",SP_SUL!I424)</f>
        <v>-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-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>
        <f>IF(SP_SUL!B426="","*",SP_SUL!B426)</f>
        <v>46094</v>
      </c>
      <c r="D422" s="94" t="str">
        <f>IF(SP_SUL!D426="","*",SP_SUL!D426)</f>
        <v>W62</v>
      </c>
      <c r="E422" s="94" t="str">
        <f>IF(SP_SUL!H426="","*",SP_SUL!H426)</f>
        <v>ZPT105-1</v>
      </c>
      <c r="F422" s="100" t="str">
        <f>IF(SP_SUL!M426="","*",SP_SUL!M426)</f>
        <v>ZPT-ZXW</v>
      </c>
      <c r="G422" s="95" t="str">
        <f>IF(SP_SUL!I426="","*",SP_SUL!I426)</f>
        <v>ZDRZPT</v>
      </c>
      <c r="H422" s="95" t="str">
        <f>IF(SP_SUL!AB426="","*",SP_SUL!AB426)</f>
        <v>FIXO</v>
      </c>
      <c r="I422" s="95" t="str">
        <f>IF(SP_SUL!AC426="","*",SP_SUL!AC426)</f>
        <v>ACIONAMENTO</v>
      </c>
      <c r="J422" s="96">
        <f>IF(SP_SUL!AA426="","*",SP_SUL!AA426)</f>
        <v>1</v>
      </c>
      <c r="K422" s="97">
        <f>IF(SP_SUL!AD426="","*",SP_SUL!AD426)</f>
        <v>0.3125</v>
      </c>
    </row>
    <row r="423" spans="2:11" hidden="1">
      <c r="B423" s="94" t="str">
        <f>IF(SP_SUL!Y427="","*",SP_SUL!Y427)</f>
        <v>*</v>
      </c>
      <c r="C423" s="95">
        <f>IF(SP_SUL!B427="","*",SP_SUL!B427)</f>
        <v>46094</v>
      </c>
      <c r="D423" s="94" t="str">
        <f>IF(SP_SUL!D427="","*",SP_SUL!D427)</f>
        <v>MOD ZGP</v>
      </c>
      <c r="E423" s="94" t="str">
        <f>IF(SP_SUL!H427="","*",SP_SUL!H427)</f>
        <v>-</v>
      </c>
      <c r="F423" s="100" t="str">
        <f>IF(SP_SUL!M427="","*",SP_SUL!M427)</f>
        <v>ZGP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>
        <f>IF(SP_SUL!B428="","*",SP_SUL!B428)</f>
        <v>46094</v>
      </c>
      <c r="D424" s="94" t="str">
        <f>IF(SP_SUL!D428="","*",SP_SUL!D428)</f>
        <v>V85</v>
      </c>
      <c r="E424" s="94" t="str">
        <f>IF(SP_SUL!H428="","*",SP_SUL!H428)</f>
        <v>ZDRZPT</v>
      </c>
      <c r="F424" s="100" t="str">
        <f>IF(SP_SUL!M428="","*",SP_SUL!M428)</f>
        <v>ZGP</v>
      </c>
      <c r="G424" s="95" t="str">
        <f>IF(SP_SUL!I428="","*",SP_SUL!I428)</f>
        <v>ZDRZPT</v>
      </c>
      <c r="H424" s="95" t="str">
        <f>IF(SP_SUL!AB428="","*",SP_SUL!AB428)</f>
        <v>FIXO</v>
      </c>
      <c r="I424" s="95" t="str">
        <f>IF(SP_SUL!AC428="","*",SP_SUL!AC428)</f>
        <v>ACIONAMENTO</v>
      </c>
      <c r="J424" s="96">
        <f>IF(SP_SUL!AA428="","*",SP_SUL!AA428)</f>
        <v>1</v>
      </c>
      <c r="K424" s="97">
        <f>IF(SP_SUL!AD428="","*",SP_SUL!AD428)</f>
        <v>0.3125</v>
      </c>
    </row>
    <row r="425" spans="2:11" hidden="1">
      <c r="B425" s="94" t="str">
        <f>IF(SP_SUL!Y429="","*",SP_SUL!Y429)</f>
        <v>*</v>
      </c>
      <c r="C425" s="95">
        <f>IF(SP_SUL!B429="","*",SP_SUL!B429)</f>
        <v>46094</v>
      </c>
      <c r="D425" s="94" t="str">
        <f>IF(SP_SUL!D429="","*",SP_SUL!D429)</f>
        <v>HUELTON (TP-725)</v>
      </c>
      <c r="E425" s="94" t="str">
        <f>IF(SP_SUL!H429="","*",SP_SUL!H429)</f>
        <v>-</v>
      </c>
      <c r="F425" s="100" t="str">
        <f>IF(SP_SUL!M429="","*",SP_SUL!M429)</f>
        <v>ZPT</v>
      </c>
      <c r="G425" s="95" t="str">
        <f>IF(SP_SUL!I429="","*",SP_SUL!I429)</f>
        <v>-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-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>
        <f>IF(SP_SUL!B430="","*",SP_SUL!B430)</f>
        <v>46094</v>
      </c>
      <c r="D426" s="94" t="str">
        <f>IF(SP_SUL!D430="","*",SP_SUL!D430)</f>
        <v>EXPANSÃO TURMA 1</v>
      </c>
      <c r="E426" s="94" t="str">
        <f>IF(SP_SUL!H430="","*",SP_SUL!H430)</f>
        <v>-</v>
      </c>
      <c r="F426" s="100" t="str">
        <f>IF(SP_SUL!M430="","*",SP_SUL!M430)</f>
        <v>ZGM-109</v>
      </c>
      <c r="G426" s="95" t="str">
        <f>IF(SP_SUL!I430="","*",SP_SUL!I430)</f>
        <v>-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>
        <f>IF(SP_SUL!B431="","*",SP_SUL!B431)</f>
        <v>46094</v>
      </c>
      <c r="D427" s="94" t="str">
        <f>IF(SP_SUL!D431="","*",SP_SUL!D431)</f>
        <v>LEANDRO (TP-727)</v>
      </c>
      <c r="E427" s="94" t="str">
        <f>IF(SP_SUL!H431="","*",SP_SUL!H431)</f>
        <v>-</v>
      </c>
      <c r="F427" s="100" t="str">
        <f>IF(SP_SUL!M431="","*",SP_SUL!M431)</f>
        <v>ZGM-109</v>
      </c>
      <c r="G427" s="95" t="str">
        <f>IF(SP_SUL!I431="","*",SP_SUL!I431)</f>
        <v>-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>
        <f>IF(SP_SUL!B432="","*",SP_SUL!B432)</f>
        <v>46094</v>
      </c>
      <c r="D428" s="94" t="str">
        <f>IF(SP_SUL!D432="","*",SP_SUL!D432)</f>
        <v>RAFAEL (TP-695)</v>
      </c>
      <c r="E428" s="94" t="str">
        <f>IF(SP_SUL!H432="","*",SP_SUL!H432)</f>
        <v>-</v>
      </c>
      <c r="F428" s="100" t="str">
        <f>IF(SP_SUL!M432="","*",SP_SUL!M432)</f>
        <v>ZPG-ZZV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1595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1596</v>
      </c>
      <c r="D4" s="163" t="s">
        <v>1597</v>
      </c>
      <c r="E4" s="163" t="s">
        <v>1598</v>
      </c>
      <c r="F4" s="160" t="s">
        <v>1599</v>
      </c>
      <c r="G4" s="163" t="s">
        <v>1600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1601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1602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1601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1603</v>
      </c>
      <c r="G9" s="167" t="s">
        <v>1604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1601</v>
      </c>
      <c r="G10" s="167"/>
    </row>
    <row r="11" spans="2:7" hidden="1">
      <c r="B11" s="191" t="s">
        <v>1605</v>
      </c>
      <c r="C11" s="191">
        <v>9038</v>
      </c>
      <c r="D11" s="192">
        <v>46085</v>
      </c>
      <c r="E11" s="191">
        <v>10520</v>
      </c>
      <c r="F11" s="193" t="s">
        <v>1606</v>
      </c>
      <c r="G11" s="191"/>
    </row>
    <row r="12" spans="2:7">
      <c r="B12" s="167" t="s">
        <v>1605</v>
      </c>
      <c r="C12" s="167">
        <v>9059</v>
      </c>
      <c r="D12" s="168">
        <v>46091</v>
      </c>
      <c r="E12" s="167">
        <v>15600</v>
      </c>
      <c r="F12" s="169" t="s">
        <v>1601</v>
      </c>
      <c r="G12" s="167" t="s">
        <v>1607</v>
      </c>
    </row>
    <row r="13" spans="2:7">
      <c r="B13" s="167" t="s">
        <v>709</v>
      </c>
      <c r="C13" s="167" t="s">
        <v>1608</v>
      </c>
      <c r="D13" s="168">
        <v>46086</v>
      </c>
      <c r="E13" s="167">
        <v>8.5</v>
      </c>
      <c r="F13" s="169" t="s">
        <v>1609</v>
      </c>
      <c r="G13" s="167"/>
    </row>
    <row r="14" spans="2:7">
      <c r="B14" s="167" t="s">
        <v>709</v>
      </c>
      <c r="C14" s="167" t="s">
        <v>1610</v>
      </c>
      <c r="D14" s="168">
        <v>46086</v>
      </c>
      <c r="E14" s="167">
        <v>10000</v>
      </c>
      <c r="F14" s="169" t="s">
        <v>1609</v>
      </c>
      <c r="G14" s="167"/>
    </row>
    <row r="15" spans="2:7">
      <c r="B15" s="167" t="s">
        <v>709</v>
      </c>
      <c r="C15" s="167" t="s">
        <v>1611</v>
      </c>
      <c r="D15" s="168">
        <v>46086</v>
      </c>
      <c r="E15" s="167">
        <v>8000</v>
      </c>
      <c r="F15" s="169" t="s">
        <v>1609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1612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1613</v>
      </c>
      <c r="D5" s="230"/>
      <c r="E5" s="230"/>
      <c r="F5" s="230"/>
      <c r="G5" s="230"/>
      <c r="H5" s="230"/>
      <c r="I5" s="230"/>
      <c r="J5" s="231"/>
      <c r="K5" s="232" t="s">
        <v>1614</v>
      </c>
      <c r="L5" s="233"/>
      <c r="M5" s="233"/>
      <c r="N5" s="233"/>
      <c r="O5" s="234" t="s">
        <v>1615</v>
      </c>
      <c r="P5" s="235"/>
    </row>
    <row r="6" spans="1:16" s="74" customFormat="1" ht="15" customHeight="1">
      <c r="A6" s="66" t="s">
        <v>1616</v>
      </c>
      <c r="B6" s="75" t="s">
        <v>1617</v>
      </c>
      <c r="C6" s="76" t="s">
        <v>961</v>
      </c>
      <c r="D6" s="77" t="s">
        <v>962</v>
      </c>
      <c r="E6" s="76" t="s">
        <v>1618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1619</v>
      </c>
      <c r="M6" s="80" t="s">
        <v>576</v>
      </c>
      <c r="N6" s="81" t="s">
        <v>956</v>
      </c>
      <c r="O6" s="158" t="s">
        <v>999</v>
      </c>
      <c r="P6" s="133" t="s">
        <v>1620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2</v>
      </c>
      <c r="P361" s="147" t="str">
        <f>IF($A$2=1,IF(SP_SUL!BJ361="","*",SP_SUL!BJ361),IF(SP_SUL!BK361="","*",SP_SUL!BK361))</f>
        <v>Realizado intervalo das 11h08 até 13h08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2</v>
      </c>
      <c r="P365" s="147" t="str">
        <f>IF($A$2=1,IF(SP_SUL!BJ365="","*",SP_SUL!BJ365),IF(SP_SUL!BK365="","*",SP_SUL!BK365))</f>
        <v xml:space="preserve">Tp pronto 10h39 / Realizado intervalo das 12h40 até 14h10 / Produção 7 dormentes substituidos e 18 metros de limpeza de lastro. 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1</v>
      </c>
      <c r="P374" s="147" t="str">
        <f>IF($A$2=1,IF(SP_SUL!BJ374="","*",SP_SUL!BJ374),IF(SP_SUL!BK374="","*",SP_SUL!BK374))</f>
        <v>TP pronto 10h36 /  realizado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1</v>
      </c>
      <c r="P375" s="147" t="str">
        <f>IF($A$2=1,IF(SP_SUL!BJ375="","*",SP_SUL!BJ375),IF(SP_SUL!BK375="","*",SP_SUL!BK375))</f>
        <v>TP pronto 10h36 /  realizado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1</v>
      </c>
      <c r="P378" s="147" t="str">
        <f>IF($A$2=1,IF(SP_SUL!BJ378="","*",SP_SUL!BJ378),IF(SP_SUL!BK378="","*",SP_SUL!BK378))</f>
        <v>Em intervalo das 10h00 até 20h00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1</v>
      </c>
      <c r="P379" s="147" t="str">
        <f>IF($A$2=1,IF(SP_SUL!BJ379="","*",SP_SUL!BJ379),IF(SP_SUL!BK379="","*",SP_SUL!BK379))</f>
        <v>Em intervalo das 10h00 até 20h00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1</v>
      </c>
      <c r="P380" s="147" t="str">
        <f>IF($A$2=1,IF(SP_SUL!BJ380="","*",SP_SUL!BJ380),IF(SP_SUL!BK380="","*",SP_SUL!BK380))</f>
        <v>Em intervalo das 10h00 até 20h00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1</v>
      </c>
      <c r="P381" s="147" t="str">
        <f>IF($A$2=1,IF(SP_SUL!BJ381="","*",SP_SUL!BJ381),IF(SP_SUL!BK381="","*",SP_SUL!BK381))</f>
        <v>Em intervalo das 10h00 até 20h00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1</v>
      </c>
      <c r="P382" s="147" t="str">
        <f>IF($A$2=1,IF(SP_SUL!BJ382="","*",SP_SUL!BJ382),IF(SP_SUL!BK382="","*",SP_SUL!BK382))</f>
        <v>Em intervalo das 10h00 até 20h00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1</v>
      </c>
      <c r="P383" s="147" t="str">
        <f>IF($A$2=1,IF(SP_SUL!BJ383="","*",SP_SUL!BJ383),IF(SP_SUL!BK383="","*",SP_SUL!BK383))</f>
        <v>Em intervalo das 10h00 até 20h00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1</v>
      </c>
      <c r="P384" s="147" t="str">
        <f>IF($A$2=1,IF(SP_SUL!BJ384="","*",SP_SUL!BJ384),IF(SP_SUL!BK384="","*",SP_SUL!BK384))</f>
        <v>Em intervalo das 10h00 até 20h00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2</v>
      </c>
      <c r="P386" s="147" t="str">
        <f>IF($A$2=1,IF(SP_SUL!BJ386="","*",SP_SUL!BJ386),IF(SP_SUL!BK386="","*",SP_SUL!BK386))</f>
        <v>TP pronto 07h29 / Realizado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1</v>
      </c>
      <c r="P389" s="147" t="str">
        <f>IF($A$2=1,IF(SP_SUL!BJ389="","*",SP_SUL!BJ389),IF(SP_SUL!BK389="","*",SP_SUL!BK389))</f>
        <v xml:space="preserve">TP pronto 12h40 / Em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Contrato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1</v>
      </c>
      <c r="P390" s="147" t="str">
        <f>IF($A$2=1,IF(SP_SUL!BJ390="","*",SP_SUL!BJ390),IF(SP_SUL!BK390="","*",SP_SUL!BK390))</f>
        <v>Em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>
        <f>IF(SP_SUL!BH391="","*",SP_SUL!BH391)</f>
        <v>1</v>
      </c>
      <c r="P391" s="147" t="str">
        <f>IF($A$2=1,IF(SP_SUL!BJ391="","*",SP_SUL!BJ391),IF(SP_SUL!BK391="","*",SP_SUL!BK391))</f>
        <v>Em intervalo bloco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1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82.5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82.5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Contrato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 xml:space="preserve">TURMA FIXA VIA </v>
      </c>
      <c r="F401" s="83" t="str">
        <f>IF(SP_SUL!H401="","*",SP_SUL!H401)</f>
        <v>-</v>
      </c>
      <c r="G401" s="83" t="str">
        <f>IF(SP_SUL!M401="","*",SP_SUL!M401)</f>
        <v>ZBM</v>
      </c>
      <c r="H401" s="116">
        <f>IF(SP_SUL!K401="","*",SP_SUL!K401)</f>
        <v>56.2</v>
      </c>
      <c r="I401" s="113">
        <f>IF(SP_SUL!O401="","*",SP_SUL!O401)</f>
        <v>0.54166666666666663</v>
      </c>
      <c r="J401" s="113">
        <f>IF(SP_SUL!P401="","*",SP_SUL!P401)</f>
        <v>0.16666666666666666</v>
      </c>
      <c r="K401" s="83" t="str">
        <f>IF(SP_SUL!AK401="","*",SP_SUL!AK401)</f>
        <v>-</v>
      </c>
      <c r="L401" s="83" t="str">
        <f>IF(SP_SUL!AM401="","*",SP_SUL!AM401)</f>
        <v>ZBM</v>
      </c>
      <c r="M401" s="83">
        <f>IF(SP_SUL!AP401="","*",SP_SUL!AP401)</f>
        <v>56.2</v>
      </c>
      <c r="N401" s="83" t="str">
        <f>IF(SP_SUL!AM401="","*",SP_SUL!AM401)</f>
        <v>ZBM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>
        <f>IF(SP_SUL!B420="","*",SP_SUL!B420)</f>
        <v>46094</v>
      </c>
      <c r="B420" s="83" t="str">
        <f>IF(SP_SUL!X420="","*",SP_SUL!X420)</f>
        <v>Oportunidade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>
        <f>IF(SP_SUL!B422="","*",SP_SUL!B422)</f>
        <v>46094</v>
      </c>
      <c r="B422" s="83" t="str">
        <f>IF(SP_SUL!X422="","*",SP_SUL!X422)</f>
        <v>Contrato</v>
      </c>
      <c r="C422" s="83" t="str">
        <f>IF(SP_SUL!S422="","*",SP_SUL!S422)</f>
        <v>SP SUL</v>
      </c>
      <c r="D422" s="83" t="str">
        <f>IF(SP_SUL!T422="","*",SP_SUL!T422)</f>
        <v>ZEV-ZPT</v>
      </c>
      <c r="E422" s="83" t="str">
        <f>IF(SP_SUL!D422="","*",SP_SUL!D422)</f>
        <v>MOD ZEZ</v>
      </c>
      <c r="F422" s="83" t="str">
        <f>IF(SP_SUL!H422="","*",SP_SUL!H422)</f>
        <v>-</v>
      </c>
      <c r="G422" s="83" t="str">
        <f>IF(SP_SUL!M422="","*",SP_SUL!M422)</f>
        <v>ZEZ-069</v>
      </c>
      <c r="H422" s="116">
        <f>IF(SP_SUL!K422="","*",SP_SUL!K422)</f>
        <v>75.099999999999994</v>
      </c>
      <c r="I422" s="113">
        <f>IF(SP_SUL!O422="","*",SP_SUL!O422)</f>
        <v>0.375</v>
      </c>
      <c r="J422" s="113">
        <f>IF(SP_SUL!P422="","*",SP_SUL!P422)</f>
        <v>0.16666666666666666</v>
      </c>
      <c r="K422" s="83" t="str">
        <f>IF(SP_SUL!AK422="","*",SP_SUL!AK422)</f>
        <v>-</v>
      </c>
      <c r="L422" s="83" t="str">
        <f>IF(SP_SUL!AM422="","*",SP_SUL!AM422)</f>
        <v>ZEZ-069</v>
      </c>
      <c r="M422" s="83">
        <f>IF(SP_SUL!AP422="","*",SP_SUL!AP422)</f>
        <v>75.099999999999994</v>
      </c>
      <c r="N422" s="83" t="str">
        <f>IF(SP_SUL!AM422="","*",SP_SUL!AM422)</f>
        <v>ZEZ-069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>
        <f>IF(SP_SUL!B423="","*",SP_SUL!B423)</f>
        <v>46094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W61</v>
      </c>
      <c r="F423" s="83" t="str">
        <f>IF(SP_SUL!H423="","*",SP_SUL!H423)</f>
        <v>K67ZEV2</v>
      </c>
      <c r="G423" s="83" t="str">
        <f>IF(SP_SUL!M423="","*",SP_SUL!M423)</f>
        <v>ZXW-ZEZ</v>
      </c>
      <c r="H423" s="116">
        <f>IF(SP_SUL!K423="","*",SP_SUL!K423)</f>
        <v>78.5</v>
      </c>
      <c r="I423" s="113">
        <f>IF(SP_SUL!O423="","*",SP_SUL!O423)</f>
        <v>0.32291666666666669</v>
      </c>
      <c r="J423" s="113">
        <f>IF(SP_SUL!P423="","*",SP_SUL!P423)</f>
        <v>6.9444444444444447E-4</v>
      </c>
      <c r="K423" s="83" t="str">
        <f>IF(SP_SUL!AK423="","*",SP_SUL!AK423)</f>
        <v>K67ZEV2</v>
      </c>
      <c r="L423" s="83" t="str">
        <f>IF(SP_SUL!AM423="","*",SP_SUL!AM423)</f>
        <v>ZXW-ZEZ</v>
      </c>
      <c r="M423" s="83">
        <f>IF(SP_SUL!AP423="","*",SP_SUL!AP423)</f>
        <v>78.5</v>
      </c>
      <c r="N423" s="83" t="str">
        <f>IF(SP_SUL!AM423="","*",SP_SUL!AM423)</f>
        <v>ZXW-ZEZ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>
        <f>IF(SP_SUL!B424="","*",SP_SUL!B424)</f>
        <v>46094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MODERNIZAÇÃO TURMA 2</v>
      </c>
      <c r="F424" s="83" t="str">
        <f>IF(SP_SUL!H424="","*",SP_SUL!H424)</f>
        <v>-</v>
      </c>
      <c r="G424" s="83" t="str">
        <f>IF(SP_SUL!M424="","*",SP_SUL!M424)</f>
        <v>ZXW-ZEZ</v>
      </c>
      <c r="H424" s="116">
        <f>IF(SP_SUL!K424="","*",SP_SUL!K424)</f>
        <v>80.040000000000006</v>
      </c>
      <c r="I424" s="113">
        <f>IF(SP_SUL!O424="","*",SP_SUL!O424)</f>
        <v>0.375</v>
      </c>
      <c r="J424" s="113">
        <f>IF(SP_SUL!P424="","*",SP_SUL!P424)</f>
        <v>6.9444444444444447E-4</v>
      </c>
      <c r="K424" s="83" t="str">
        <f>IF(SP_SUL!AK424="","*",SP_SUL!AK424)</f>
        <v>-</v>
      </c>
      <c r="L424" s="83" t="str">
        <f>IF(SP_SUL!AM424="","*",SP_SUL!AM424)</f>
        <v>ZXW-ZEZ</v>
      </c>
      <c r="M424" s="83">
        <f>IF(SP_SUL!AP424="","*",SP_SUL!AP424)</f>
        <v>80.040000000000006</v>
      </c>
      <c r="N424" s="83" t="str">
        <f>IF(SP_SUL!AM424="","*",SP_SUL!AM424)</f>
        <v>ZXW-ZEZ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>
        <f>IF(SP_SUL!B426="","*",SP_SUL!B426)</f>
        <v>46094</v>
      </c>
      <c r="B426" s="83" t="str">
        <f>IF(SP_SUL!X426="","*",SP_SUL!X426)</f>
        <v>Oportunidade</v>
      </c>
      <c r="C426" s="83" t="str">
        <f>IF(SP_SUL!S426="","*",SP_SUL!S426)</f>
        <v>SP SUL</v>
      </c>
      <c r="D426" s="83" t="str">
        <f>IF(SP_SUL!T426="","*",SP_SUL!T426)</f>
        <v>ZEV-ZPT</v>
      </c>
      <c r="E426" s="83" t="str">
        <f>IF(SP_SUL!D426="","*",SP_SUL!D426)</f>
        <v>W62</v>
      </c>
      <c r="F426" s="83" t="str">
        <f>IF(SP_SUL!H426="","*",SP_SUL!H426)</f>
        <v>ZPT105-1</v>
      </c>
      <c r="G426" s="83" t="str">
        <f>IF(SP_SUL!M426="","*",SP_SUL!M426)</f>
        <v>ZPT-ZXW</v>
      </c>
      <c r="H426" s="116">
        <f>IF(SP_SUL!K426="","*",SP_SUL!K426)</f>
        <v>83.7</v>
      </c>
      <c r="I426" s="113">
        <f>IF(SP_SUL!O426="","*",SP_SUL!O426)</f>
        <v>0.33333333333333331</v>
      </c>
      <c r="J426" s="113">
        <f>IF(SP_SUL!P426="","*",SP_SUL!P426)</f>
        <v>4.1666666666666664E-2</v>
      </c>
      <c r="K426" s="83" t="str">
        <f>IF(SP_SUL!AK426="","*",SP_SUL!AK426)</f>
        <v>ZPT105-1</v>
      </c>
      <c r="L426" s="83" t="str">
        <f>IF(SP_SUL!AM426="","*",SP_SUL!AM426)</f>
        <v>ZPT-ZXW</v>
      </c>
      <c r="M426" s="83">
        <f>IF(SP_SUL!AP426="","*",SP_SUL!AP426)</f>
        <v>83.7</v>
      </c>
      <c r="N426" s="83" t="str">
        <f>IF(SP_SUL!AM426="","*",SP_SUL!AM426)</f>
        <v>ZPT-ZXW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>
        <f>IF(SP_SUL!B427="","*",SP_SUL!B427)</f>
        <v>46094</v>
      </c>
      <c r="B427" s="83" t="str">
        <f>IF(SP_SUL!X427="","*",SP_SUL!X427)</f>
        <v>Oportunidade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 ZGP</v>
      </c>
      <c r="F427" s="83" t="str">
        <f>IF(SP_SUL!H427="","*",SP_SUL!H427)</f>
        <v>-</v>
      </c>
      <c r="G427" s="83" t="str">
        <f>IF(SP_SUL!M427="","*",SP_SUL!M427)</f>
        <v>ZGP</v>
      </c>
      <c r="H427" s="116">
        <f>IF(SP_SUL!K427="","*",SP_SUL!K427)</f>
        <v>102</v>
      </c>
      <c r="I427" s="113">
        <f>IF(SP_SUL!O427="","*",SP_SUL!O427)</f>
        <v>0.47916666666666669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</v>
      </c>
      <c r="M427" s="83">
        <f>IF(SP_SUL!AP427="","*",SP_SUL!AP427)</f>
        <v>102</v>
      </c>
      <c r="N427" s="83" t="str">
        <f>IF(SP_SUL!AM427="","*",SP_SUL!AM427)</f>
        <v>ZGP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>
        <f>IF(SP_SUL!B428="","*",SP_SUL!B428)</f>
        <v>46094</v>
      </c>
      <c r="B428" s="83" t="str">
        <f>IF(SP_SUL!X428="","*",SP_SUL!X428)</f>
        <v>Oportunidade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V85</v>
      </c>
      <c r="F428" s="83" t="str">
        <f>IF(SP_SUL!H428="","*",SP_SUL!H428)</f>
        <v>ZDRZPT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0.41666666666666669</v>
      </c>
      <c r="J428" s="113">
        <f>IF(SP_SUL!P428="","*",SP_SUL!P428)</f>
        <v>0</v>
      </c>
      <c r="K428" s="83" t="str">
        <f>IF(SP_SUL!AK428="","*",SP_SUL!AK428)</f>
        <v>ZDRZPT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>
        <f>IF(SP_SUL!B429="","*",SP_SUL!B429)</f>
        <v>46094</v>
      </c>
      <c r="B429" s="83" t="str">
        <f>IF(SP_SUL!X429="","*",SP_SUL!X429)</f>
        <v>Oportunidade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HUELTON (TP-725)</v>
      </c>
      <c r="F429" s="83" t="str">
        <f>IF(SP_SUL!H429="","*",SP_SUL!H429)</f>
        <v>-</v>
      </c>
      <c r="G429" s="83" t="str">
        <f>IF(SP_SUL!M429="","*",SP_SUL!M429)</f>
        <v>ZPT</v>
      </c>
      <c r="H429" s="116">
        <f>IF(SP_SUL!K429="","*",SP_SUL!K429)</f>
        <v>106.8</v>
      </c>
      <c r="I429" s="113">
        <f>IF(SP_SUL!O429="","*",SP_SUL!O429)</f>
        <v>0.375</v>
      </c>
      <c r="J429" s="113">
        <f>IF(SP_SUL!P429="","*",SP_SUL!P429)</f>
        <v>0.125</v>
      </c>
      <c r="K429" s="83" t="str">
        <f>IF(SP_SUL!AK429="","*",SP_SUL!AK429)</f>
        <v>-</v>
      </c>
      <c r="L429" s="83" t="str">
        <f>IF(SP_SUL!AM429="","*",SP_SUL!AM429)</f>
        <v>ZPT</v>
      </c>
      <c r="M429" s="83">
        <f>IF(SP_SUL!AP429="","*",SP_SUL!AP429)</f>
        <v>106.8</v>
      </c>
      <c r="N429" s="83" t="str">
        <f>IF(SP_SUL!AM429="","*",SP_SUL!AM429)</f>
        <v>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>
        <f>IF(SP_SUL!B430="","*",SP_SUL!B430)</f>
        <v>46094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EXPANSÃO TURMA 1</v>
      </c>
      <c r="F430" s="83" t="str">
        <f>IF(SP_SUL!H430="","*",SP_SUL!H430)</f>
        <v>-</v>
      </c>
      <c r="G430" s="83" t="str">
        <f>IF(SP_SUL!M430="","*",SP_SUL!M430)</f>
        <v>ZGM-109</v>
      </c>
      <c r="H430" s="116">
        <f>IF(SP_SUL!K430="","*",SP_SUL!K430)</f>
        <v>111.5</v>
      </c>
      <c r="I430" s="113">
        <f>IF(SP_SUL!O430="","*",SP_SUL!O430)</f>
        <v>0.41666666666666669</v>
      </c>
      <c r="J430" s="113">
        <f>IF(SP_SUL!P430="","*",SP_SUL!P430)</f>
        <v>6.25E-2</v>
      </c>
      <c r="K430" s="83" t="str">
        <f>IF(SP_SUL!AK430="","*",SP_SUL!AK430)</f>
        <v>-</v>
      </c>
      <c r="L430" s="83" t="str">
        <f>IF(SP_SUL!AM430="","*",SP_SUL!AM430)</f>
        <v>ZGM-109</v>
      </c>
      <c r="M430" s="83">
        <f>IF(SP_SUL!AP430="","*",SP_SUL!AP430)</f>
        <v>111.5</v>
      </c>
      <c r="N430" s="83" t="str">
        <f>IF(SP_SUL!AM430="","*",SP_SUL!AM430)</f>
        <v>ZGM-109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>
        <f>IF(SP_SUL!B431="","*",SP_SUL!B431)</f>
        <v>46094</v>
      </c>
      <c r="B431" s="83" t="str">
        <f>IF(SP_SUL!X431="","*",SP_SUL!X431)</f>
        <v>Contrato</v>
      </c>
      <c r="C431" s="83" t="str">
        <f>IF(SP_SUL!S431="","*",SP_SUL!S431)</f>
        <v>SP SUL</v>
      </c>
      <c r="D431" s="83" t="str">
        <f>IF(SP_SUL!T431="","*",SP_SUL!T431)</f>
        <v>ZEV-ZPT</v>
      </c>
      <c r="E431" s="83" t="str">
        <f>IF(SP_SUL!D431="","*",SP_SUL!D431)</f>
        <v>LEANDRO (TP-727)</v>
      </c>
      <c r="F431" s="83" t="str">
        <f>IF(SP_SUL!H431="","*",SP_SUL!H431)</f>
        <v>-</v>
      </c>
      <c r="G431" s="83" t="str">
        <f>IF(SP_SUL!M431="","*",SP_SUL!M431)</f>
        <v>ZGM-109</v>
      </c>
      <c r="H431" s="116">
        <f>IF(SP_SUL!K431="","*",SP_SUL!K431)</f>
        <v>113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ZGM-109</v>
      </c>
      <c r="M431" s="83">
        <f>IF(SP_SUL!AP431="","*",SP_SUL!AP431)</f>
        <v>113</v>
      </c>
      <c r="N431" s="83" t="str">
        <f>IF(SP_SUL!AM431="","*",SP_SUL!AM431)</f>
        <v>ZGM-109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>
        <f>IF(SP_SUL!B432="","*",SP_SUL!B432)</f>
        <v>46094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RAFAEL (TP-695)</v>
      </c>
      <c r="F432" s="83" t="str">
        <f>IF(SP_SUL!H432="","*",SP_SUL!H432)</f>
        <v>-</v>
      </c>
      <c r="G432" s="83" t="str">
        <f>IF(SP_SUL!M432="","*",SP_SUL!M432)</f>
        <v>ZPG-ZZV</v>
      </c>
      <c r="H432" s="116">
        <f>IF(SP_SUL!K432="","*",SP_SUL!K432)</f>
        <v>122.7</v>
      </c>
      <c r="I432" s="113">
        <f>IF(SP_SUL!O432="","*",SP_SUL!O432)</f>
        <v>0.375</v>
      </c>
      <c r="J432" s="113">
        <f>IF(SP_SUL!P432="","*",SP_SUL!P432)</f>
        <v>0.125</v>
      </c>
      <c r="K432" s="83" t="str">
        <f>IF(SP_SUL!AK432="","*",SP_SUL!AK432)</f>
        <v>-</v>
      </c>
      <c r="L432" s="83" t="str">
        <f>IF(SP_SUL!AM432="","*",SP_SUL!AM432)</f>
        <v>ZPG-ZZV</v>
      </c>
      <c r="M432" s="83">
        <f>IF(SP_SUL!AP432="","*",SP_SUL!AP432)</f>
        <v>122.7</v>
      </c>
      <c r="N432" s="83" t="str">
        <f>IF(SP_SUL!AM432="","*",SP_SUL!AM432)</f>
        <v>ZPG-ZZV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36"/>
      <c r="B1" s="237"/>
      <c r="C1" s="23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9" t="s">
        <v>1009</v>
      </c>
      <c r="Q1" s="240"/>
      <c r="R1" s="111"/>
      <c r="S1" s="84"/>
      <c r="T1" s="86"/>
      <c r="U1" s="241" t="s">
        <v>1621</v>
      </c>
      <c r="V1" s="241"/>
      <c r="W1" s="241"/>
    </row>
    <row r="2" spans="1:23" ht="15" customHeight="1">
      <c r="A2" s="87" t="s">
        <v>1622</v>
      </c>
      <c r="B2" s="87" t="s">
        <v>1617</v>
      </c>
      <c r="C2" s="87" t="s">
        <v>376</v>
      </c>
      <c r="D2" s="88" t="s">
        <v>961</v>
      </c>
      <c r="E2" s="88" t="s">
        <v>4</v>
      </c>
      <c r="F2" s="88" t="s">
        <v>1616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1623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Contrato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Bloco Modernização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>
        <f ca="1">_xlfn.XLOOKUP(G396&amp;$U$2,BS_CONTROLE[CHAVE],BS_CONTROLE[Quantidade_11],"-")</f>
        <v>0</v>
      </c>
      <c r="V396" s="137">
        <f ca="1">_xlfn.XLOOKUP(G396&amp;$V$2,BS_CONTROLE[CHAVE],BS_CONTROLE[Quantidade_11],"-")</f>
        <v>0</v>
      </c>
      <c r="W396" s="137">
        <f ca="1">_xlfn.XLOOKUP(G396&amp;$W$2,BS_CONTROLE[CHAVE],BS_CONTROLE[Quantidade_11],"-")</f>
        <v>0</v>
      </c>
    </row>
    <row r="397" spans="1:23" hidden="1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82.5</v>
      </c>
      <c r="O397" s="144">
        <f>IF(SP_SUL!L400="","*",SP_SUL!L400)</f>
        <v>83.3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>
        <f ca="1">_xlfn.XLOOKUP(G397&amp;$U$2,BS_CONTROLE[CHAVE],BS_CONTROLE[Quantidade_11],"-")</f>
        <v>0</v>
      </c>
      <c r="V397" s="137">
        <f ca="1">_xlfn.XLOOKUP(G397&amp;$V$2,BS_CONTROLE[CHAVE],BS_CONTROLE[Quantidade_11],"-")</f>
        <v>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Contrato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 t="str">
        <f>IF(SP_SUL!B401="","*",SP_SUL!B401)</f>
        <v>*</v>
      </c>
      <c r="G398" s="145" t="str">
        <f>IF(SP_SUL!D401="","*",SP_SUL!D401)</f>
        <v xml:space="preserve">TURMA FIXA VIA </v>
      </c>
      <c r="H398" s="145" t="str">
        <f>IF(SP_SUL!F401="","*",SP_SUL!F401)</f>
        <v>PDM - SUBSTITUIÇÃO - TRILHO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ZBM</v>
      </c>
      <c r="L398" s="139" t="str">
        <f>IF(SP_SUL!N401="","*",SP_SUL!N401)</f>
        <v>ZBMK571</v>
      </c>
      <c r="M398" s="140">
        <f>IF(SP_SUL!J401="","*",SP_SUL!J401)</f>
        <v>68</v>
      </c>
      <c r="N398" s="144">
        <f>IF(SP_SUL!K401="","*",SP_SUL!K401)</f>
        <v>56.2</v>
      </c>
      <c r="O398" s="144" t="str">
        <f>IF(SP_SUL!L401="","*",SP_SUL!L401)</f>
        <v>-</v>
      </c>
      <c r="P398" s="143">
        <f>IF(SP_SUL!O401="","*",SP_SUL!O401)</f>
        <v>0.54166666666666663</v>
      </c>
      <c r="Q398" s="143">
        <f>IF(SP_SUL!P401="","*",SP_SUL!P401)</f>
        <v>0.16666666666666666</v>
      </c>
      <c r="R398" s="145" t="str">
        <f>IF(SP_SUL!Q401="","*",CONCATENATE(SP_SUL!Q401," ",SP_SUL!R401))</f>
        <v>624 M</v>
      </c>
      <c r="S398" s="145" t="str">
        <f>IF(SP_SUL!V401="","*",SP_SUL!V401)</f>
        <v>Israel</v>
      </c>
      <c r="T398" s="145" t="str">
        <f>IF(SP_SUL!W401="","*",SP_SUL!W401)</f>
        <v>Substituição de trilho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312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>
        <f ca="1">_xlfn.XLOOKUP(G400&amp;$U$2,BS_CONTROLE[CHAVE],BS_CONTROLE[Quantidade_11],"-")</f>
        <v>0</v>
      </c>
      <c r="V400" s="137">
        <f ca="1">_xlfn.XLOOKUP(G400&amp;$V$2,BS_CONTROLE[CHAVE],BS_CONTROLE[Quantidade_11],"-")</f>
        <v>0</v>
      </c>
      <c r="W400" s="137">
        <f ca="1">_xlfn.XLOOKUP(G400&amp;$W$2,BS_CONTROLE[CHAVE],BS_CONTROLE[Quantidade_11],"-")</f>
        <v>1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0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23</v>
      </c>
    </row>
    <row r="404" spans="1:23" hidden="1">
      <c r="A404" s="146" t="str">
        <f>IF(SP_SUL!Y407="","*",SP_SUL!Y407)</f>
        <v>*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0</v>
      </c>
      <c r="W404" s="137">
        <f ca="1">_xlfn.XLOOKUP(G404&amp;$W$2,BS_CONTROLE[CHAVE],BS_CONTROLE[Quantidade_11],"-")</f>
        <v>940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>
        <f ca="1">_xlfn.XLOOKUP(G406&amp;$U$2,BS_CONTROLE[CHAVE],BS_CONTROLE[Quantidade_11],"-")</f>
        <v>0</v>
      </c>
      <c r="V406" s="137">
        <f ca="1">_xlfn.XLOOKUP(G406&amp;$V$2,BS_CONTROLE[CHAVE],BS_CONTROLE[Quantidade_11],"-")</f>
        <v>0</v>
      </c>
      <c r="W406" s="137">
        <f ca="1">_xlfn.XLOOKUP(G406&amp;$W$2,BS_CONTROLE[CHAVE],BS_CONTROLE[Quantidade_11],"-")</f>
        <v>0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DESCARGA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>
        <f ca="1">_xlfn.XLOOKUP(G409&amp;$U$2,BS_CONTROLE[CHAVE],BS_CONTROLE[Quantidade_11],"-")</f>
        <v>103</v>
      </c>
      <c r="V409" s="137">
        <f ca="1">_xlfn.XLOOKUP(G409&amp;$V$2,BS_CONTROLE[CHAVE],BS_CONTROLE[Quantidade_11],"-")</f>
        <v>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DESCARGA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>
        <f ca="1">_xlfn.XLOOKUP(G410&amp;$U$2,BS_CONTROLE[CHAVE],BS_CONTROLE[Quantidade_11],"-")</f>
        <v>103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>
        <f ca="1">_xlfn.XLOOKUP(G411&amp;$U$2,BS_CONTROLE[CHAVE],BS_CONTROLE[Quantidade_11],"-")</f>
        <v>1750</v>
      </c>
      <c r="V411" s="137">
        <f ca="1">_xlfn.XLOOKUP(G411&amp;$V$2,BS_CONTROLE[CHAVE],BS_CONTROLE[Quantidade_11],"-")</f>
        <v>0</v>
      </c>
      <c r="W411" s="137">
        <f ca="1">_xlfn.XLOOKUP(G411&amp;$W$2,BS_CONTROLE[CHAVE],BS_CONTROLE[Quantidade_11],"-")</f>
        <v>0</v>
      </c>
    </row>
    <row r="412" spans="1:23" hidden="1">
      <c r="A412" s="146" t="str">
        <f>IF(SP_SUL!Y415="","*",SP_SUL!Y415)</f>
        <v>*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>
        <f ca="1">_xlfn.XLOOKUP(G412&amp;$U$2,BS_CONTROLE[CHAVE],BS_CONTROLE[Quantidade_11],"-")</f>
        <v>2</v>
      </c>
      <c r="V412" s="137">
        <f ca="1">_xlfn.XLOOKUP(G412&amp;$V$2,BS_CONTROLE[CHAVE],BS_CONTROLE[Quantidade_11],"-")</f>
        <v>0</v>
      </c>
      <c r="W412" s="137">
        <f ca="1">_xlfn.XLOOKUP(G412&amp;$W$2,BS_CONTROLE[CHAVE],BS_CONTROLE[Quantidade_11],"-")</f>
        <v>0</v>
      </c>
    </row>
    <row r="413" spans="1:23" hidden="1">
      <c r="A413" s="146" t="str">
        <f>IF(SP_SUL!Y416="","*",SP_SUL!Y416)</f>
        <v>*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>
        <f ca="1">_xlfn.XLOOKUP(G413&amp;$U$2,BS_CONTROLE[CHAVE],BS_CONTROLE[Quantidade_11],"-")</f>
        <v>1</v>
      </c>
      <c r="V413" s="137">
        <f ca="1">_xlfn.XLOOKUP(G413&amp;$V$2,BS_CONTROLE[CHAVE],BS_CONTROLE[Quantidade_11],"-")</f>
        <v>0</v>
      </c>
      <c r="W413" s="137">
        <f ca="1">_xlfn.XLOOKUP(G413&amp;$W$2,BS_CONTROLE[CHAVE],BS_CONTROLE[Quantidade_11],"-")</f>
        <v>0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*</v>
      </c>
      <c r="B417" s="146" t="str">
        <f>IF(SP_SUL!X420="","*",SP_SUL!X420)</f>
        <v>Oportunidade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>
        <f>IF(SP_SUL!B420="","*",SP_SUL!B420)</f>
        <v>46094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 xml:space="preserve">Manobra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Contrato</v>
      </c>
      <c r="C419" s="146" t="str">
        <f>IF(SP_SUL!Z422="","*",SP_SUL!Z422)</f>
        <v>*</v>
      </c>
      <c r="D419" s="139" t="str">
        <f>IF(SP_SUL!S422="","*",SP_SUL!S422)</f>
        <v>SP SUL</v>
      </c>
      <c r="E419" s="139" t="str">
        <f>IF(SP_SUL!T422="","*",SP_SUL!T422)</f>
        <v>ZEV-ZPT</v>
      </c>
      <c r="F419" s="145">
        <f>IF(SP_SUL!B422="","*",SP_SUL!B422)</f>
        <v>46094</v>
      </c>
      <c r="G419" s="145" t="str">
        <f>IF(SP_SUL!D422="","*",SP_SUL!D422)</f>
        <v>MOD ZEZ</v>
      </c>
      <c r="H419" s="145" t="str">
        <f>IF(SP_SUL!F422="","*",SP_SUL!F422)</f>
        <v>BLOCO</v>
      </c>
      <c r="I419" s="145" t="str">
        <f>IF(SP_SUL!H422="","*",SP_SUL!H422)</f>
        <v>-</v>
      </c>
      <c r="J419" s="145" t="str">
        <f>IF(SP_SUL!I422="","*",SP_SUL!I422)</f>
        <v>-</v>
      </c>
      <c r="K419" s="139" t="str">
        <f>IF(SP_SUL!M422="","*",SP_SUL!M422)</f>
        <v>ZEZ-069</v>
      </c>
      <c r="L419" s="139" t="str">
        <f>IF(SP_SUL!N422="","*",SP_SUL!N422)</f>
        <v>ZEZZXW</v>
      </c>
      <c r="M419" s="140">
        <f>IF(SP_SUL!J422="","*",SP_SUL!J422)</f>
        <v>92</v>
      </c>
      <c r="N419" s="144">
        <f>IF(SP_SUL!K422="","*",SP_SUL!K422)</f>
        <v>75.099999999999994</v>
      </c>
      <c r="O419" s="144">
        <f>IF(SP_SUL!L422="","*",SP_SUL!L422)</f>
        <v>81.900000000000006</v>
      </c>
      <c r="P419" s="143">
        <f>IF(SP_SUL!O422="","*",SP_SUL!O422)</f>
        <v>0.375</v>
      </c>
      <c r="Q419" s="143">
        <f>IF(SP_SUL!P422="","*",SP_SUL!P422)</f>
        <v>0.16666666666666666</v>
      </c>
      <c r="R419" s="145" t="str">
        <f>IF(SP_SUL!Q422="","*",CONCATENATE(SP_SUL!Q422," ",SP_SUL!R422))</f>
        <v>1 BINÁRIO</v>
      </c>
      <c r="S419" s="145" t="str">
        <f>IF(SP_SUL!V422="","*",SP_SUL!V422)</f>
        <v>Augusto</v>
      </c>
      <c r="T419" s="145" t="str">
        <f>IF(SP_SUL!W422="","*",SP_SUL!W422)</f>
        <v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v>
      </c>
      <c r="U419" s="137" t="str">
        <f ca="1">_xlfn.XLOOKUP(G419&amp;$U$2,BS_CONTROLE[CHAVE],BS_CONTROLE[Quantidade_11],"-")</f>
        <v>-</v>
      </c>
      <c r="V419" s="137">
        <f ca="1">_xlfn.XLOOKUP(G419&amp;$V$2,BS_CONTROLE[CHAVE],BS_CONTROLE[Quantidade_11],"-")</f>
        <v>1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46094</v>
      </c>
      <c r="G420" s="145" t="str">
        <f>IF(SP_SUL!D423="","*",SP_SUL!D423)</f>
        <v>W61</v>
      </c>
      <c r="H420" s="145" t="str">
        <f>IF(SP_SUL!F423="","*",SP_SUL!F423)</f>
        <v>RECOLHIMENTO DE DORMENTE</v>
      </c>
      <c r="I420" s="145" t="str">
        <f>IF(SP_SUL!H423="","*",SP_SUL!H423)</f>
        <v>K67ZEV2</v>
      </c>
      <c r="J420" s="145" t="str">
        <f>IF(SP_SUL!I423="","*",SP_SUL!I423)</f>
        <v>K67ZEV2</v>
      </c>
      <c r="K420" s="139" t="str">
        <f>IF(SP_SUL!M423="","*",SP_SUL!M423)</f>
        <v>ZXW-ZEZ</v>
      </c>
      <c r="L420" s="139" t="str">
        <f>IF(SP_SUL!N423="","*",SP_SUL!N423)</f>
        <v>K79ZEZ2</v>
      </c>
      <c r="M420" s="140">
        <f>IF(SP_SUL!J423="","*",SP_SUL!J423)</f>
        <v>92</v>
      </c>
      <c r="N420" s="144">
        <f>IF(SP_SUL!K423="","*",SP_SUL!K423)</f>
        <v>78.5</v>
      </c>
      <c r="O420" s="144">
        <f>IF(SP_SUL!L423="","*",SP_SUL!L423)</f>
        <v>81.3</v>
      </c>
      <c r="P420" s="143">
        <f>IF(SP_SUL!O423="","*",SP_SUL!O423)</f>
        <v>0.32291666666666669</v>
      </c>
      <c r="Q420" s="143">
        <f>IF(SP_SUL!P423="","*",SP_SUL!P423)</f>
        <v>6.9444444444444447E-4</v>
      </c>
      <c r="R420" s="145" t="str">
        <f>IF(SP_SUL!Q423="","*",CONCATENATE(SP_SUL!Q423," ",SP_SUL!R423))</f>
        <v>800 Nº DE PEÇAS</v>
      </c>
      <c r="S420" s="145" t="str">
        <f>IF(SP_SUL!V423="","*",SP_SUL!V423)</f>
        <v>Augusto</v>
      </c>
      <c r="T420" s="145" t="str">
        <f>IF(SP_SUL!W423="","*",SP_SUL!W423)</f>
        <v>Recolhimento de dormentes</v>
      </c>
      <c r="U420" s="137" t="str">
        <f ca="1">_xlfn.XLOOKUP(G420&amp;$U$2,BS_CONTROLE[CHAVE],BS_CONTROLE[Quantidade_11],"-")</f>
        <v>-</v>
      </c>
      <c r="V420" s="137">
        <f ca="1">_xlfn.XLOOKUP(G420&amp;$V$2,BS_CONTROLE[CHAVE],BS_CONTROLE[Quantidade_11],"-")</f>
        <v>700</v>
      </c>
      <c r="W420" s="137">
        <f ca="1">_xlfn.XLOOKUP(G420&amp;$W$2,BS_CONTROLE[CHAVE],BS_CONTROLE[Quantidade_11],"-")</f>
        <v>1</v>
      </c>
    </row>
    <row r="421" spans="1:23" hidden="1">
      <c r="A421" s="146" t="str">
        <f>IF(SP_SUL!Y424="","*",SP_SUL!Y424)</f>
        <v>*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46094</v>
      </c>
      <c r="G421" s="145" t="str">
        <f>IF(SP_SUL!D424="","*",SP_SUL!D424)</f>
        <v>MODERNIZAÇÃO TURMA 2</v>
      </c>
      <c r="H421" s="145" t="str">
        <f>IF(SP_SUL!F424="","*",SP_SUL!F424)</f>
        <v>MODERNIZAÇÃO - SOLDA</v>
      </c>
      <c r="I421" s="145" t="str">
        <f>IF(SP_SUL!H424="","*",SP_SUL!H424)</f>
        <v>-</v>
      </c>
      <c r="J421" s="145" t="str">
        <f>IF(SP_SUL!I424="","*",SP_SUL!I424)</f>
        <v>-</v>
      </c>
      <c r="K421" s="139" t="str">
        <f>IF(SP_SUL!M424="","*",SP_SUL!M424)</f>
        <v>ZXW-ZEZ</v>
      </c>
      <c r="L421" s="139" t="str">
        <f>IF(SP_SUL!N424="","*",SP_SUL!N424)</f>
        <v>ZXWK792</v>
      </c>
      <c r="M421" s="140">
        <f>IF(SP_SUL!J424="","*",SP_SUL!J424)</f>
        <v>92</v>
      </c>
      <c r="N421" s="144">
        <f>IF(SP_SUL!K424="","*",SP_SUL!K424)</f>
        <v>80.040000000000006</v>
      </c>
      <c r="O421" s="144">
        <f>IF(SP_SUL!L424="","*",SP_SUL!L424)</f>
        <v>80.066999999999993</v>
      </c>
      <c r="P421" s="143">
        <f>IF(SP_SUL!O424="","*",SP_SUL!O424)</f>
        <v>0.375</v>
      </c>
      <c r="Q421" s="143">
        <f>IF(SP_SUL!P424="","*",SP_SUL!P424)</f>
        <v>6.9444444444444447E-4</v>
      </c>
      <c r="R421" s="145" t="str">
        <f>IF(SP_SUL!Q424="","*",CONCATENATE(SP_SUL!Q424," ",SP_SUL!R424))</f>
        <v>2 Nº DE SOLDA</v>
      </c>
      <c r="S421" s="145" t="str">
        <f>IF(SP_SUL!V424="","*",SP_SUL!V424)</f>
        <v>Augusto</v>
      </c>
      <c r="T421" s="145" t="str">
        <f>IF(SP_SUL!W424="","*",SP_SUL!W424)</f>
        <v xml:space="preserve">Execução de solda - Condicionado a temperatura 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1</v>
      </c>
      <c r="W421" s="137">
        <f ca="1">_xlfn.XLOOKUP(G421&amp;$W$2,BS_CONTROLE[CHAVE],BS_CONTROLE[Quantidade_11],"-")</f>
        <v>0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Oportunidade</v>
      </c>
      <c r="C423" s="146" t="str">
        <f>IF(SP_SUL!Z426="","*",SP_SUL!Z426)</f>
        <v>*</v>
      </c>
      <c r="D423" s="139" t="str">
        <f>IF(SP_SUL!S426="","*",SP_SUL!S426)</f>
        <v>SP SUL</v>
      </c>
      <c r="E423" s="139" t="str">
        <f>IF(SP_SUL!T426="","*",SP_SUL!T426)</f>
        <v>ZEV-ZPT</v>
      </c>
      <c r="F423" s="145">
        <f>IF(SP_SUL!B426="","*",SP_SUL!B426)</f>
        <v>46094</v>
      </c>
      <c r="G423" s="145" t="str">
        <f>IF(SP_SUL!D426="","*",SP_SUL!D426)</f>
        <v>W62</v>
      </c>
      <c r="H423" s="145" t="str">
        <f>IF(SP_SUL!F426="","*",SP_SUL!F426)</f>
        <v>DESLOCAMENTO</v>
      </c>
      <c r="I423" s="145" t="str">
        <f>IF(SP_SUL!H426="","*",SP_SUL!H426)</f>
        <v>ZPT105-1</v>
      </c>
      <c r="J423" s="145" t="str">
        <f>IF(SP_SUL!I426="","*",SP_SUL!I426)</f>
        <v>ZDRZPT</v>
      </c>
      <c r="K423" s="139" t="str">
        <f>IF(SP_SUL!M426="","*",SP_SUL!M426)</f>
        <v>ZPT-ZXW</v>
      </c>
      <c r="L423" s="139" t="str">
        <f>IF(SP_SUL!N426="","*",SP_SUL!N426)</f>
        <v>ZPTZXW</v>
      </c>
      <c r="M423" s="140">
        <f>IF(SP_SUL!J426="","*",SP_SUL!J426)</f>
        <v>54</v>
      </c>
      <c r="N423" s="144">
        <f>IF(SP_SUL!K426="","*",SP_SUL!K426)</f>
        <v>83.7</v>
      </c>
      <c r="O423" s="144" t="str">
        <f>IF(SP_SUL!L426="","*",SP_SUL!L426)</f>
        <v>-</v>
      </c>
      <c r="P423" s="143">
        <f>IF(SP_SUL!O426="","*",SP_SUL!O426)</f>
        <v>0.33333333333333331</v>
      </c>
      <c r="Q423" s="143">
        <f>IF(SP_SUL!P426="","*",SP_SUL!P426)</f>
        <v>4.1666666666666664E-2</v>
      </c>
      <c r="R423" s="145" t="str">
        <f>IF(SP_SUL!Q426="","*",CONCATENATE(SP_SUL!Q426," ",SP_SUL!R426))</f>
        <v>1 BINÁRIO</v>
      </c>
      <c r="S423" s="145" t="str">
        <f>IF(SP_SUL!V426="","*",SP_SUL!V426)</f>
        <v>Moises</v>
      </c>
      <c r="T423" s="145" t="str">
        <f>IF(SP_SUL!W426="","*",SP_SUL!W426)</f>
        <v>Deslocamento turmas na serra</v>
      </c>
      <c r="U423" s="137" t="str">
        <f ca="1">_xlfn.XLOOKUP(G423&amp;$U$2,BS_CONTROLE[CHAVE],BS_CONTROLE[Quantidade_11],"-")</f>
        <v>-</v>
      </c>
      <c r="V423" s="137">
        <f ca="1">_xlfn.XLOOKUP(G423&amp;$V$2,BS_CONTROLE[CHAVE],BS_CONTROLE[Quantidade_11],"-")</f>
        <v>1</v>
      </c>
      <c r="W423" s="137">
        <f ca="1">_xlfn.XLOOKUP(G423&amp;$W$2,BS_CONTROLE[CHAVE],BS_CONTROLE[Quantidade_11],"-")</f>
        <v>1</v>
      </c>
    </row>
    <row r="424" spans="1:23" hidden="1">
      <c r="A424" s="146" t="str">
        <f>IF(SP_SUL!Y427="","*",SP_SUL!Y427)</f>
        <v>*</v>
      </c>
      <c r="B424" s="146" t="str">
        <f>IF(SP_SUL!X427="","*",SP_SUL!X427)</f>
        <v>Oportunidade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46094</v>
      </c>
      <c r="G424" s="145" t="str">
        <f>IF(SP_SUL!D427="","*",SP_SUL!D427)</f>
        <v>MOD ZGP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</v>
      </c>
      <c r="L424" s="139" t="str">
        <f>IF(SP_SUL!N427="","*",SP_SUL!N427)</f>
        <v>ZGP2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0.47916666666666669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</v>
      </c>
      <c r="U424" s="137" t="str">
        <f ca="1">_xlfn.XLOOKUP(G424&amp;$U$2,BS_CONTROLE[CHAVE],BS_CONTROLE[Quantidade_11],"-")</f>
        <v>-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Oportunidade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46094</v>
      </c>
      <c r="G425" s="145" t="str">
        <f>IF(SP_SUL!D428="","*",SP_SUL!D428)</f>
        <v>V85</v>
      </c>
      <c r="H425" s="145" t="str">
        <f>IF(SP_SUL!F428="","*",SP_SUL!F428)</f>
        <v>MECANIZAÇÃO - SOCADORA</v>
      </c>
      <c r="I425" s="145" t="str">
        <f>IF(SP_SUL!H428="","*",SP_SUL!H428)</f>
        <v>ZDRZPT</v>
      </c>
      <c r="J425" s="145" t="str">
        <f>IF(SP_SUL!I428="","*",SP_SUL!I428)</f>
        <v>ZDRZPT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103.54</v>
      </c>
      <c r="P425" s="143">
        <f>IF(SP_SUL!O428="","*",SP_SUL!O428)</f>
        <v>0.41666666666666669</v>
      </c>
      <c r="Q425" s="143">
        <f>IF(SP_SUL!P428="","*",SP_SUL!P428)</f>
        <v>0</v>
      </c>
      <c r="R425" s="145" t="str">
        <f>IF(SP_SUL!Q428="","*",CONCATENATE(SP_SUL!Q428," ",SP_SUL!R428))</f>
        <v>1310 M</v>
      </c>
      <c r="S425" s="145" t="str">
        <f>IF(SP_SUL!V428="","*",SP_SUL!V428)</f>
        <v>Augusto</v>
      </c>
      <c r="T425" s="145" t="str">
        <f>IF(SP_SUL!W428="","*",SP_SUL!W428)</f>
        <v>Socaria Mecanizada</v>
      </c>
      <c r="U425" s="137">
        <f ca="1">_xlfn.XLOOKUP(G425&amp;$U$2,BS_CONTROLE[CHAVE],BS_CONTROLE[Quantidade_11],"-")</f>
        <v>1</v>
      </c>
      <c r="V425" s="137">
        <f ca="1">_xlfn.XLOOKUP(G425&amp;$V$2,BS_CONTROLE[CHAVE],BS_CONTROLE[Quantidade_11],"-")</f>
        <v>1860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*</v>
      </c>
      <c r="B426" s="146" t="str">
        <f>IF(SP_SUL!X429="","*",SP_SUL!X429)</f>
        <v>Oportunidade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46094</v>
      </c>
      <c r="G426" s="145" t="str">
        <f>IF(SP_SUL!D429="","*",SP_SUL!D429)</f>
        <v>HUELTON (TP-725)</v>
      </c>
      <c r="H426" s="145" t="str">
        <f>IF(SP_SUL!F429="","*",SP_SUL!F429)</f>
        <v>PDM - SOLDA</v>
      </c>
      <c r="I426" s="145" t="str">
        <f>IF(SP_SUL!H429="","*",SP_SUL!H429)</f>
        <v>-</v>
      </c>
      <c r="J426" s="145" t="str">
        <f>IF(SP_SUL!I429="","*",SP_SUL!I429)</f>
        <v>-</v>
      </c>
      <c r="K426" s="139" t="str">
        <f>IF(SP_SUL!M429="","*",SP_SUL!M429)</f>
        <v>ZPT</v>
      </c>
      <c r="L426" s="139" t="str">
        <f>IF(SP_SUL!N429="","*",SP_SUL!N429)</f>
        <v>ZPT2</v>
      </c>
      <c r="M426" s="140">
        <f>IF(SP_SUL!J429="","*",SP_SUL!J429)</f>
        <v>92</v>
      </c>
      <c r="N426" s="144">
        <f>IF(SP_SUL!K429="","*",SP_SUL!K429)</f>
        <v>106.8</v>
      </c>
      <c r="O426" s="144" t="str">
        <f>IF(SP_SUL!L429="","*",SP_SUL!L429)</f>
        <v>-</v>
      </c>
      <c r="P426" s="143">
        <f>IF(SP_SUL!O429="","*",SP_SUL!O429)</f>
        <v>0.375</v>
      </c>
      <c r="Q426" s="143">
        <f>IF(SP_SUL!P429="","*",SP_SUL!P429)</f>
        <v>0.125</v>
      </c>
      <c r="R426" s="145" t="str">
        <f>IF(SP_SUL!Q429="","*",CONCATENATE(SP_SUL!Q429," ",SP_SUL!R429))</f>
        <v>2 Nº DE SOLDA</v>
      </c>
      <c r="S426" s="145" t="str">
        <f>IF(SP_SUL!V429="","*",SP_SUL!V429)</f>
        <v>Moises</v>
      </c>
      <c r="T426" s="145" t="str">
        <f>IF(SP_SUL!W429="","*",SP_SUL!W429)</f>
        <v xml:space="preserve">Execução de solda - Condicionado a temperatura </v>
      </c>
      <c r="U426" s="137" t="str">
        <f ca="1">_xlfn.XLOOKUP(G426&amp;$U$2,BS_CONTROLE[CHAVE],BS_CONTROLE[Quantidade_11],"-")</f>
        <v>-</v>
      </c>
      <c r="V426" s="137">
        <f ca="1">_xlfn.XLOOKUP(G426&amp;$V$2,BS_CONTROLE[CHAVE],BS_CONTROLE[Quantidade_11],"-")</f>
        <v>0</v>
      </c>
      <c r="W426" s="137">
        <f ca="1">_xlfn.XLOOKUP(G426&amp;$W$2,BS_CONTROLE[CHAVE],BS_CONTROLE[Quantidade_11],"-")</f>
        <v>0</v>
      </c>
    </row>
    <row r="427" spans="1:23" hidden="1">
      <c r="A427" s="146" t="str">
        <f>IF(SP_SUL!Y430="","*",SP_SUL!Y430)</f>
        <v>*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46094</v>
      </c>
      <c r="G427" s="145" t="str">
        <f>IF(SP_SUL!D430="","*",SP_SUL!D430)</f>
        <v>EXPANSÃO TURMA 1</v>
      </c>
      <c r="H427" s="145" t="str">
        <f>IF(SP_SUL!F430="","*",SP_SUL!F430)</f>
        <v>EXPANSÃO - SOLDA</v>
      </c>
      <c r="I427" s="145" t="str">
        <f>IF(SP_SUL!H430="","*",SP_SUL!H430)</f>
        <v>-</v>
      </c>
      <c r="J427" s="145" t="str">
        <f>IF(SP_SUL!I430="","*",SP_SUL!I430)</f>
        <v>-</v>
      </c>
      <c r="K427" s="139" t="str">
        <f>IF(SP_SUL!M430="","*",SP_SUL!M430)</f>
        <v>ZGM-109</v>
      </c>
      <c r="L427" s="139">
        <f>IF(SP_SUL!N430="","*",SP_SUL!N430)</f>
        <v>1121111</v>
      </c>
      <c r="M427" s="140">
        <f>IF(SP_SUL!J430="","*",SP_SUL!J430)</f>
        <v>30</v>
      </c>
      <c r="N427" s="144">
        <f>IF(SP_SUL!K430="","*",SP_SUL!K430)</f>
        <v>111.5</v>
      </c>
      <c r="O427" s="144">
        <f>IF(SP_SUL!L430="","*",SP_SUL!L430)</f>
        <v>112</v>
      </c>
      <c r="P427" s="143">
        <f>IF(SP_SUL!O430="","*",SP_SUL!O430)</f>
        <v>0.41666666666666669</v>
      </c>
      <c r="Q427" s="143">
        <f>IF(SP_SUL!P430="","*",SP_SUL!P430)</f>
        <v>6.25E-2</v>
      </c>
      <c r="R427" s="145" t="str">
        <f>IF(SP_SUL!Q430="","*",CONCATENATE(SP_SUL!Q430," ",SP_SUL!R430))</f>
        <v>1 Nº DE SOLDA</v>
      </c>
      <c r="S427" s="145" t="str">
        <f>IF(SP_SUL!V430="","*",SP_SUL!V430)</f>
        <v>Pedro</v>
      </c>
      <c r="T427" s="145" t="str">
        <f>IF(SP_SUL!W430="","*",SP_SUL!W430)</f>
        <v xml:space="preserve">Execução de solda - Condicionado a temperatura 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>
        <f ca="1">_xlfn.XLOOKUP(G427&amp;$W$2,BS_CONTROLE[CHAVE],BS_CONTROLE[Quantidade_11],"-")</f>
        <v>0</v>
      </c>
    </row>
    <row r="428" spans="1:23" hidden="1">
      <c r="A428" s="146" t="str">
        <f>IF(SP_SUL!Y431="","*",SP_SUL!Y431)</f>
        <v>*</v>
      </c>
      <c r="B428" s="146" t="str">
        <f>IF(SP_SUL!X431="","*",SP_SUL!X431)</f>
        <v>Contrato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ZEV-ZPT</v>
      </c>
      <c r="F428" s="145">
        <f>IF(SP_SUL!B431="","*",SP_SUL!B431)</f>
        <v>46094</v>
      </c>
      <c r="G428" s="145" t="str">
        <f>IF(SP_SUL!D431="","*",SP_SUL!D431)</f>
        <v>LEANDRO (TP-727)</v>
      </c>
      <c r="H428" s="145" t="str">
        <f>IF(SP_SUL!F431="","*",SP_SUL!F431)</f>
        <v>PDM - SUBSTITUIÇÃO - DORMENTE</v>
      </c>
      <c r="I428" s="145" t="str">
        <f>IF(SP_SUL!H431="","*",SP_SUL!H431)</f>
        <v>-</v>
      </c>
      <c r="J428" s="145" t="str">
        <f>IF(SP_SUL!I431="","*",SP_SUL!I431)</f>
        <v>-</v>
      </c>
      <c r="K428" s="139" t="str">
        <f>IF(SP_SUL!M431="","*",SP_SUL!M431)</f>
        <v>ZGM-109</v>
      </c>
      <c r="L428" s="139">
        <f>IF(SP_SUL!N431="","*",SP_SUL!N431)</f>
        <v>1131121</v>
      </c>
      <c r="M428" s="140">
        <f>IF(SP_SUL!J431="","*",SP_SUL!J431)</f>
        <v>30</v>
      </c>
      <c r="N428" s="144">
        <f>IF(SP_SUL!K431="","*",SP_SUL!K431)</f>
        <v>113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30 Nº DE DORMENTES</v>
      </c>
      <c r="S428" s="145" t="str">
        <f>IF(SP_SUL!V431="","*",SP_SUL!V431)</f>
        <v>Moises</v>
      </c>
      <c r="T428" s="145" t="str">
        <f>IF(SP_SUL!W431="","*",SP_SUL!W431)</f>
        <v>pDM - Substituição de dormentes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46094</v>
      </c>
      <c r="G429" s="145" t="str">
        <f>IF(SP_SUL!D432="","*",SP_SUL!D432)</f>
        <v>RAFAEL (TP-695)</v>
      </c>
      <c r="H429" s="145" t="str">
        <f>IF(SP_SUL!F432="","*",SP_SUL!F432)</f>
        <v>PDM - AMV - JACARÉ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ZPG-ZZV</v>
      </c>
      <c r="L429" s="139" t="str">
        <f>IF(SP_SUL!N432="","*",SP_SUL!N432)</f>
        <v>ZPGZZV</v>
      </c>
      <c r="M429" s="140">
        <f>IF(SP_SUL!J432="","*",SP_SUL!J432)</f>
        <v>53</v>
      </c>
      <c r="N429" s="144">
        <f>IF(SP_SUL!K432="","*",SP_SUL!K432)</f>
        <v>122.7</v>
      </c>
      <c r="O429" s="144">
        <f>IF(SP_SUL!L432="","*",SP_SUL!L432)</f>
        <v>122.6</v>
      </c>
      <c r="P429" s="143">
        <f>IF(SP_SUL!O432="","*",SP_SUL!O432)</f>
        <v>0.375</v>
      </c>
      <c r="Q429" s="143">
        <f>IF(SP_SUL!P432="","*",SP_SUL!P432)</f>
        <v>0.125</v>
      </c>
      <c r="R429" s="145" t="str">
        <f>IF(SP_SUL!Q432="","*",CONCATENATE(SP_SUL!Q432," ",SP_SUL!R432))</f>
        <v>1 Nº DE PEÇAS</v>
      </c>
      <c r="S429" s="145" t="str">
        <f>IF(SP_SUL!V432="","*",SP_SUL!V432)</f>
        <v>Moises</v>
      </c>
      <c r="T429" s="145" t="str">
        <f>IF(SP_SUL!W432="","*",SP_SUL!W432)</f>
        <v>PDM - Substituição de jacaré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2026-03-12T18:04:02Z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