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815" documentId="120_S{118792C3-22EF-5104-A093-F22BFE3913F3}" xr6:coauthVersionLast="47" xr6:coauthVersionMax="47" xr10:uidLastSave="{294B33F9-AAD7-4B66-8412-138CE6C110D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67" i="1" l="1" a="1"/>
  <c r="N167" i="1" s="1"/>
  <c r="M167" i="1" a="1"/>
  <c r="M167" i="1" s="1"/>
  <c r="N164" i="1" a="1"/>
  <c r="N164" i="1" s="1"/>
  <c r="M164" i="1" a="1"/>
  <c r="M164" i="1" s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 s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/>
  <c r="L38" i="15" s="1"/>
  <c r="R41" i="1"/>
  <c r="S41" i="1" a="1"/>
  <c r="S41" i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AJ42" i="1"/>
  <c r="AK42" i="1"/>
  <c r="K42" i="10" s="1"/>
  <c r="AL42" i="1"/>
  <c r="AO42" i="1"/>
  <c r="BE42" i="1" s="1" a="1"/>
  <c r="BE42" i="1" s="1"/>
  <c r="AP42" i="1"/>
  <c r="M42" i="10" s="1"/>
  <c r="AQ42" i="1"/>
  <c r="BB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/>
  <c r="E40" i="15" s="1"/>
  <c r="U43" i="1" a="1"/>
  <c r="U43" i="1" s="1"/>
  <c r="AI43" i="1"/>
  <c r="AJ43" i="1"/>
  <c r="AK43" i="1"/>
  <c r="K43" i="10" s="1"/>
  <c r="AL43" i="1"/>
  <c r="AO43" i="1"/>
  <c r="BE43" i="1" s="1" a="1"/>
  <c r="BE43" i="1" s="1"/>
  <c r="AP43" i="1"/>
  <c r="M43" i="10" s="1"/>
  <c r="AQ43" i="1"/>
  <c r="BB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40" i="15" l="1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<sst xmlns="http://schemas.openxmlformats.org/spreadsheetml/2006/main" count="4987" uniqueCount="1333">
  <si>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</si>
  <si>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</si>
  <si>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</si>
  <si>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</si>
  <si>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</si>
  <si>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</si>
  <si>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</si>
  <si>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</si>
  <si>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</si>
  <si>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</si>
  <si>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</si>
  <si>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</si>
  <si>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</si>
  <si>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</si>
  <si>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</si>
  <si>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</si>
  <si>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</si>
  <si>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</si>
  <si>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</si>
  <si>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</si>
  <si>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</si>
  <si>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</si>
  <si>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</si>
  <si>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</si>
  <si>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</si>
  <si>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</si>
  <si>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</si>
  <si>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</si>
  <si>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</si>
  <si>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</si>
  <si>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</si>
  <si>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</si>
  <si>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</si>
  <si>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</si>
  <si>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</si>
  <si>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</si>
  <si>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</si>
  <si>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</si>
  <si>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</si>
  <si>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</si>
  <si>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</si>
  <si>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</si>
  <si>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</si>
  <si>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</si>
  <si>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</si>
  <si>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</si>
  <si>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</si>
  <si>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</si>
  <si>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</si>
  <si>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</si>
  <si>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</si>
  <si>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</si>
  <si>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</si>
  <si>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</si>
  <si>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</si>
  <si>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</si>
  <si>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</si>
  <si>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</si>
  <si>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</si>
  <si>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</si>
  <si>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</si>
  <si>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</si>
  <si>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</si>
  <si>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</si>
  <si>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</si>
  <si>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</si>
  <si>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</si>
  <si>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</si>
  <si>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</si>
  <si>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</si>
  <si>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</si>
  <si>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</si>
  <si>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</si>
  <si>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</si>
  <si>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</si>
  <si>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</si>
  <si>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</si>
  <si>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</si>
  <si>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</si>
  <si>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</si>
  <si>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</si>
  <si>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</si>
  <si>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</si>
  <si>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</si>
  <si>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</si>
  <si>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</si>
  <si>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</si>
  <si>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</si>
  <si>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</si>
  <si>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</si>
  <si>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</si>
  <si>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</si>
  <si>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</si>
  <si>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</si>
  <si>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</si>
  <si>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</si>
  <si>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</si>
  <si>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</si>
  <si>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</si>
  <si>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</si>
  <si>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</si>
  <si>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</si>
  <si>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</si>
  <si>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</si>
  <si>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</si>
  <si>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</si>
  <si>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</si>
  <si>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</si>
  <si>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</si>
  <si>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</si>
  <si>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</si>
  <si>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</si>
  <si>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</si>
  <si>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</si>
  <si>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</si>
  <si>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</si>
  <si>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</si>
  <si>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</si>
  <si>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</si>
  <si>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</si>
  <si>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</si>
  <si>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</si>
  <si>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</si>
  <si>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</si>
  <si>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</si>
  <si>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</si>
  <si>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</si>
  <si>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</si>
  <si>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</si>
  <si>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</si>
  <si>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</si>
  <si>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</si>
  <si>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</si>
  <si>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</si>
  <si>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</si>
  <si>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</si>
  <si>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</si>
  <si>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</si>
  <si>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</si>
  <si>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</si>
  <si>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</si>
  <si>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</si>
  <si>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</si>
  <si>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</si>
  <si>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</si>
  <si>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</si>
  <si>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</si>
  <si>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</si>
  <si>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</si>
  <si>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</si>
  <si>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</si>
  <si>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</si>
  <si>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</si>
  <si>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</si>
  <si>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</si>
  <si>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</si>
  <si>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</si>
  <si>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</si>
  <si>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</si>
  <si>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</si>
  <si>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</si>
  <si>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</si>
  <si>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</si>
  <si>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</si>
  <si>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</si>
  <si>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</si>
  <si>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</si>
  <si>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</si>
  <si>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</si>
  <si>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</si>
  <si>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</si>
  <si>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</si>
  <si>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</si>
  <si>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</si>
  <si>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</si>
  <si>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</si>
  <si>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</si>
  <si>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</si>
  <si>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</si>
  <si>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</si>
  <si>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</si>
  <si>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</si>
  <si>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</si>
  <si>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</si>
  <si>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</si>
  <si>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</si>
  <si>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</si>
  <si>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</si>
  <si>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</si>
  <si>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</si>
  <si>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</si>
  <si>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</si>
  <si>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</si>
  <si>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</si>
  <si>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</si>
  <si>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</si>
  <si>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</si>
  <si>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</si>
  <si>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</si>
  <si>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</si>
  <si>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</si>
  <si>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</si>
  <si>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</si>
  <si>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</si>
  <si>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</si>
  <si>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</si>
  <si>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</si>
  <si>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</si>
  <si>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</si>
  <si>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</si>
  <si>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</si>
  <si>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</si>
  <si>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</si>
  <si>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</si>
  <si>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</si>
  <si>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</si>
  <si>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</si>
  <si>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</si>
  <si>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</si>
  <si>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</si>
  <si>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</si>
  <si>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</si>
  <si>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</si>
  <si>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</si>
  <si>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</si>
  <si>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</si>
  <si>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</si>
  <si>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</si>
  <si>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</si>
  <si>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</si>
  <si>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</si>
  <si>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</si>
  <si>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</si>
  <si>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</si>
  <si>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</si>
  <si>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</si>
  <si>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</si>
  <si>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</si>
  <si>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</si>
  <si>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</si>
  <si>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</si>
  <si>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</si>
  <si>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</si>
  <si>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</si>
  <si>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</si>
  <si>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</si>
  <si>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</si>
  <si>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</si>
  <si>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</si>
  <si>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</si>
  <si>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</si>
  <si>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</si>
  <si>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</si>
  <si>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</si>
  <si>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</si>
  <si>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</si>
  <si>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</si>
  <si>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</si>
  <si>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</si>
  <si>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</si>
  <si>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</si>
  <si>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</si>
  <si>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</si>
  <si>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</si>
  <si>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</si>
  <si>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</si>
  <si>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</si>
  <si>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</si>
  <si>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</si>
  <si>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</si>
  <si>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</si>
  <si>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</si>
  <si>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</si>
  <si>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</si>
  <si>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</si>
  <si>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</si>
  <si>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</si>
  <si>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</si>
  <si>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</si>
  <si>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</si>
  <si>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</si>
  <si>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</si>
  <si>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</si>
  <si>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</si>
  <si>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</si>
  <si>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</si>
  <si>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</si>
  <si>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</si>
  <si>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</si>
  <si>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</si>
  <si>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</si>
  <si>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</si>
  <si>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</si>
  <si>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</si>
  <si>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</si>
  <si>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</si>
  <si>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</si>
  <si>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</si>
  <si>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</si>
  <si>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</si>
  <si>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</si>
  <si>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</si>
  <si>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</si>
  <si>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</si>
  <si>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</si>
  <si>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</si>
  <si>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</si>
  <si>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</si>
  <si>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</si>
  <si>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</si>
  <si>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</si>
  <si>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</si>
  <si>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</si>
  <si>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</si>
  <si>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</si>
  <si>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</si>
  <si>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</si>
  <si>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</si>
  <si>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</si>
  <si>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</si>
  <si>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</si>
  <si>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</si>
  <si>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</si>
  <si>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</si>
  <si>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</si>
  <si>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</si>
  <si>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</si>
  <si>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</si>
  <si>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</si>
  <si>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</si>
  <si>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</si>
  <si>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</si>
  <si>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</si>
  <si>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</si>
  <si>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</si>
  <si>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</si>
  <si>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</si>
  <si>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</si>
  <si>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</si>
  <si>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</si>
  <si>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</si>
  <si>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</si>
  <si>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</si>
  <si>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</si>
  <si>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</si>
  <si>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</si>
  <si>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</si>
  <si>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</si>
  <si>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</si>
  <si>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</si>
  <si>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</si>
  <si>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</si>
  <si>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</si>
  <si>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</si>
  <si>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</si>
  <si>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</si>
  <si>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</si>
  <si>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</si>
  <si>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</si>
  <si>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</si>
  <si>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</si>
  <si>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</si>
  <si>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</si>
  <si>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</si>
  <si>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</si>
  <si>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</si>
  <si>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</si>
  <si>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</si>
  <si>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</si>
  <si>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</si>
  <si>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</si>
  <si>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</si>
  <si>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</si>
  <si>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</si>
  <si>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</si>
  <si>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</si>
  <si>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</si>
  <si>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</si>
  <si>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</si>
  <si>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</si>
  <si>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</si>
  <si>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</si>
  <si>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</si>
  <si>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</si>
  <si>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</si>
  <si>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</si>
  <si>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</si>
  <si>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</si>
  <si>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</si>
  <si>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</si>
  <si>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</si>
  <si>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</si>
  <si>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</si>
  <si>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</si>
  <si>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</si>
  <si>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</si>
  <si>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</si>
  <si>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</si>
  <si>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</si>
  <si>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</si>
  <si>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</si>
  <si>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</si>
  <si>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</si>
  <si>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</si>
  <si>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</si>
  <si>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</si>
  <si>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</si>
  <si>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</si>
  <si>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</si>
  <si>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</si>
  <si>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</si>
  <si>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</si>
  <si>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</si>
  <si>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</si>
  <si>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</si>
  <si>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</si>
  <si>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</si>
  <si>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</si>
  <si>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</si>
  <si>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</si>
  <si>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</si>
  <si>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</si>
  <si>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</si>
  <si>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</si>
  <si>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</si>
  <si>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</si>
  <si>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</si>
  <si>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</si>
  <si>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</si>
  <si>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</si>
  <si>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</si>
  <si>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</si>
  <si>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</si>
  <si>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</si>
  <si>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</si>
  <si>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</si>
  <si>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</si>
  <si>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</si>
  <si>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</si>
  <si>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</si>
  <si>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</si>
  <si>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</si>
  <si>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</si>
  <si>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</si>
  <si>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</si>
  <si>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</si>
  <si>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</si>
  <si>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</si>
  <si>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</si>
  <si>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</si>
  <si>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</si>
  <si>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</si>
  <si>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</si>
  <si>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</si>
  <si>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</si>
  <si>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</si>
  <si>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</si>
  <si>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</si>
  <si>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</si>
  <si>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</si>
  <si>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</si>
  <si>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</si>
  <si>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</si>
  <si>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</si>
  <si>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</si>
  <si>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</si>
  <si>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</si>
  <si>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</si>
  <si>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</si>
  <si>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</si>
  <si>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</si>
  <si>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</si>
  <si>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</si>
  <si>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</si>
  <si>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</si>
  <si>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</si>
  <si>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</si>
  <si>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</si>
  <si>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</si>
  <si>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</si>
  <si>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</si>
  <si>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</si>
  <si>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</si>
  <si>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</si>
  <si>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</si>
  <si>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</si>
  <si>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</si>
  <si>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</si>
  <si>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</si>
  <si>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</si>
  <si>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</si>
  <si>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</si>
  <si>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</si>
  <si>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</si>
  <si>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</si>
  <si>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</si>
  <si>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</si>
  <si>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</si>
  <si>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</si>
  <si>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</si>
  <si>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</si>
  <si>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</si>
  <si>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</si>
  <si>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</si>
  <si>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</si>
  <si>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</si>
  <si>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</si>
  <si>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</si>
  <si>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</si>
  <si>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</si>
  <si>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</si>
  <si>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</si>
  <si>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</si>
  <si>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</si>
  <si>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</si>
  <si>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</si>
  <si>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</si>
  <si>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</si>
  <si>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</si>
  <si>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</si>
  <si>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</si>
  <si>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</si>
  <si>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</si>
  <si>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</si>
  <si>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</si>
  <si>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</si>
  <si>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</si>
  <si>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</si>
  <si>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</si>
  <si>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</si>
  <si>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</si>
  <si>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</si>
  <si>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</si>
  <si>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</si>
  <si>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</si>
  <si>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</si>
  <si>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</si>
  <si>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</si>
  <si>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</si>
  <si>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</si>
  <si>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</si>
  <si>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</si>
  <si>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</si>
  <si>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</si>
  <si>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</si>
  <si>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</si>
  <si>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</si>
  <si>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</si>
  <si>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</si>
  <si>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</si>
  <si>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</si>
  <si>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</si>
  <si>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</si>
  <si>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</si>
  <si>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</si>
  <si>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</si>
  <si>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</si>
  <si>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</si>
  <si>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</si>
  <si>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</si>
  <si>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</si>
  <si>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</si>
  <si>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</si>
  <si>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</si>
  <si>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</si>
  <si>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</si>
  <si>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</si>
  <si>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</si>
  <si>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</si>
  <si>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</si>
  <si>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</si>
  <si>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</si>
  <si>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</si>
  <si>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</si>
  <si>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</si>
  <si>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</si>
  <si>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</si>
  <si>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</si>
  <si>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</si>
  <si>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</si>
  <si>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</si>
  <si>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</si>
  <si>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</si>
  <si>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</si>
  <si>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</si>
  <si>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</si>
  <si>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</si>
  <si>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</si>
  <si>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</si>
  <si>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</si>
  <si>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</si>
  <si>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</si>
  <si>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</si>
  <si>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</si>
  <si>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</si>
  <si>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</si>
  <si>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</si>
  <si>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</si>
  <si>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</si>
  <si>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</si>
  <si>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</si>
  <si>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</si>
  <si>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</si>
  <si>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</si>
  <si>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</si>
  <si>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</si>
  <si>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</si>
  <si>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</si>
  <si>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</si>
  <si>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</si>
  <si>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</si>
  <si>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</si>
  <si>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</si>
  <si>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</si>
  <si>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</si>
  <si>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</si>
  <si>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</si>
  <si>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</si>
  <si>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</si>
  <si>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</si>
  <si>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</si>
  <si>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</si>
  <si>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</si>
  <si>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</si>
  <si>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</si>
  <si>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</si>
  <si>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</si>
  <si>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</si>
  <si>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</si>
  <si>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</si>
  <si>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</si>
  <si>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</si>
  <si>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</si>
  <si>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</si>
  <si>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</si>
  <si>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</si>
  <si>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</si>
  <si>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</si>
  <si>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</si>
  <si>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</si>
  <si>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</si>
  <si>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</si>
  <si>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</si>
  <si>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</si>
  <si>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</si>
  <si>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</si>
  <si>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</si>
  <si>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</si>
  <si>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</si>
  <si>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</si>
  <si>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</si>
  <si>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</si>
  <si>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</si>
  <si>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</si>
  <si>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</si>
  <si>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</si>
  <si>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</si>
  <si>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</si>
  <si>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</si>
  <si>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</si>
  <si>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</si>
  <si>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</si>
  <si>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</si>
  <si>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</si>
  <si>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</si>
  <si>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</si>
  <si>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</si>
  <si>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</si>
  <si>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</si>
  <si>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</si>
  <si>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</si>
  <si>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</si>
  <si>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</si>
  <si>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</si>
  <si>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</si>
  <si>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</si>
  <si>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</si>
  <si>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</si>
  <si>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</si>
  <si>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</si>
  <si>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</si>
  <si>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</si>
  <si>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</si>
  <si>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</si>
  <si>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</si>
  <si>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</si>
  <si>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</si>
  <si>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</si>
  <si>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</si>
  <si>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</si>
  <si>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</si>
  <si>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</si>
  <si>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</si>
  <si>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</si>
  <si>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</si>
  <si>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</si>
  <si>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</si>
  <si>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</si>
  <si>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</si>
  <si>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</si>
  <si>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</si>
  <si>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</si>
  <si>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</si>
  <si>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</si>
  <si>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</si>
  <si>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</si>
  <si>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</si>
  <si>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</si>
  <si>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</si>
  <si>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</si>
  <si>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</si>
  <si>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</si>
  <si>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</si>
  <si>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</si>
  <si>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</si>
  <si>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</si>
  <si>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</si>
  <si>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</si>
  <si>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</si>
  <si>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</si>
  <si>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</si>
  <si>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</si>
  <si>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</si>
  <si>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</si>
  <si>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</si>
  <si>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</si>
  <si>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</si>
  <si>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</si>
  <si>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</si>
  <si>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</si>
  <si>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</si>
  <si>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</si>
  <si>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</si>
  <si>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</si>
  <si>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</si>
  <si>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</si>
  <si>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</si>
  <si>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</si>
  <si>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</si>
  <si>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</si>
  <si>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</si>
  <si>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</si>
  <si>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</si>
  <si>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</si>
  <si>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</si>
  <si>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</si>
  <si>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</si>
  <si>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</si>
  <si>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</si>
  <si>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</si>
  <si>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</si>
  <si>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</si>
  <si>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</si>
  <si>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</si>
  <si>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</si>
  <si>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</si>
  <si>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</si>
  <si>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</si>
  <si>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</si>
  <si>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</si>
  <si>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</si>
  <si>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</si>
  <si>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</si>
  <si>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</si>
  <si>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</si>
  <si>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</si>
  <si>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</si>
  <si>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</si>
  <si>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</si>
  <si>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</si>
  <si>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</si>
  <si>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</si>
  <si>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</si>
  <si>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</si>
  <si>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</si>
  <si>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</si>
  <si>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</si>
  <si>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</si>
  <si>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</si>
  <si>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</si>
  <si>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</si>
  <si>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</si>
  <si>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</si>
  <si>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</si>
  <si>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</si>
  <si>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</si>
  <si>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</si>
  <si>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</si>
  <si>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</si>
  <si>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</si>
  <si>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</si>
  <si>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</si>
  <si>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</si>
  <si>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</si>
  <si>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</si>
  <si>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</si>
  <si>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</si>
  <si>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</si>
  <si>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</si>
  <si>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</si>
  <si>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</si>
  <si>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</si>
  <si>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</si>
  <si>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</si>
  <si>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</si>
  <si>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</si>
  <si>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</si>
  <si>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</si>
  <si>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</si>
  <si>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</si>
  <si>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</si>
  <si>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</si>
  <si>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</si>
  <si>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</si>
  <si>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</si>
  <si>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</si>
  <si>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</si>
  <si>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</si>
  <si>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</si>
  <si>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</si>
  <si>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</si>
  <si>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</si>
  <si>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</si>
  <si>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</si>
  <si>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</si>
  <si>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</si>
  <si>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</si>
  <si>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</si>
  <si>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</si>
  <si>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</si>
  <si>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</si>
  <si>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</si>
  <si>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</si>
  <si>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</si>
  <si>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</si>
  <si>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</si>
  <si>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</si>
  <si>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</si>
  <si>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</si>
  <si>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</si>
  <si>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</si>
  <si>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</si>
  <si>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</si>
  <si>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</si>
  <si>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</si>
  <si>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</si>
  <si>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</si>
  <si>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</si>
  <si>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</si>
  <si>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</si>
  <si>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</si>
  <si>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</si>
  <si>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</si>
  <si>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</si>
  <si>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</si>
  <si>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</si>
  <si>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</si>
  <si>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</si>
  <si>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</si>
  <si>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</si>
  <si>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</si>
  <si>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</si>
  <si>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</si>
  <si>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</si>
  <si>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</si>
  <si>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</si>
  <si>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</si>
  <si>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</si>
  <si>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</si>
  <si>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</si>
  <si>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</si>
  <si>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</si>
  <si>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</si>
  <si>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</si>
  <si>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</si>
  <si>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</si>
  <si>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</si>
  <si>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</si>
  <si>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</si>
  <si>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</si>
  <si>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</si>
  <si>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</si>
  <si>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</si>
  <si>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</si>
  <si>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</si>
  <si>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</si>
  <si>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</si>
  <si>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</si>
  <si>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</si>
  <si>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</si>
  <si>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</si>
  <si>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</si>
  <si>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</si>
  <si>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</si>
  <si>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</si>
  <si>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</si>
  <si>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</si>
  <si>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</si>
  <si>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</si>
  <si>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</si>
  <si>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</si>
  <si>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</si>
  <si>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</si>
  <si>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</si>
  <si>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</si>
  <si>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</si>
  <si>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</si>
  <si>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</si>
  <si>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</si>
  <si>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</si>
  <si>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</si>
  <si>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</si>
  <si>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</si>
  <si>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</si>
  <si>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</si>
  <si>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</si>
  <si>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</si>
  <si>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</si>
  <si>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</si>
  <si>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</si>
  <si>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</si>
  <si>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</si>
  <si>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</si>
  <si>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</si>
  <si>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</si>
  <si>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</si>
  <si>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</si>
  <si>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</si>
  <si>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</si>
  <si>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</si>
  <si>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</si>
  <si>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</si>
  <si>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</si>
  <si>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</si>
  <si>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</si>
  <si>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</si>
  <si>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</si>
  <si>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</si>
  <si>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</si>
  <si>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</si>
  <si>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</si>
  <si>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</si>
  <si>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</si>
  <si>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</si>
  <si>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</si>
  <si>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</si>
  <si>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</si>
  <si>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</si>
  <si>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</si>
  <si>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</si>
  <si>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</si>
  <si>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</si>
  <si>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</si>
  <si>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</si>
  <si>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</si>
  <si>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</si>
  <si>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</si>
  <si>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</si>
  <si>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</si>
  <si>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</si>
  <si>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</si>
  <si>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</si>
  <si>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</si>
  <si>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</si>
  <si>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</si>
  <si>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</si>
  <si>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</si>
  <si>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</si>
  <si>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</si>
  <si>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</si>
  <si>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</si>
  <si>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</si>
  <si>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</si>
  <si>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</si>
  <si>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</si>
  <si>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</si>
  <si>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</si>
  <si>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</si>
  <si>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</si>
  <si>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</si>
  <si>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</si>
  <si>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</si>
  <si>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</si>
  <si>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</si>
  <si>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</si>
  <si>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</si>
  <si>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</si>
  <si>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</si>
  <si>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</si>
  <si>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</si>
  <si>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</si>
  <si>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</si>
  <si>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</si>
  <si>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</si>
  <si>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</si>
  <si>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</si>
  <si>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</si>
  <si>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</si>
  <si>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</si>
  <si>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</si>
  <si>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</si>
  <si>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</si>
  <si>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</si>
  <si>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</si>
  <si>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</si>
  <si>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</si>
  <si>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</si>
  <si>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</si>
  <si>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</si>
  <si>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</si>
  <si>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</si>
  <si>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</si>
  <si>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</si>
  <si>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</si>
  <si>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</si>
  <si>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</si>
  <si>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</si>
  <si>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</si>
  <si>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</si>
  <si>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</si>
  <si>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</si>
  <si>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</si>
  <si>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</si>
  <si>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</si>
  <si>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</si>
  <si>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</si>
  <si>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</si>
  <si>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</si>
  <si>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</si>
  <si>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</si>
  <si>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</si>
  <si>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</si>
  <si>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</si>
  <si>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</si>
  <si>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</si>
  <si>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</si>
  <si>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</si>
  <si>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</si>
  <si>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</si>
  <si>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</si>
  <si>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</si>
  <si>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</si>
  <si>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</si>
  <si>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</si>
  <si>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</si>
  <si>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</si>
  <si>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</si>
  <si>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</si>
  <si>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</si>
  <si>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</si>
  <si>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</si>
  <si>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</si>
  <si>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</si>
  <si>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</si>
  <si>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</si>
  <si>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</si>
  <si>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</si>
  <si>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</si>
  <si>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</si>
  <si>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</si>
  <si>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</si>
  <si>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</si>
  <si>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</si>
  <si>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</si>
  <si>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</si>
  <si>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</si>
  <si>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</si>
  <si>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</si>
  <si>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</si>
  <si>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</si>
  <si>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</si>
  <si>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</si>
  <si>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</si>
  <si>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</si>
  <si>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</si>
  <si>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</si>
  <si>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</si>
  <si>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</si>
  <si>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</si>
  <si>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</si>
  <si>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</si>
  <si>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</si>
  <si>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</si>
  <si>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</si>
  <si>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</si>
  <si>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</si>
  <si>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</si>
  <si>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</si>
  <si>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</si>
  <si>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</si>
  <si>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</si>
  <si>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</si>
  <si>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</si>
  <si>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</si>
  <si>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</si>
  <si>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</si>
  <si>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</si>
  <si>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</si>
  <si>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</si>
  <si>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</si>
  <si>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</si>
  <si>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</si>
  <si>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</si>
  <si>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</si>
  <si>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</si>
  <si>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</si>
  <si>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</si>
  <si>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</si>
  <si>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</si>
  <si>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</si>
  <si>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</si>
  <si>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</si>
  <si>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</si>
  <si>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</si>
  <si>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</si>
  <si>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</si>
  <si>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</si>
  <si>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</si>
  <si>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</si>
  <si>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</si>
  <si>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</si>
  <si>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</si>
  <si>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</si>
  <si>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</si>
  <si>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</si>
  <si>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</si>
  <si>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</si>
  <si>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</si>
  <si>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</si>
  <si>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</si>
  <si>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</si>
  <si>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</si>
  <si>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</si>
  <si>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</si>
  <si>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</si>
  <si>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</si>
  <si>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</si>
  <si>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</si>
  <si>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</si>
  <si>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</si>
  <si>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</si>
  <si>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</si>
  <si>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</si>
  <si>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</si>
  <si>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</si>
  <si>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</si>
  <si>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</si>
  <si>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</si>
  <si>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</si>
  <si>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</si>
  <si>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</si>
  <si>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</si>
  <si>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</si>
  <si>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</si>
  <si>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</si>
  <si>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</si>
  <si>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</si>
  <si>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</si>
  <si>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</si>
  <si>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</si>
  <si>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</si>
  <si>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</si>
  <si>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</si>
  <si>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</si>
  <si>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</si>
  <si>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</si>
  <si>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</si>
  <si>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</si>
  <si>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</si>
  <si>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</si>
  <si>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</si>
  <si>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</si>
  <si>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</si>
  <si>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</si>
  <si>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</si>
  <si>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</si>
  <si>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</si>
  <si>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</si>
  <si>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</si>
  <si>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</si>
  <si>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</si>
  <si>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</si>
  <si>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</si>
  <si>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</si>
  <si>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</si>
  <si>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</si>
  <si>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</si>
  <si>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</si>
  <si>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</si>
  <si>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</si>
  <si>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</si>
  <si>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</si>
  <si>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</si>
  <si>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</si>
  <si>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</si>
  <si>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</si>
  <si>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</si>
  <si>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</si>
  <si>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</si>
  <si>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</si>
  <si>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</si>
  <si>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</si>
  <si>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</si>
  <si>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</si>
  <si>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</si>
  <si>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</si>
  <si>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</si>
  <si>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</si>
  <si>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</si>
  <si>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</si>
  <si>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</si>
  <si>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</si>
  <si>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</si>
  <si>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</si>
  <si>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</si>
  <si>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</si>
  <si>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</si>
  <si>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</si>
  <si>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</si>
  <si>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</si>
  <si>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</si>
  <si>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</si>
  <si>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</si>
  <si>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</si>
  <si>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</si>
  <si>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</si>
  <si>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</si>
  <si>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</si>
  <si>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</si>
  <si>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</si>
  <si>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</si>
  <si>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</si>
  <si>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</si>
  <si>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</si>
  <si>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</si>
  <si>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</si>
  <si>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</si>
  <si>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</si>
  <si>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Previsão de MC1 11h30</t>
  </si>
  <si>
    <t>MC1 11h38, previsão de faixa as 15h.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</si>
  <si>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</si>
  <si>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</si>
  <si>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</si>
  <si>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</si>
  <si>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</si>
  <si>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</si>
  <si>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</si>
  <si>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</si>
  <si>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>2 (Escala) -Obs: Necessário 2 maquinista da escala para realizar deslocamento de ZKW até ZCP-1;</t>
  </si>
  <si>
    <t xml:space="preserve">Cancelado / 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</si>
  <si>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</si>
  <si>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</si>
  <si>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</si>
  <si>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MC1 08h14 / Em intervalo</t>
  </si>
  <si>
    <t>Cancelado intervalo / devido anomalia dos vazios.</t>
  </si>
  <si>
    <t xml:space="preserve">TP pronto 10h46 / aguardando confirmar cauda do C68 / </t>
  </si>
  <si>
    <t>TP pronto 09h22 / Concedido intervalo as 09h25 até 11h25. TP não conseguiu realizar produção, devido trem parado na via1.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</si>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</sst>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G149" activePane="topRight" state="frozen"/>
      <selection pane="topRight" activeCell="H167" sqref="H167:Q16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8" t="s">
        <v>950</v>
      </c>
      <c r="C1" s="189"/>
      <c r="D1" s="189"/>
      <c r="E1" s="3"/>
      <c r="F1" s="188" t="s">
        <v>951</v>
      </c>
      <c r="G1" s="189"/>
      <c r="H1" s="190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91"/>
      <c r="AH1" s="5"/>
      <c r="AI1" s="195" t="s">
        <v>952</v>
      </c>
      <c r="AJ1" s="196"/>
      <c r="AK1" s="196"/>
      <c r="AL1" s="196"/>
      <c r="AM1" s="197"/>
      <c r="AN1" s="198"/>
      <c r="AO1" s="196"/>
      <c r="AP1" s="196"/>
      <c r="AQ1" s="196"/>
      <c r="AR1" s="196"/>
      <c r="AS1" s="196"/>
      <c r="AT1" s="196"/>
      <c r="AU1" s="196"/>
      <c r="AV1" s="196"/>
      <c r="AW1" s="196"/>
      <c r="AX1" s="196"/>
      <c r="AY1" s="196"/>
      <c r="AZ1" s="196"/>
      <c r="BA1" s="196"/>
      <c r="BB1" s="196"/>
      <c r="BC1" s="196"/>
      <c r="BD1" s="196"/>
      <c r="BE1" s="196"/>
      <c r="BF1" s="199"/>
      <c r="BG1" s="5"/>
      <c r="BH1" s="200" t="s">
        <v>953</v>
      </c>
      <c r="BI1" s="201"/>
      <c r="BJ1" s="201"/>
      <c r="BK1" s="202"/>
      <c r="BL1" s="5"/>
      <c r="BM1" s="192" t="s">
        <v>954</v>
      </c>
      <c r="BN1" s="193"/>
      <c r="BO1" s="193"/>
      <c r="BP1" s="193"/>
      <c r="BQ1" s="193"/>
      <c r="BR1" s="193"/>
      <c r="BS1" s="194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5" t="s">
        <v>955</v>
      </c>
      <c r="AJ2" s="196"/>
      <c r="AK2" s="196"/>
      <c r="AL2" s="196"/>
      <c r="AM2" s="197"/>
      <c r="AN2" s="198"/>
      <c r="AO2" s="196"/>
      <c r="AP2" s="196"/>
      <c r="AQ2" s="199"/>
      <c r="AR2" s="6"/>
      <c r="AS2" s="195" t="s">
        <v>958</v>
      </c>
      <c r="AT2" s="196"/>
      <c r="AU2" s="196"/>
      <c r="AV2" s="196"/>
      <c r="AW2" s="196"/>
      <c r="AX2" s="196"/>
      <c r="AY2" s="199"/>
      <c r="AZ2" s="6"/>
      <c r="BA2" s="181" t="s">
        <v>959</v>
      </c>
      <c r="BB2" s="185"/>
      <c r="BC2" s="195" t="s">
        <v>956</v>
      </c>
      <c r="BD2" s="196"/>
      <c r="BE2" s="196"/>
      <c r="BF2" s="199"/>
      <c r="BG2" s="5"/>
      <c r="BH2" s="203"/>
      <c r="BI2" s="204"/>
      <c r="BJ2" s="204"/>
      <c r="BK2" s="205"/>
      <c r="BL2" s="5"/>
      <c r="BM2" s="206"/>
      <c r="BN2" s="207"/>
      <c r="BO2" s="207"/>
      <c r="BP2" s="207"/>
      <c r="BQ2" s="207"/>
      <c r="BR2" s="207"/>
      <c r="BS2" s="208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1" t="s">
        <v>960</v>
      </c>
      <c r="AJ3" s="185"/>
      <c r="AK3" s="181" t="s">
        <v>961</v>
      </c>
      <c r="AL3" s="182"/>
      <c r="AM3" s="183"/>
      <c r="AN3" s="184"/>
      <c r="AO3" s="182"/>
      <c r="AP3" s="182"/>
      <c r="AQ3" s="185"/>
      <c r="AR3" s="63"/>
      <c r="AS3" s="186" t="s">
        <v>967</v>
      </c>
      <c r="AT3" s="187"/>
      <c r="AU3" s="186" t="s">
        <v>968</v>
      </c>
      <c r="AV3" s="187"/>
      <c r="AW3" s="186" t="s">
        <v>969</v>
      </c>
      <c r="AX3" s="187"/>
      <c r="AY3" s="63" t="s">
        <v>970</v>
      </c>
      <c r="AZ3" s="63"/>
      <c r="BA3" s="209"/>
      <c r="BB3" s="210"/>
      <c r="BC3" s="181" t="s">
        <v>963</v>
      </c>
      <c r="BD3" s="182"/>
      <c r="BE3" s="182"/>
      <c r="BF3" s="185"/>
      <c r="BG3" s="62"/>
      <c r="BH3" s="203"/>
      <c r="BI3" s="204"/>
      <c r="BJ3" s="204"/>
      <c r="BK3" s="205"/>
      <c r="BL3" s="62"/>
      <c r="BM3" s="192" t="s">
        <v>971</v>
      </c>
      <c r="BN3" s="193"/>
      <c r="BO3" s="193"/>
      <c r="BP3" s="194"/>
      <c r="BQ3" s="192" t="s">
        <v>742</v>
      </c>
      <c r="BR3" s="193"/>
      <c r="BS3" s="194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0.79166666666666663</v>
      </c>
      <c r="AU111" s="136"/>
      <c r="AV111" s="136"/>
      <c r="AW111" s="14"/>
      <c r="AX111" s="14"/>
      <c r="AY111" s="164">
        <f t="shared" si="8"/>
        <v>8.3333333333333259E-2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 e Intervalo</v>
      </c>
      <c r="BR111" s="19">
        <f t="shared" si="11"/>
        <v>0.99999999999999911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0.125</v>
      </c>
      <c r="Q132" s="105">
        <v>312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Produção e Intervalo</v>
      </c>
      <c r="BR132" s="19">
        <f t="shared" si="11"/>
        <v>0.66666666666666652</v>
      </c>
      <c r="BS132" s="19">
        <f t="shared" si="12"/>
        <v>6.41025641025641E-3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440</v>
      </c>
      <c r="BN133" s="130" t="s">
        <v>469</v>
      </c>
      <c r="BO133" s="130" t="s">
        <v>530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CCOCirculaçãoIntervaloOportunidade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/>
      <c r="AT138" s="108"/>
      <c r="AU138" s="136"/>
      <c r="AV138" s="136"/>
      <c r="AW138" s="14"/>
      <c r="AX138" s="14"/>
      <c r="AY138" s="164">
        <f t="shared" si="14"/>
        <v>0</v>
      </c>
      <c r="AZ138" s="153"/>
      <c r="BA138" s="109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/>
      <c r="BI138" s="17"/>
      <c r="BJ138" s="17" t="s">
        <v>1238</v>
      </c>
      <c r="BK138" s="18" t="s">
        <v>1239</v>
      </c>
      <c r="BL138" s="16"/>
      <c r="BM138" s="130"/>
      <c r="BN138" s="130"/>
      <c r="BO138" s="130"/>
      <c r="BP138" s="18"/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/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1241</v>
      </c>
      <c r="BK139" s="18" t="s">
        <v>1242</v>
      </c>
      <c r="BL139" s="16"/>
      <c r="BM139" s="130" t="s">
        <v>440</v>
      </c>
      <c r="BN139" s="130" t="s">
        <v>469</v>
      </c>
      <c r="BO139" s="130" t="s">
        <v>530</v>
      </c>
      <c r="BP139" s="18" t="s">
        <v>1242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CCOCirculaçãoIntervaloOportunidade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1243</v>
      </c>
      <c r="BK140" s="18" t="s">
        <v>1244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/>
      <c r="AS141" s="108"/>
      <c r="AT141" s="108"/>
      <c r="AU141" s="136"/>
      <c r="AV141" s="136"/>
      <c r="AW141" s="14"/>
      <c r="AX141" s="14"/>
      <c r="AY141" s="164">
        <f t="shared" si="14"/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/>
      <c r="BI141" s="17"/>
      <c r="BJ141" s="17" t="s">
        <v>1080</v>
      </c>
      <c r="BK141" s="18"/>
      <c r="BL141" s="16"/>
      <c r="BM141" s="130"/>
      <c r="BN141" s="130"/>
      <c r="BO141" s="130"/>
      <c r="BP141" s="18"/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/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1245</v>
      </c>
      <c r="BK142" s="18" t="s">
        <v>1245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1245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1246</v>
      </c>
      <c r="BK144" s="18" t="s">
        <v>1246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1246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/>
      <c r="AT145" s="108"/>
      <c r="AU145" s="136"/>
      <c r="AV145" s="136"/>
      <c r="AW145" s="14"/>
      <c r="AX145" s="14"/>
      <c r="AY145" s="164">
        <f t="shared" si="14"/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/>
      <c r="BI145" s="17"/>
      <c r="BJ145" s="17" t="s">
        <v>1247</v>
      </c>
      <c r="BK145" s="18"/>
      <c r="BL145" s="16"/>
      <c r="BM145" s="130"/>
      <c r="BN145" s="130"/>
      <c r="BO145" s="130"/>
      <c r="BP145" s="18"/>
      <c r="BQ145" s="12" t="str">
        <f t="shared" si="16"/>
        <v>Produção e Intervalo</v>
      </c>
      <c r="BR145" s="19">
        <f t="shared" si="17"/>
        <v>0</v>
      </c>
      <c r="BS145" s="19">
        <f t="shared" si="18"/>
        <v>0</v>
      </c>
      <c r="BT145" s="8" t="str">
        <f t="shared" si="19"/>
        <v/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1248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1249</v>
      </c>
      <c r="BK146" s="18" t="s">
        <v>1249</v>
      </c>
      <c r="BL146" s="16"/>
      <c r="BM146" s="130"/>
      <c r="BN146" s="130"/>
      <c r="BO146" s="130"/>
      <c r="BP146" s="18"/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/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1250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1251</v>
      </c>
      <c r="BK147" s="18"/>
      <c r="BL147" s="16"/>
      <c r="BM147" s="130"/>
      <c r="BN147" s="130"/>
      <c r="BO147" s="130"/>
      <c r="BP147" s="18"/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/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/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1</v>
      </c>
      <c r="BI149" s="17"/>
      <c r="BJ149" s="17" t="s">
        <v>1252</v>
      </c>
      <c r="BK149" s="18"/>
      <c r="BL149" s="16"/>
      <c r="BM149" s="130"/>
      <c r="BN149" s="130"/>
      <c r="BO149" s="130"/>
      <c r="BP149" s="18"/>
      <c r="BQ149" s="12" t="str">
        <f t="shared" si="16"/>
        <v>Produção</v>
      </c>
      <c r="BR149" s="19">
        <f t="shared" si="17"/>
        <v>1.0000000000000002</v>
      </c>
      <c r="BS149" s="19">
        <f t="shared" si="18"/>
        <v>0</v>
      </c>
      <c r="BT149" s="8" t="str">
        <f t="shared" si="19"/>
        <v/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1</v>
      </c>
      <c r="BI150" s="17"/>
      <c r="BJ150" s="17" t="s">
        <v>1253</v>
      </c>
      <c r="BK150" s="18"/>
      <c r="BL150" s="16"/>
      <c r="BM150" s="130"/>
      <c r="BN150" s="130"/>
      <c r="BO150" s="130"/>
      <c r="BP150" s="18"/>
      <c r="BQ150" s="12" t="str">
        <f t="shared" si="16"/>
        <v>Produção</v>
      </c>
      <c r="BR150" s="19">
        <f t="shared" si="17"/>
        <v>1</v>
      </c>
      <c r="BS150" s="19">
        <f t="shared" si="18"/>
        <v>0</v>
      </c>
      <c r="BT150" s="8" t="str">
        <f t="shared" si="19"/>
        <v/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/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1</v>
      </c>
      <c r="BI151" s="17"/>
      <c r="BJ151" s="17" t="s">
        <v>1252</v>
      </c>
      <c r="BK151" s="18"/>
      <c r="BL151" s="16"/>
      <c r="BM151" s="130"/>
      <c r="BN151" s="130"/>
      <c r="BO151" s="130"/>
      <c r="BP151" s="18"/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/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1254</v>
      </c>
      <c r="BK152" s="18"/>
      <c r="BL152" s="16"/>
      <c r="BM152" s="130"/>
      <c r="BN152" s="130"/>
      <c r="BO152" s="130"/>
      <c r="BP152" s="18"/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/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1254</v>
      </c>
      <c r="BK153" s="18"/>
      <c r="BL153" s="16"/>
      <c r="BM153" s="130"/>
      <c r="BN153" s="130"/>
      <c r="BO153" s="130"/>
      <c r="BP153" s="18"/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/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/>
      <c r="AT154" s="108"/>
      <c r="AU154" s="136"/>
      <c r="AV154" s="136"/>
      <c r="AW154" s="14"/>
      <c r="AX154" s="14"/>
      <c r="AY154" s="164">
        <f t="shared" si="14"/>
        <v>0</v>
      </c>
      <c r="AZ154" s="153"/>
      <c r="BA154" s="109"/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/>
      <c r="BI154" s="17"/>
      <c r="BJ154" s="17" t="s">
        <v>1255</v>
      </c>
      <c r="BK154" s="18"/>
      <c r="BL154" s="16"/>
      <c r="BM154" s="130"/>
      <c r="BN154" s="130"/>
      <c r="BO154" s="130"/>
      <c r="BP154" s="18"/>
      <c r="BQ154" s="12" t="str">
        <f t="shared" si="16"/>
        <v>Produção e Intervalo</v>
      </c>
      <c r="BR154" s="19">
        <f t="shared" si="17"/>
        <v>0</v>
      </c>
      <c r="BS154" s="19">
        <f t="shared" si="18"/>
        <v>0</v>
      </c>
      <c r="BT154" s="8" t="str">
        <f t="shared" si="19"/>
        <v/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1256</v>
      </c>
      <c r="BK155" s="18" t="s">
        <v>1256</v>
      </c>
      <c r="BL155" s="16"/>
      <c r="BM155" s="130"/>
      <c r="BN155" s="130"/>
      <c r="BO155" s="130"/>
      <c r="BP155" s="18"/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/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1257</v>
      </c>
      <c r="BK156" s="18" t="s">
        <v>1257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1257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1258</v>
      </c>
      <c r="BK157" s="18" t="s">
        <v>1259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1258</v>
      </c>
      <c r="BK158" s="18" t="s">
        <v>1259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1260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1261</v>
      </c>
      <c r="BK159" s="18" t="s">
        <v>1261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1262</v>
      </c>
      <c r="W162" s="151" t="s">
        <v>1055</v>
      </c>
      <c r="X162" s="104" t="s">
        <v>421</v>
      </c>
      <c r="Y162" s="129"/>
      <c r="Z162" s="104"/>
      <c r="AA162" s="105" t="s">
        <v>593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/>
      <c r="AS162" s="108"/>
      <c r="AT162" s="108"/>
      <c r="AU162" s="136"/>
      <c r="AV162" s="136"/>
      <c r="AW162" s="14"/>
      <c r="AX162" s="14"/>
      <c r="AY162" s="164">
        <f t="shared" si="14"/>
        <v>0</v>
      </c>
      <c r="AZ162" s="153"/>
      <c r="BA162" s="109"/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/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 t="s">
        <v>421</v>
      </c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698</v>
      </c>
      <c r="G164" s="142" t="str">
        <f>IF(D164="","*",VLOOKUP(F164,BS_ATIVIDADE[],3,FALSE))</f>
        <v>MECANIZAÇÃO - SOCADORA</v>
      </c>
      <c r="H164" s="106" t="s">
        <v>360</v>
      </c>
      <c r="I164" s="106" t="s">
        <v>360</v>
      </c>
      <c r="J164" s="105">
        <v>70</v>
      </c>
      <c r="K164" s="105">
        <v>82.5</v>
      </c>
      <c r="L164" s="105">
        <v>87</v>
      </c>
      <c r="M164" s="10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64" s="15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64" s="106">
        <v>0.35416666666666669</v>
      </c>
      <c r="P164" s="106">
        <v>8.3333333333333329E-2</v>
      </c>
      <c r="Q164" s="172">
        <v>510</v>
      </c>
      <c r="R164" s="10" t="str">
        <f>IFERROR(_xlfn.XLOOKUP(F164, BS_ATIVIDADE[ATIVIDADE],BS_ATIVIDADE[UNIDADE] ), "*")</f>
        <v>M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1050</v>
      </c>
      <c r="X164" s="104" t="s">
        <v>421</v>
      </c>
      <c r="Y164" s="129"/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MECANIZAÇÃO - SOCADORA</v>
      </c>
      <c r="AJ164" s="9" t="str">
        <f>IF(BS_CONTROLE[[#This Row],[Atividade]]=0, "-", BS_CONTROLE[[#This Row],[Atividade]])</f>
        <v>MECANIZAÇÃO - SOCADORA</v>
      </c>
      <c r="AK164" s="31" t="str">
        <f>BS_CONTROLE[[#This Row],[Local - Partida]]</f>
        <v>ZAC2</v>
      </c>
      <c r="AL164" s="31" t="str">
        <f>BS_CONTROLE[[#This Row],[Local - Encerramento]]</f>
        <v>ZAC2</v>
      </c>
      <c r="AM164" s="105" t="str">
        <f>IF(BS_CONTROLE[[#This Row],[Entre - Estações]]=0, "-", BS_CONTROLE[[#This Row],[Entre - Estações]])</f>
        <v>ZAC-ZSW</v>
      </c>
      <c r="AN164" s="105" t="str">
        <f>IF(BS_CONTROLE[[#This Row],[SB]]=0, "-", BS_CONTROLE[[#This Row],[SB]])</f>
        <v>ZACZSW</v>
      </c>
      <c r="AO164" s="105">
        <f>IF(BS_CONTROLE[[#This Row],[SUB]]=0, "-", BS_CONTROLE[[#This Row],[SUB]])</f>
        <v>70</v>
      </c>
      <c r="AP164" s="105">
        <f>BS_CONTROLE[[#This Row],[KM - Inicio]]</f>
        <v>82.5</v>
      </c>
      <c r="AQ164" s="105">
        <f>BS_CONTROLE[[#This Row],[KM - Inicio]]</f>
        <v>82.5</v>
      </c>
      <c r="AR164" s="108"/>
      <c r="AS164" s="108"/>
      <c r="AT164" s="108"/>
      <c r="AU164" s="136"/>
      <c r="AV164" s="136"/>
      <c r="AW164" s="14"/>
      <c r="AX164" s="14"/>
      <c r="AY164" s="164">
        <f t="shared" si="14"/>
        <v>0</v>
      </c>
      <c r="AZ164" s="153"/>
      <c r="BA164" s="109"/>
      <c r="BB164" s="10" t="str">
        <f>IFERROR(_xlfn.XLOOKUP(AI164, BS_ATIVIDADE[ATIVIDADE],BS_ATIVIDADE[UNIDADE] ), "*")</f>
        <v>M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Produção e Intervalo</v>
      </c>
      <c r="BR164" s="19">
        <f t="shared" si="17"/>
        <v>0</v>
      </c>
      <c r="BS164" s="19">
        <f t="shared" si="18"/>
        <v>0</v>
      </c>
      <c r="BT164" s="8" t="str">
        <f t="shared" si="19"/>
        <v/>
      </c>
    </row>
    <row r="165" spans="1:72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</v>
      </c>
      <c r="B167" s="102"/>
      <c r="C167" s="135" t="str">
        <f>IF(BS_CONTROLE[[#This Row],[DATA]]="","",WEEKNUM(BS_CONTROLE[[#This Row],[DATA]]))</f>
        <v/>
      </c>
      <c r="D167" s="171" t="s">
        <v>767</v>
      </c>
      <c r="E167" s="159"/>
      <c r="F167" s="126" t="s">
        <v>698</v>
      </c>
      <c r="G167" s="142" t="str">
        <f>IF(D167="","*",VLOOKUP(F167,BS_ATIVIDADE[],3,FALSE))</f>
        <v>MECANIZAÇÃO - SOCADORA</v>
      </c>
      <c r="H167" s="105" t="s">
        <v>104</v>
      </c>
      <c r="I167" s="105" t="s">
        <v>104</v>
      </c>
      <c r="J167" s="105">
        <v>56</v>
      </c>
      <c r="K167" s="105">
        <v>208</v>
      </c>
      <c r="L167" s="105">
        <v>206</v>
      </c>
      <c r="M167" s="10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7" s="15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7" s="106">
        <v>0.35416666666666669</v>
      </c>
      <c r="P167" s="106">
        <v>8.3333333333333329E-2</v>
      </c>
      <c r="Q167" s="172">
        <v>400</v>
      </c>
      <c r="R167" s="10" t="str">
        <f>IFERROR(_xlfn.XLOOKUP(F167, BS_ATIVIDADE[ATIVIDADE],BS_ATIVIDADE[UNIDADE] ), "*")</f>
        <v>M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MECANIZAÇÃO - SOCADORA</v>
      </c>
      <c r="AJ167" s="9" t="str">
        <f>IF(BS_CONTROLE[[#This Row],[Atividade]]=0, "-", BS_CONTROLE[[#This Row],[Atividade]])</f>
        <v>MECANIZAÇÃO - SOCADORA</v>
      </c>
      <c r="AK167" s="31" t="str">
        <f>BS_CONTROLE[[#This Row],[Local - Partida]]</f>
        <v>ZYU1</v>
      </c>
      <c r="AL167" s="31" t="str">
        <f>BS_CONTROLE[[#This Row],[Local - Encerramento]]</f>
        <v>ZYU1</v>
      </c>
      <c r="AM167" s="105" t="str">
        <f>IF(BS_CONTROLE[[#This Row],[Entre - Estações]]=0, "-", BS_CONTROLE[[#This Row],[Entre - Estações]])</f>
        <v>ZYU-ZST</v>
      </c>
      <c r="AN167" s="105" t="str">
        <f>IF(BS_CONTROLE[[#This Row],[SB]]=0, "-", BS_CONTROLE[[#This Row],[SB]])</f>
        <v>206ZST</v>
      </c>
      <c r="AO167" s="105">
        <f>IF(BS_CONTROLE[[#This Row],[SUB]]=0, "-", BS_CONTROLE[[#This Row],[SUB]])</f>
        <v>56</v>
      </c>
      <c r="AP167" s="105">
        <f>BS_CONTROLE[[#This Row],[KM - Inicio]]</f>
        <v>208</v>
      </c>
      <c r="AQ167" s="105">
        <f>BS_CONTROLE[[#This Row],[KM - Inicio]]</f>
        <v>208</v>
      </c>
      <c r="AR167" s="108"/>
      <c r="AS167" s="108"/>
      <c r="AT167" s="108"/>
      <c r="AU167" s="136"/>
      <c r="AV167" s="136"/>
      <c r="AW167" s="14"/>
      <c r="AX167" s="14"/>
      <c r="AY167" s="164">
        <f t="shared" si="14"/>
        <v>0</v>
      </c>
      <c r="AZ167" s="153"/>
      <c r="BA167" s="109"/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1" operator="equal">
      <formula>"OPORTUNIDADE"</formula>
    </cfRule>
  </conditionalFormatting>
  <conditionalFormatting sqref="Y6:Z27 Y29:Z1001">
    <cfRule type="cellIs" dxfId="170" priority="11467" operator="equal">
      <formula>"NÃO"</formula>
    </cfRule>
    <cfRule type="cellIs" dxfId="169" priority="11468" operator="equal">
      <formula>"SIM"</formula>
    </cfRule>
  </conditionalFormatting>
  <conditionalFormatting sqref="AZ6:AZ1001">
    <cfRule type="expression" dxfId="168" priority="53923">
      <formula>#REF!=1</formula>
    </cfRule>
  </conditionalFormatting>
  <conditionalFormatting sqref="BE6:BE1001 U6:U1001 AY6:AY1001">
    <cfRule type="cellIs" dxfId="167" priority="53907" operator="equal">
      <formula>"ERRO"</formula>
    </cfRule>
  </conditionalFormatting>
  <conditionalFormatting sqref="BQ6:BQ1001">
    <cfRule type="cellIs" dxfId="166" priority="53902" operator="equal">
      <formula>"Produção e Intervalo"</formula>
    </cfRule>
    <cfRule type="cellIs" dxfId="165" priority="53903" operator="equal">
      <formula>"Aderente"</formula>
    </cfRule>
    <cfRule type="cellIs" dxfId="164" priority="53904" operator="equal">
      <formula>"Intervalo"</formula>
    </cfRule>
    <cfRule type="cellIs" dxfId="163" priority="53905" operator="equal">
      <formula>"Produção"</formula>
    </cfRule>
    <cfRule type="cellIs" dxfId="162" priority="53906" operator="equal">
      <formula>"ERRO"</formula>
    </cfRule>
  </conditionalFormatting>
  <conditionalFormatting sqref="BR6:BS1001">
    <cfRule type="cellIs" dxfId="161" priority="53884" operator="equal">
      <formula>"*"</formula>
    </cfRule>
    <cfRule type="cellIs" dxfId="160" priority="53885" operator="greaterThanOrEqual">
      <formula>1</formula>
    </cfRule>
    <cfRule type="cellIs" dxfId="159" priority="53886" operator="lessThan">
      <formula>1</formula>
    </cfRule>
  </conditionalFormatting>
  <conditionalFormatting sqref="BH6:BH1001">
    <cfRule type="iconSet" priority="60668">
      <iconSet showValue="0">
        <cfvo type="percent" val="0"/>
        <cfvo type="num" val="1"/>
        <cfvo type="num" val="1" gte="0"/>
      </iconSet>
    </cfRule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0" operator="equal">
      <formula>"OPORTUNIDADE"</formula>
    </cfRule>
  </conditionalFormatting>
  <conditionalFormatting sqref="Z28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Y28">
    <cfRule type="cellIs" dxfId="155" priority="7" operator="equal">
      <formula>"OPORTUNIDADE"</formula>
    </cfRule>
  </conditionalFormatting>
  <conditionalFormatting sqref="Y28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1" t="s">
        <v>1263</v>
      </c>
      <c r="C2" s="211"/>
      <c r="D2" s="211"/>
      <c r="E2" s="211"/>
      <c r="F2" s="211"/>
      <c r="G2" s="211"/>
    </row>
    <row r="3" spans="2:7" ht="15" customHeight="1">
      <c r="B3" s="212"/>
      <c r="C3" s="212"/>
      <c r="D3" s="212"/>
      <c r="E3" s="212"/>
      <c r="F3" s="212"/>
      <c r="G3" s="212"/>
    </row>
    <row r="4" spans="2:7">
      <c r="B4" s="160" t="s">
        <v>1264</v>
      </c>
      <c r="C4" s="160" t="s">
        <v>1265</v>
      </c>
      <c r="D4" s="160" t="s">
        <v>1266</v>
      </c>
      <c r="E4" s="160" t="s">
        <v>1267</v>
      </c>
      <c r="F4" s="160" t="s">
        <v>4</v>
      </c>
      <c r="G4" s="160" t="s">
        <v>1268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1269</v>
      </c>
      <c r="C6" s="161">
        <v>407867</v>
      </c>
      <c r="D6" s="161" t="s">
        <v>1270</v>
      </c>
      <c r="E6" s="161" t="s">
        <v>824</v>
      </c>
      <c r="F6" s="161" t="s">
        <v>1271</v>
      </c>
      <c r="G6" s="162"/>
    </row>
    <row r="7" spans="2:7">
      <c r="B7" s="161" t="s">
        <v>1272</v>
      </c>
      <c r="C7" s="161">
        <v>293644</v>
      </c>
      <c r="D7" s="161" t="s">
        <v>1273</v>
      </c>
      <c r="E7" s="161" t="s">
        <v>824</v>
      </c>
      <c r="F7" s="161" t="s">
        <v>1271</v>
      </c>
      <c r="G7" s="162"/>
    </row>
    <row r="8" spans="2:7">
      <c r="B8" s="161" t="s">
        <v>1274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1275</v>
      </c>
      <c r="C9" s="161">
        <v>256790</v>
      </c>
      <c r="D9" s="161" t="s">
        <v>1276</v>
      </c>
      <c r="E9" s="161" t="s">
        <v>825</v>
      </c>
      <c r="F9" s="161" t="s">
        <v>1277</v>
      </c>
      <c r="G9" s="162">
        <v>46357</v>
      </c>
    </row>
    <row r="10" spans="2:7">
      <c r="B10" s="161" t="s">
        <v>1278</v>
      </c>
      <c r="C10" s="161">
        <v>265193</v>
      </c>
      <c r="D10" s="161" t="s">
        <v>1279</v>
      </c>
      <c r="E10" s="161" t="s">
        <v>826</v>
      </c>
      <c r="F10" s="161" t="s">
        <v>54</v>
      </c>
      <c r="G10" s="161" t="s">
        <v>1280</v>
      </c>
    </row>
    <row r="11" spans="2:7">
      <c r="B11" s="161" t="s">
        <v>1281</v>
      </c>
      <c r="C11" s="161">
        <v>293716</v>
      </c>
      <c r="D11" s="161" t="s">
        <v>1282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1283</v>
      </c>
      <c r="C12" s="161">
        <v>257258</v>
      </c>
      <c r="D12" s="161" t="s">
        <v>1284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1285</v>
      </c>
      <c r="C13" s="161">
        <v>371147</v>
      </c>
      <c r="D13" s="161" t="s">
        <v>1286</v>
      </c>
      <c r="E13" s="161" t="s">
        <v>827</v>
      </c>
      <c r="F13" s="161" t="s">
        <v>71</v>
      </c>
      <c r="G13" s="161" t="s">
        <v>1280</v>
      </c>
    </row>
    <row r="14" spans="2:7">
      <c r="B14" s="161" t="s">
        <v>1287</v>
      </c>
      <c r="C14" s="161">
        <v>259230</v>
      </c>
      <c r="D14" s="161" t="s">
        <v>1288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1289</v>
      </c>
      <c r="C15" s="161">
        <v>370705</v>
      </c>
      <c r="D15" s="161"/>
      <c r="E15" s="161" t="s">
        <v>827</v>
      </c>
      <c r="F15" s="161" t="s">
        <v>71</v>
      </c>
      <c r="G15" s="161" t="s">
        <v>1280</v>
      </c>
    </row>
    <row r="16" spans="2:7">
      <c r="B16" s="161" t="s">
        <v>1290</v>
      </c>
      <c r="C16" s="161">
        <v>258542</v>
      </c>
      <c r="D16" s="161" t="s">
        <v>1291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1292</v>
      </c>
      <c r="C17" s="161">
        <v>257050</v>
      </c>
      <c r="D17" s="161" t="s">
        <v>1293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3" t="s">
        <v>1294</v>
      </c>
      <c r="C2" s="213"/>
      <c r="D2" s="213"/>
      <c r="E2" s="213"/>
      <c r="F2" s="213"/>
      <c r="G2" s="213"/>
    </row>
    <row r="3" spans="2:7" ht="19.5" customHeight="1">
      <c r="B3" s="213"/>
      <c r="C3" s="213"/>
      <c r="D3" s="213"/>
      <c r="E3" s="213"/>
      <c r="F3" s="213"/>
      <c r="G3" s="213"/>
    </row>
    <row r="4" spans="2:7" ht="19.5" customHeight="1">
      <c r="B4" s="163" t="s">
        <v>686</v>
      </c>
      <c r="C4" s="163" t="s">
        <v>1295</v>
      </c>
      <c r="D4" s="163" t="s">
        <v>1296</v>
      </c>
      <c r="E4" s="163" t="s">
        <v>1297</v>
      </c>
      <c r="F4" s="160" t="s">
        <v>1298</v>
      </c>
      <c r="G4" s="163" t="s">
        <v>1299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1300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1301</v>
      </c>
      <c r="G7" s="167" t="s">
        <v>1302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1300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1300</v>
      </c>
      <c r="G9" s="167"/>
    </row>
    <row r="10" spans="2:7" ht="19.5" customHeight="1">
      <c r="B10" s="167" t="s">
        <v>1303</v>
      </c>
      <c r="C10" s="167">
        <v>9038</v>
      </c>
      <c r="D10" s="168">
        <v>46049</v>
      </c>
      <c r="E10" s="167">
        <v>15098</v>
      </c>
      <c r="F10" s="169" t="s">
        <v>1304</v>
      </c>
      <c r="G10" s="167" t="s">
        <v>1305</v>
      </c>
    </row>
    <row r="11" spans="2:7" ht="19.5" customHeight="1">
      <c r="B11" s="167" t="s">
        <v>744</v>
      </c>
      <c r="C11" s="167" t="s">
        <v>1306</v>
      </c>
      <c r="D11" s="168">
        <v>46056</v>
      </c>
      <c r="E11" s="167">
        <v>9100</v>
      </c>
      <c r="F11" s="169" t="s">
        <v>1307</v>
      </c>
      <c r="G11" s="167" t="s">
        <v>1308</v>
      </c>
    </row>
    <row r="12" spans="2:7" ht="19.5" customHeight="1">
      <c r="B12" s="167" t="s">
        <v>744</v>
      </c>
      <c r="C12" s="167" t="s">
        <v>1309</v>
      </c>
      <c r="D12" s="168">
        <v>46056</v>
      </c>
      <c r="E12" s="167">
        <v>11000</v>
      </c>
      <c r="F12" s="169" t="s">
        <v>1307</v>
      </c>
      <c r="G12" s="167" t="s">
        <v>1310</v>
      </c>
    </row>
    <row r="13" spans="2:7" ht="19.5" customHeight="1">
      <c r="B13" s="167" t="s">
        <v>744</v>
      </c>
      <c r="C13" s="167" t="s">
        <v>1311</v>
      </c>
      <c r="D13" s="168">
        <v>46056</v>
      </c>
      <c r="E13" s="167">
        <v>11000</v>
      </c>
      <c r="F13" s="169" t="s">
        <v>1307</v>
      </c>
      <c r="G13" s="167"/>
    </row>
    <row r="14" spans="2:7" ht="19.5" customHeight="1">
      <c r="B14" s="167" t="s">
        <v>744</v>
      </c>
      <c r="C14" s="167" t="s">
        <v>1312</v>
      </c>
      <c r="D14" s="168">
        <v>46056</v>
      </c>
      <c r="E14" s="167">
        <v>4000</v>
      </c>
      <c r="F14" s="169" t="s">
        <v>1300</v>
      </c>
      <c r="G14" s="167" t="s">
        <v>1313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4" t="s">
        <v>1314</v>
      </c>
      <c r="D5" s="215"/>
      <c r="E5" s="215"/>
      <c r="F5" s="215"/>
      <c r="G5" s="215"/>
      <c r="H5" s="215"/>
      <c r="I5" s="215"/>
      <c r="J5" s="216"/>
      <c r="K5" s="217" t="s">
        <v>1315</v>
      </c>
      <c r="L5" s="218"/>
      <c r="M5" s="218"/>
      <c r="N5" s="218"/>
      <c r="O5" s="219" t="s">
        <v>1316</v>
      </c>
      <c r="P5" s="220"/>
    </row>
    <row r="6" spans="1:16" s="74" customFormat="1" ht="15" customHeight="1">
      <c r="A6" s="66" t="s">
        <v>1317</v>
      </c>
      <c r="B6" s="75" t="s">
        <v>1318</v>
      </c>
      <c r="C6" s="76" t="s">
        <v>992</v>
      </c>
      <c r="D6" s="77" t="s">
        <v>993</v>
      </c>
      <c r="E6" s="76" t="s">
        <v>1319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1320</v>
      </c>
      <c r="M6" s="80" t="s">
        <v>611</v>
      </c>
      <c r="N6" s="81" t="s">
        <v>987</v>
      </c>
      <c r="O6" s="158" t="s">
        <v>1030</v>
      </c>
      <c r="P6" s="133" t="s">
        <v>1321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0.125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 t="str">
        <f>IF(SP_SUL!BH138="","*",SP_SUL!BH138)</f>
        <v>*</v>
      </c>
      <c r="P138" s="147" t="str">
        <f>IF($A$2=1,IF(SP_SUL!BJ138="","*",SP_SUL!BJ138),IF(SP_SUL!BK138="","*",SP_SUL!BK138))</f>
        <v>MC1 11h38, previsão de faixa as 15h.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 xml:space="preserve">Cancelado / 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1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1</v>
      </c>
      <c r="P150" s="147" t="str">
        <f>IF($A$2=1,IF(SP_SUL!BJ150="","*",SP_SUL!BJ150),IF(SP_SUL!BK150="","*",SP_SUL!BK150))</f>
        <v>*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1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KLECIO (TP-699)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ZAC-ZSW</v>
      </c>
      <c r="H164" s="116">
        <f>IF(SP_SUL!K164="","*",SP_SUL!K164)</f>
        <v>82.5</v>
      </c>
      <c r="I164" s="113">
        <f>IF(SP_SUL!O164="","*",SP_SUL!O164)</f>
        <v>0.35416666666666669</v>
      </c>
      <c r="J164" s="113">
        <f>IF(SP_SUL!P164="","*",SP_SUL!P164)</f>
        <v>8.3333333333333329E-2</v>
      </c>
      <c r="K164" s="83" t="str">
        <f>IF(SP_SUL!AK164="","*",SP_SUL!AK164)</f>
        <v>ZAC2</v>
      </c>
      <c r="L164" s="83" t="str">
        <f>IF(SP_SUL!AM164="","*",SP_SUL!AM164)</f>
        <v>ZAC-ZSW</v>
      </c>
      <c r="M164" s="83">
        <f>IF(SP_SUL!AP164="","*",SP_SUL!AP164)</f>
        <v>82.5</v>
      </c>
      <c r="N164" s="83" t="str">
        <f>IF(SP_SUL!AM164="","*",SP_SUL!AM164)</f>
        <v>ZAC-ZSW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ZYU-ZST</v>
      </c>
      <c r="H167" s="116">
        <f>IF(SP_SUL!K167="","*",SP_SUL!K167)</f>
        <v>208</v>
      </c>
      <c r="I167" s="113">
        <f>IF(SP_SUL!O167="","*",SP_SUL!O167)</f>
        <v>0.35416666666666669</v>
      </c>
      <c r="J167" s="113">
        <f>IF(SP_SUL!P167="","*",SP_SUL!P167)</f>
        <v>8.3333333333333329E-2</v>
      </c>
      <c r="K167" s="83" t="str">
        <f>IF(SP_SUL!AK167="","*",SP_SUL!AK167)</f>
        <v>ZYU1</v>
      </c>
      <c r="L167" s="83" t="str">
        <f>IF(SP_SUL!AM167="","*",SP_SUL!AM167)</f>
        <v>ZYU-ZST</v>
      </c>
      <c r="M167" s="83">
        <f>IF(SP_SUL!AP167="","*",SP_SUL!AP167)</f>
        <v>208</v>
      </c>
      <c r="N167" s="83" t="str">
        <f>IF(SP_SUL!AM167="","*",SP_SUL!AM167)</f>
        <v>ZYU-ZST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sqref="A1:T15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1040</v>
      </c>
      <c r="Q1" s="225"/>
      <c r="R1" s="111"/>
      <c r="S1" s="84"/>
      <c r="T1" s="86"/>
      <c r="U1" s="226" t="s">
        <v>1322</v>
      </c>
      <c r="V1" s="226"/>
      <c r="W1" s="226"/>
    </row>
    <row r="2" spans="1:23" ht="15" customHeight="1">
      <c r="A2" s="87" t="s">
        <v>1323</v>
      </c>
      <c r="B2" s="87" t="s">
        <v>1318</v>
      </c>
      <c r="C2" s="87" t="s">
        <v>411</v>
      </c>
      <c r="D2" s="88" t="s">
        <v>992</v>
      </c>
      <c r="E2" s="88" t="s">
        <v>4</v>
      </c>
      <c r="F2" s="88" t="s">
        <v>1317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1324</v>
      </c>
      <c r="T2" s="91" t="s">
        <v>995</v>
      </c>
      <c r="U2" s="138">
        <f ca="1">TODAY()-1</f>
        <v>46058</v>
      </c>
      <c r="V2" s="138">
        <f ca="1">U2-1</f>
        <v>46057</v>
      </c>
      <c r="W2" s="138">
        <f ca="1">V2-1</f>
        <v>46056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344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511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3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344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3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1</v>
      </c>
      <c r="W25" s="137">
        <f ca="1">_xlfn.XLOOKUP(G25&amp;$W$2,BS_CONTROLE[CHAVE],BS_CONTROLE[Quantidade_11],"-")</f>
        <v>1248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864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344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3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1</v>
      </c>
      <c r="W58" s="137">
        <f ca="1">_xlfn.XLOOKUP(G58&amp;$W$2,BS_CONTROLE[CHAVE],BS_CONTROLE[Quantidade_11],"-")</f>
        <v>1248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864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511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511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12</v>
      </c>
      <c r="W73" s="137">
        <f ca="1">_xlfn.XLOOKUP(G73&amp;$W$2,BS_CONTROLE[CHAVE],BS_CONTROLE[Quantidade_11],"-")</f>
        <v>1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344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3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1248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12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26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511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344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>
        <f ca="1">_xlfn.XLOOKUP(G111&amp;$U$2,BS_CONTROLE[CHAVE],BS_CONTROLE[Quantidade_11],"-")</f>
        <v>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3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1</v>
      </c>
      <c r="W115" s="137">
        <f ca="1">_xlfn.XLOOKUP(G115&amp;$W$2,BS_CONTROLE[CHAVE],BS_CONTROLE[Quantidade_11],"-")</f>
        <v>1248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864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26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511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>
        <f ca="1">_xlfn.XLOOKUP(G124&amp;$U$2,BS_CONTROLE[CHAVE],BS_CONTROLE[Quantidade_11],"-")</f>
        <v>0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0.125</v>
      </c>
      <c r="R129" s="145" t="str">
        <f>IF(SP_SUL!Q132="","*",CONCATENATE(SP_SUL!Q132," ",SP_SUL!R132))</f>
        <v>312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344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0</v>
      </c>
    </row>
    <row r="136" spans="1:23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3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1248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0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26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511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>
        <f ca="1">_xlfn.XLOOKUP(G155&amp;$V$2,BS_CONTROLE[CHAVE],BS_CONTROLE[Quantidade_11],"-")</f>
        <v>0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MECANIZAÇÃO - SOCADORA</v>
      </c>
      <c r="I161" s="145" t="str">
        <f>IF(SP_SUL!H164="","*",SP_SUL!H164)</f>
        <v>ZAC2</v>
      </c>
      <c r="J161" s="145" t="str">
        <f>IF(SP_SUL!I164="","*",SP_SUL!I164)</f>
        <v>ZAC2</v>
      </c>
      <c r="K161" s="139" t="str">
        <f>IF(SP_SUL!M164="","*",SP_SUL!M164)</f>
        <v>ZAC-ZSW</v>
      </c>
      <c r="L161" s="139" t="str">
        <f>IF(SP_SUL!N164="","*",SP_SUL!N164)</f>
        <v>ZACZSW</v>
      </c>
      <c r="M161" s="140">
        <f>IF(SP_SUL!J164="","*",SP_SUL!J164)</f>
        <v>70</v>
      </c>
      <c r="N161" s="144">
        <f>IF(SP_SUL!K164="","*",SP_SUL!K164)</f>
        <v>82.5</v>
      </c>
      <c r="O161" s="144">
        <f>IF(SP_SUL!L164="","*",SP_SUL!L164)</f>
        <v>87</v>
      </c>
      <c r="P161" s="143">
        <f>IF(SP_SUL!O164="","*",SP_SUL!O164)</f>
        <v>0.35416666666666669</v>
      </c>
      <c r="Q161" s="143">
        <f>IF(SP_SUL!P164="","*",SP_SUL!P164)</f>
        <v>8.3333333333333329E-2</v>
      </c>
      <c r="R161" s="145" t="str">
        <f>IF(SP_SUL!Q164="","*",CONCATENATE(SP_SUL!Q164," ",SP_SUL!R164))</f>
        <v>510 M</v>
      </c>
      <c r="S161" s="145" t="str">
        <f>IF(SP_SUL!V164="","*",SP_SUL!V164)</f>
        <v>Ezequiel</v>
      </c>
      <c r="T161" s="145" t="str">
        <f>IF(SP_SUL!W164="","*",SP_SUL!W164)</f>
        <v xml:space="preserve">Socaria mecanizada </v>
      </c>
      <c r="U161" s="137">
        <f ca="1">_xlfn.XLOOKUP(G161&amp;$U$2,BS_CONTROLE[CHAVE],BS_CONTROLE[Quantidade_11],"-")</f>
        <v>0</v>
      </c>
      <c r="V161" s="137">
        <f ca="1">_xlfn.XLOOKUP(G161&amp;$V$2,BS_CONTROLE[CHAVE],BS_CONTROLE[Quantidade_11],"-")</f>
        <v>0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 t="str">
        <f>IF(SP_SUL!B167="","*",SP_SUL!B167)</f>
        <v>*</v>
      </c>
      <c r="G164" s="145" t="str">
        <f>IF(SP_SUL!D167="","*",SP_SUL!D167)</f>
        <v>V42</v>
      </c>
      <c r="H164" s="145" t="str">
        <f>IF(SP_SUL!F167="","*",SP_SUL!F167)</f>
        <v>MECANIZAÇÃO - SOCADORA</v>
      </c>
      <c r="I164" s="145" t="str">
        <f>IF(SP_SUL!H167="","*",SP_SUL!H167)</f>
        <v>ZYU1</v>
      </c>
      <c r="J164" s="145" t="str">
        <f>IF(SP_SUL!I167="","*",SP_SUL!I167)</f>
        <v>ZYU1</v>
      </c>
      <c r="K164" s="139" t="str">
        <f>IF(SP_SUL!M167="","*",SP_SUL!M167)</f>
        <v>ZYU-ZST</v>
      </c>
      <c r="L164" s="139" t="str">
        <f>IF(SP_SUL!N167="","*",SP_SUL!N167)</f>
        <v>206ZST</v>
      </c>
      <c r="M164" s="140">
        <f>IF(SP_SUL!J167="","*",SP_SUL!J167)</f>
        <v>56</v>
      </c>
      <c r="N164" s="144">
        <f>IF(SP_SUL!K167="","*",SP_SUL!K167)</f>
        <v>208</v>
      </c>
      <c r="O164" s="144">
        <f>IF(SP_SUL!L167="","*",SP_SUL!L167)</f>
        <v>206</v>
      </c>
      <c r="P164" s="143">
        <f>IF(SP_SUL!O167="","*",SP_SUL!O167)</f>
        <v>0.35416666666666669</v>
      </c>
      <c r="Q164" s="143">
        <f>IF(SP_SUL!P167="","*",SP_SUL!P167)</f>
        <v>8.3333333333333329E-2</v>
      </c>
      <c r="R164" s="145" t="str">
        <f>IF(SP_SUL!Q167="","*",CONCATENATE(SP_SUL!Q167," ",SP_SUL!R167))</f>
        <v>400 M</v>
      </c>
      <c r="S164" s="145" t="str">
        <f>IF(SP_SUL!V167="","*",SP_SUL!V167)</f>
        <v>*</v>
      </c>
      <c r="T164" s="145" t="str">
        <f>IF(SP_SUL!W167="","*",SP_SUL!W167)</f>
        <v>*</v>
      </c>
      <c r="U164" s="137">
        <f ca="1">_xlfn.XLOOKUP(G164&amp;$U$2,BS_CONTROLE[CHAVE],BS_CONTROLE[Quantidade_11],"-")</f>
        <v>344</v>
      </c>
      <c r="V164" s="137">
        <f ca="1">_xlfn.XLOOKUP(G164&amp;$V$2,BS_CONTROLE[CHAVE],BS_CONTROLE[Quantidade_11],"-")</f>
        <v>0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131" sqref="B131:K14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1325</v>
      </c>
      <c r="C2" s="121" t="s">
        <v>977</v>
      </c>
      <c r="D2" s="76" t="s">
        <v>979</v>
      </c>
      <c r="E2" s="76" t="s">
        <v>1326</v>
      </c>
      <c r="F2" s="99" t="s">
        <v>1327</v>
      </c>
      <c r="G2" s="76" t="s">
        <v>1328</v>
      </c>
      <c r="H2" s="76" t="s">
        <v>1329</v>
      </c>
      <c r="I2" s="76" t="s">
        <v>1330</v>
      </c>
      <c r="J2" s="76" t="s">
        <v>1331</v>
      </c>
      <c r="K2" s="78" t="s">
        <v>1332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-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ZAC-ZSW</v>
      </c>
      <c r="G160" s="95" t="str">
        <f>IF(SP_SUL!I164="","*",SP_SUL!I164)</f>
        <v>ZAC2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ZYU-ZST</v>
      </c>
      <c r="G163" s="95" t="str">
        <f>IF(SP_SUL!I167="","*",SP_SUL!I167)</f>
        <v>ZYU1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2026-02-06T15:36:26Z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