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216" documentId="8_{B6337239-1A00-434D-AAD0-422EA1FEB5AE}" xr6:coauthVersionLast="47" xr6:coauthVersionMax="47" xr10:uidLastSave="{406A594E-6DCA-4349-90C7-0354F95F59C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" i="1" l="1" a="1"/>
  <c r="M32" i="1"/>
  <c r="N32" i="1" a="1"/>
  <c r="N32" i="1"/>
  <c r="R32" i="1"/>
  <c r="S32" i="1" a="1"/>
  <c r="S32" i="1"/>
  <c r="T32" i="1" a="1"/>
  <c r="T32" i="1"/>
  <c r="U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K5" i="16"/>
  <c r="L5" i="16"/>
  <c r="R8" i="1"/>
  <c r="R5" i="16" s="1"/>
  <c r="S8" i="1" a="1"/>
  <c r="S8" i="1"/>
  <c r="D5" i="16" s="1"/>
  <c r="T8" i="1" a="1"/>
  <c r="T8" i="1"/>
  <c r="E5" i="16" s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1" i="1"/>
  <c r="U33" i="1"/>
  <c r="U34" i="1"/>
  <c r="U35" i="1"/>
  <c r="U36" i="1"/>
  <c r="U37" i="1"/>
  <c r="U38" i="1"/>
  <c r="U39" i="1"/>
  <c r="U40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K27" i="16"/>
  <c r="L27" i="16"/>
  <c r="D27" i="16"/>
  <c r="E27" i="16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K29" i="16"/>
  <c r="L29" i="16"/>
  <c r="D29" i="16"/>
  <c r="E29" i="16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K33" i="16"/>
  <c r="L33" i="16"/>
  <c r="R36" i="1"/>
  <c r="R33" i="16" s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K38" i="16"/>
  <c r="L38" i="16"/>
  <c r="D38" i="16"/>
  <c r="E38" i="16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K41" i="16"/>
  <c r="L41" i="16"/>
  <c r="R44" i="1"/>
  <c r="R41" i="16" s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K92" i="16" s="1"/>
  <c r="N95" i="1" a="1"/>
  <c r="N95" i="1"/>
  <c r="L92" i="16" s="1"/>
  <c r="R95" i="1"/>
  <c r="S95" i="1" a="1"/>
  <c r="S95" i="1"/>
  <c r="D92" i="16" s="1"/>
  <c r="T95" i="1" a="1"/>
  <c r="T95" i="1"/>
  <c r="E92" i="16" s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K93" i="16" s="1"/>
  <c r="N96" i="1" a="1"/>
  <c r="N96" i="1"/>
  <c r="L93" i="16" s="1"/>
  <c r="R96" i="1"/>
  <c r="S96" i="1" a="1"/>
  <c r="S96" i="1"/>
  <c r="D93" i="16" s="1"/>
  <c r="T96" i="1" a="1"/>
  <c r="T96" i="1"/>
  <c r="E93" i="16" s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K94" i="16" s="1"/>
  <c r="N97" i="1" a="1"/>
  <c r="N97" i="1"/>
  <c r="L94" i="16" s="1"/>
  <c r="R97" i="1"/>
  <c r="S97" i="1" a="1"/>
  <c r="S97" i="1"/>
  <c r="D94" i="16" s="1"/>
  <c r="T97" i="1" a="1"/>
  <c r="T97" i="1"/>
  <c r="E94" i="16" s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K95" i="16" s="1"/>
  <c r="N98" i="1" a="1"/>
  <c r="N98" i="1"/>
  <c r="L95" i="16" s="1"/>
  <c r="R98" i="1"/>
  <c r="S98" i="1" a="1"/>
  <c r="S98" i="1"/>
  <c r="D95" i="16" s="1"/>
  <c r="T98" i="1" a="1"/>
  <c r="T98" i="1"/>
  <c r="E95" i="16" s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K96" i="16" s="1"/>
  <c r="N99" i="1" a="1"/>
  <c r="N99" i="1"/>
  <c r="L96" i="16" s="1"/>
  <c r="R99" i="1"/>
  <c r="S99" i="1" a="1"/>
  <c r="S99" i="1"/>
  <c r="D96" i="16" s="1"/>
  <c r="T99" i="1" a="1"/>
  <c r="T99" i="1"/>
  <c r="E96" i="16" s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K97" i="16" s="1"/>
  <c r="N100" i="1" a="1"/>
  <c r="N100" i="1"/>
  <c r="L97" i="16" s="1"/>
  <c r="R100" i="1"/>
  <c r="S100" i="1" a="1"/>
  <c r="S100" i="1"/>
  <c r="D97" i="16" s="1"/>
  <c r="T100" i="1" a="1"/>
  <c r="T100" i="1"/>
  <c r="E97" i="16" s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K98" i="16" s="1"/>
  <c r="N101" i="1" a="1"/>
  <c r="N101" i="1"/>
  <c r="L98" i="16" s="1"/>
  <c r="R101" i="1"/>
  <c r="S101" i="1" a="1"/>
  <c r="S101" i="1"/>
  <c r="D98" i="16" s="1"/>
  <c r="T101" i="1" a="1"/>
  <c r="T101" i="1"/>
  <c r="E98" i="16" s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K99" i="16" s="1"/>
  <c r="N102" i="1" a="1"/>
  <c r="N102" i="1"/>
  <c r="L99" i="16" s="1"/>
  <c r="R102" i="1"/>
  <c r="S102" i="1" a="1"/>
  <c r="S102" i="1"/>
  <c r="D99" i="16" s="1"/>
  <c r="T102" i="1" a="1"/>
  <c r="T102" i="1"/>
  <c r="E99" i="16" s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K100" i="16" s="1"/>
  <c r="N103" i="1" a="1"/>
  <c r="N103" i="1"/>
  <c r="L100" i="16" s="1"/>
  <c r="R103" i="1"/>
  <c r="S103" i="1" a="1"/>
  <c r="S103" i="1"/>
  <c r="D100" i="16" s="1"/>
  <c r="T103" i="1" a="1"/>
  <c r="T103" i="1"/>
  <c r="E100" i="16" s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K101" i="16" s="1"/>
  <c r="N104" i="1" a="1"/>
  <c r="N104" i="1"/>
  <c r="L101" i="16" s="1"/>
  <c r="R104" i="1"/>
  <c r="S104" i="1" a="1"/>
  <c r="S104" i="1"/>
  <c r="D101" i="16" s="1"/>
  <c r="T104" i="1" a="1"/>
  <c r="T104" i="1"/>
  <c r="E101" i="16" s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K102" i="16" s="1"/>
  <c r="N105" i="1" a="1"/>
  <c r="N105" i="1"/>
  <c r="L102" i="16" s="1"/>
  <c r="R105" i="1"/>
  <c r="S105" i="1" a="1"/>
  <c r="S105" i="1"/>
  <c r="D102" i="16" s="1"/>
  <c r="T105" i="1" a="1"/>
  <c r="T105" i="1"/>
  <c r="E102" i="16" s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K103" i="16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K104" i="16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K105" i="16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AY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AY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AY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AY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AJ113" i="1"/>
  <c r="AK113" i="1"/>
  <c r="K112" i="11" s="1"/>
  <c r="AL113" i="1"/>
  <c r="AO113" i="1"/>
  <c r="BE113" i="1" s="1"/>
  <c r="AP113" i="1"/>
  <c r="M112" i="11" s="1"/>
  <c r="AQ113" i="1"/>
  <c r="AY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AY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AY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AJ116" i="1"/>
  <c r="AK116" i="1"/>
  <c r="K115" i="11" s="1"/>
  <c r="AL116" i="1"/>
  <c r="AO116" i="1"/>
  <c r="BE116" i="1" s="1"/>
  <c r="AP116" i="1"/>
  <c r="M115" i="11" s="1"/>
  <c r="AQ116" i="1"/>
  <c r="AY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AY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AY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O120" i="1"/>
  <c r="BE120" i="1" s="1"/>
  <c r="AP120" i="1"/>
  <c r="M119" i="11" s="1"/>
  <c r="AQ120" i="1"/>
  <c r="AY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AY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AY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AY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AY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AJ139" i="1"/>
  <c r="AK139" i="1"/>
  <c r="K138" i="11" s="1"/>
  <c r="AL139" i="1"/>
  <c r="AO139" i="1"/>
  <c r="BE139" i="1" s="1"/>
  <c r="AP139" i="1"/>
  <c r="M138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R345" i="1"/>
  <c r="BQ345" i="1" s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R371" i="1"/>
  <c r="BQ371" i="1" s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R393" i="1"/>
  <c r="BQ393" i="1" s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R454" i="1"/>
  <c r="BQ454" i="1" s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R481" i="1"/>
  <c r="BQ481" i="1" s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R487" i="1"/>
  <c r="BQ487" i="1" s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R499" i="1"/>
  <c r="BQ499" i="1" s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R535" i="1"/>
  <c r="BQ535" i="1" s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R591" i="1"/>
  <c r="BQ591" i="1" s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R618" i="1"/>
  <c r="BQ618" i="1" s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R739" i="1"/>
  <c r="BQ739" i="1" s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802" i="1" l="1"/>
  <c r="BQ793" i="1"/>
  <c r="BQ590" i="1"/>
  <c r="BQ588" i="1"/>
  <c r="BQ585" i="1"/>
  <c r="BQ582" i="1"/>
  <c r="BQ573" i="1"/>
  <c r="BQ564" i="1"/>
  <c r="BQ541" i="1"/>
  <c r="BQ480" i="1"/>
  <c r="BQ478" i="1"/>
  <c r="BQ472" i="1"/>
  <c r="BQ460" i="1"/>
  <c r="BQ344" i="1"/>
  <c r="BQ341" i="1"/>
  <c r="BQ338" i="1"/>
  <c r="BQ329" i="1"/>
  <c r="BQ320" i="1"/>
  <c r="BQ766" i="1"/>
  <c r="BQ738" i="1"/>
  <c r="BQ737" i="1"/>
  <c r="BQ736" i="1"/>
  <c r="BQ732" i="1"/>
  <c r="BQ731" i="1"/>
  <c r="BQ730" i="1"/>
  <c r="BQ728" i="1"/>
  <c r="BQ727" i="1"/>
  <c r="BQ723" i="1"/>
  <c r="BQ722" i="1"/>
  <c r="BQ721" i="1"/>
  <c r="BQ711" i="1"/>
  <c r="BQ710" i="1"/>
  <c r="BQ709" i="1"/>
  <c r="BQ705" i="1"/>
  <c r="BQ704" i="1"/>
  <c r="BQ703" i="1"/>
  <c r="BQ676" i="1"/>
  <c r="BQ604" i="1"/>
  <c r="BQ595" i="1"/>
  <c r="BQ592" i="1"/>
  <c r="BQ534" i="1"/>
  <c r="BQ532" i="1"/>
  <c r="BQ526" i="1"/>
  <c r="BQ514" i="1"/>
  <c r="BQ452" i="1"/>
  <c r="BQ443" i="1"/>
  <c r="BQ434" i="1"/>
  <c r="BQ384" i="1"/>
  <c r="BQ383" i="1"/>
  <c r="BQ375" i="1"/>
  <c r="BQ374" i="1"/>
  <c r="BQ357" i="1"/>
  <c r="BQ356" i="1"/>
  <c r="BQ348" i="1"/>
  <c r="BD123" i="1" a="1"/>
  <c r="BD123" i="1" s="1"/>
  <c r="L117" i="16"/>
  <c r="AN120" i="1"/>
  <c r="K113" i="16"/>
  <c r="AM116" i="1"/>
  <c r="K110" i="16"/>
  <c r="AM113" i="1"/>
  <c r="L106" i="16"/>
  <c r="AN109" i="1"/>
  <c r="BD122" i="1" a="1"/>
  <c r="BD122" i="1" s="1"/>
  <c r="BD119" i="1" a="1"/>
  <c r="BD119" i="1" s="1"/>
  <c r="BD125" i="1" a="1"/>
  <c r="BD125" i="1" s="1"/>
  <c r="AM607" i="1"/>
  <c r="BQ792" i="1"/>
  <c r="BQ791" i="1"/>
  <c r="BQ790" i="1"/>
  <c r="BQ786" i="1"/>
  <c r="BQ784" i="1"/>
  <c r="BQ775" i="1"/>
  <c r="BQ702" i="1"/>
  <c r="BQ701" i="1"/>
  <c r="BQ700" i="1"/>
  <c r="BQ696" i="1"/>
  <c r="BQ695" i="1"/>
  <c r="BQ694" i="1"/>
  <c r="BQ684" i="1"/>
  <c r="BQ683" i="1"/>
  <c r="BQ682" i="1"/>
  <c r="BQ679" i="1"/>
  <c r="BQ678" i="1"/>
  <c r="BQ617" i="1"/>
  <c r="BQ615" i="1"/>
  <c r="BQ612" i="1"/>
  <c r="BQ609" i="1"/>
  <c r="BQ563" i="1"/>
  <c r="BQ561" i="1"/>
  <c r="BQ560" i="1"/>
  <c r="BQ558" i="1"/>
  <c r="BQ554" i="1"/>
  <c r="BQ552" i="1"/>
  <c r="BQ549" i="1"/>
  <c r="BQ544" i="1"/>
  <c r="BQ525" i="1"/>
  <c r="BQ523" i="1"/>
  <c r="BQ522" i="1"/>
  <c r="BQ520" i="1"/>
  <c r="BQ517" i="1"/>
  <c r="BQ498" i="1"/>
  <c r="BQ496" i="1"/>
  <c r="BQ493" i="1"/>
  <c r="BQ490" i="1"/>
  <c r="BQ471" i="1"/>
  <c r="BQ469" i="1"/>
  <c r="BQ466" i="1"/>
  <c r="BQ463" i="1"/>
  <c r="BQ442" i="1"/>
  <c r="BQ440" i="1"/>
  <c r="BQ436" i="1"/>
  <c r="BQ392" i="1"/>
  <c r="BQ391" i="1"/>
  <c r="BQ389" i="1"/>
  <c r="BQ382" i="1"/>
  <c r="BQ380" i="1"/>
  <c r="BQ319" i="1"/>
  <c r="BQ317" i="1"/>
  <c r="BQ312" i="1"/>
  <c r="BQ310" i="1"/>
  <c r="BQ785" i="1"/>
  <c r="BQ796" i="1"/>
  <c r="BQ765" i="1"/>
  <c r="BQ764" i="1"/>
  <c r="BQ763" i="1"/>
  <c r="BQ759" i="1"/>
  <c r="BQ758" i="1"/>
  <c r="BQ757" i="1"/>
  <c r="BQ748" i="1"/>
  <c r="BQ715" i="1"/>
  <c r="BQ712" i="1"/>
  <c r="BQ675" i="1"/>
  <c r="BQ674" i="1"/>
  <c r="BQ673" i="1"/>
  <c r="BQ670" i="1"/>
  <c r="BQ669" i="1"/>
  <c r="BQ668" i="1"/>
  <c r="BQ667" i="1"/>
  <c r="BQ622" i="1"/>
  <c r="BQ619" i="1"/>
  <c r="BQ600" i="1"/>
  <c r="BQ577" i="1"/>
  <c r="BQ574" i="1"/>
  <c r="BQ568" i="1"/>
  <c r="BQ565" i="1"/>
  <c r="BQ540" i="1"/>
  <c r="BQ539" i="1"/>
  <c r="BQ538" i="1"/>
  <c r="BQ527" i="1"/>
  <c r="BQ513" i="1"/>
  <c r="BQ511" i="1"/>
  <c r="BQ500" i="1"/>
  <c r="BQ486" i="1"/>
  <c r="BQ484" i="1"/>
  <c r="BQ473" i="1"/>
  <c r="BQ459" i="1"/>
  <c r="BQ457" i="1"/>
  <c r="BQ446" i="1"/>
  <c r="BQ433" i="1"/>
  <c r="BQ431" i="1"/>
  <c r="BQ427" i="1"/>
  <c r="BQ425" i="1"/>
  <c r="BQ402" i="1"/>
  <c r="BQ370" i="1"/>
  <c r="BQ368" i="1"/>
  <c r="BQ364" i="1"/>
  <c r="BQ362" i="1"/>
  <c r="BQ353" i="1"/>
  <c r="BQ333" i="1"/>
  <c r="BQ330" i="1"/>
  <c r="BQ324" i="1"/>
  <c r="AM160" i="1"/>
  <c r="L159" i="11" s="1"/>
  <c r="K157" i="16"/>
  <c r="AM159" i="1"/>
  <c r="K156" i="16"/>
  <c r="AM158" i="1"/>
  <c r="K155" i="16"/>
  <c r="AM157" i="1"/>
  <c r="L156" i="11" s="1"/>
  <c r="K154" i="16"/>
  <c r="AM156" i="1"/>
  <c r="K153" i="16"/>
  <c r="AM155" i="1"/>
  <c r="K152" i="16"/>
  <c r="AM154" i="1"/>
  <c r="L153" i="11" s="1"/>
  <c r="K151" i="16"/>
  <c r="AM153" i="1"/>
  <c r="K150" i="16"/>
  <c r="AM152" i="1"/>
  <c r="K149" i="16"/>
  <c r="AM151" i="1"/>
  <c r="L150" i="11" s="1"/>
  <c r="K148" i="16"/>
  <c r="AM150" i="1"/>
  <c r="K147" i="16"/>
  <c r="AM149" i="1"/>
  <c r="K146" i="16"/>
  <c r="AM148" i="1"/>
  <c r="L147" i="11" s="1"/>
  <c r="K145" i="16"/>
  <c r="AM147" i="1"/>
  <c r="K144" i="16"/>
  <c r="AM146" i="1"/>
  <c r="K143" i="16"/>
  <c r="AM145" i="1"/>
  <c r="L144" i="11" s="1"/>
  <c r="K142" i="16"/>
  <c r="AM144" i="1"/>
  <c r="K141" i="16"/>
  <c r="AM143" i="1"/>
  <c r="K140" i="16"/>
  <c r="AM142" i="1"/>
  <c r="L141" i="11" s="1"/>
  <c r="K139" i="16"/>
  <c r="AM141" i="1"/>
  <c r="K138" i="16"/>
  <c r="AM140" i="1"/>
  <c r="K137" i="16"/>
  <c r="AM139" i="1"/>
  <c r="L138" i="11" s="1"/>
  <c r="K136" i="16"/>
  <c r="AM138" i="1"/>
  <c r="K135" i="16"/>
  <c r="AM137" i="1"/>
  <c r="K134" i="16"/>
  <c r="AM136" i="1"/>
  <c r="L135" i="11" s="1"/>
  <c r="K133" i="16"/>
  <c r="AM135" i="1"/>
  <c r="K132" i="16"/>
  <c r="AM134" i="1"/>
  <c r="K131" i="16"/>
  <c r="AM133" i="1"/>
  <c r="L132" i="11" s="1"/>
  <c r="K130" i="16"/>
  <c r="AM132" i="1"/>
  <c r="K129" i="16"/>
  <c r="AM131" i="1"/>
  <c r="K128" i="16"/>
  <c r="AM130" i="1"/>
  <c r="L129" i="11" s="1"/>
  <c r="K127" i="16"/>
  <c r="AM129" i="1"/>
  <c r="K126" i="16"/>
  <c r="AM128" i="1"/>
  <c r="K125" i="16"/>
  <c r="AM127" i="1"/>
  <c r="L126" i="11" s="1"/>
  <c r="K124" i="16"/>
  <c r="AM126" i="1"/>
  <c r="K123" i="16"/>
  <c r="AM125" i="1"/>
  <c r="K122" i="16"/>
  <c r="AM124" i="1"/>
  <c r="L123" i="11" s="1"/>
  <c r="K121" i="16"/>
  <c r="AM123" i="1"/>
  <c r="K120" i="16"/>
  <c r="AM122" i="1"/>
  <c r="K119" i="16"/>
  <c r="AM121" i="1"/>
  <c r="L120" i="11" s="1"/>
  <c r="K118" i="16"/>
  <c r="AM120" i="1"/>
  <c r="K117" i="16"/>
  <c r="AM119" i="1"/>
  <c r="K116" i="16"/>
  <c r="AM118" i="1"/>
  <c r="L117" i="11" s="1"/>
  <c r="K115" i="16"/>
  <c r="AM117" i="1"/>
  <c r="K114" i="16"/>
  <c r="AM115" i="1"/>
  <c r="K112" i="16"/>
  <c r="AM114" i="1"/>
  <c r="L113" i="11" s="1"/>
  <c r="K111" i="16"/>
  <c r="AM112" i="1"/>
  <c r="K109" i="16"/>
  <c r="AM111" i="1"/>
  <c r="K108" i="16"/>
  <c r="AM109" i="1"/>
  <c r="L108" i="11" s="1"/>
  <c r="K106" i="16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08" i="11" l="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<sst xmlns="http://schemas.openxmlformats.org/spreadsheetml/2006/main" count="4434" uniqueCount="1367">
  <si>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</si>
  <si>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</si>
  <si>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</si>
  <si>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</si>
  <si>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</si>
  <si>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</si>
  <si>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</si>
  <si>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</si>
  <si>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</si>
  <si>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</si>
  <si>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</si>
  <si>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</si>
  <si>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</si>
  <si>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</si>
  <si>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</si>
  <si>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</si>
  <si>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</si>
  <si>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</si>
  <si>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</si>
  <si>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</si>
  <si>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</si>
  <si>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</si>
  <si>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</si>
  <si>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</si>
  <si>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</si>
  <si>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</si>
  <si>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</si>
  <si>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</si>
  <si>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</si>
  <si>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</si>
  <si>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</si>
  <si>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</si>
  <si>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</si>
  <si>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</si>
  <si>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</si>
  <si>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</si>
  <si>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</si>
  <si>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</si>
  <si>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</si>
  <si>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</si>
  <si>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</si>
  <si>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</si>
  <si>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</si>
  <si>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</si>
  <si>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</si>
  <si>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</si>
  <si>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</si>
  <si>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</si>
  <si>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</si>
  <si>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</si>
  <si>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</si>
  <si>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</si>
  <si>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</si>
  <si>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</si>
  <si>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</si>
  <si>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</si>
  <si>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</si>
  <si>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</si>
  <si>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</si>
  <si>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</si>
  <si>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</si>
  <si>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</si>
  <si>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</si>
  <si>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</si>
  <si>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</si>
  <si>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</si>
  <si>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</si>
  <si>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</si>
  <si>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</si>
  <si>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</si>
  <si>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</si>
  <si>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</si>
  <si>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</si>
  <si>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</si>
  <si>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</si>
  <si>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</si>
  <si>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</si>
  <si>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</si>
  <si>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</si>
  <si>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</si>
  <si>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</si>
  <si>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</si>
  <si>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</si>
  <si>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</si>
  <si>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</si>
  <si>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</si>
  <si>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</si>
  <si>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</si>
  <si>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</si>
  <si>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</si>
  <si>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</si>
  <si>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</si>
  <si>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</si>
  <si>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</si>
  <si>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</si>
  <si>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</si>
  <si>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</si>
  <si>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</si>
  <si>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</si>
  <si>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</si>
  <si>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</si>
  <si>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</si>
  <si>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</si>
  <si>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</si>
  <si>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</si>
  <si>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</si>
  <si>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</si>
  <si>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</si>
  <si>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</si>
  <si>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</si>
  <si>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</si>
  <si>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</si>
  <si>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</si>
  <si>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</si>
  <si>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</si>
  <si>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</si>
  <si>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</si>
  <si>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</si>
  <si>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</si>
  <si>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</si>
  <si>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</si>
  <si>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</si>
  <si>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</si>
  <si>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</si>
  <si>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</si>
  <si>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</si>
  <si>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</si>
  <si>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</si>
  <si>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</si>
  <si>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</si>
  <si>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</si>
  <si>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</si>
  <si>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</si>
  <si>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</si>
  <si>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</si>
  <si>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</si>
  <si>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</si>
  <si>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</si>
  <si>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</si>
  <si>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</si>
  <si>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</si>
  <si>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</si>
  <si>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</si>
  <si>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</si>
  <si>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</si>
  <si>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</si>
  <si>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</si>
  <si>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</si>
  <si>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</si>
  <si>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</si>
  <si>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</si>
  <si>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</si>
  <si>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</si>
  <si>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</si>
  <si>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</si>
  <si>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</si>
  <si>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</si>
  <si>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</si>
  <si>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</si>
  <si>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</si>
  <si>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</si>
  <si>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</si>
  <si>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</si>
  <si>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</si>
  <si>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</si>
  <si>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</si>
  <si>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</si>
  <si>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</si>
  <si>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</si>
  <si>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</si>
  <si>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</si>
  <si>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</si>
  <si>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</si>
  <si>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</si>
  <si>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</si>
  <si>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</si>
  <si>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</si>
  <si>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</si>
  <si>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</si>
  <si>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</si>
  <si>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</si>
  <si>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</si>
  <si>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</si>
  <si>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</si>
  <si>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</si>
  <si>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</si>
  <si>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</si>
  <si>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</si>
  <si>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</si>
  <si>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</si>
  <si>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</si>
  <si>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</si>
  <si>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</si>
  <si>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</si>
  <si>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</si>
  <si>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</si>
  <si>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</si>
  <si>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</si>
  <si>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</si>
  <si>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</si>
  <si>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</si>
  <si>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</si>
  <si>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</si>
  <si>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</si>
  <si>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</si>
  <si>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</si>
  <si>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</si>
  <si>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</si>
  <si>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</si>
  <si>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</si>
  <si>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</si>
  <si>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</si>
  <si>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</si>
  <si>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</si>
  <si>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</si>
  <si>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</si>
  <si>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</si>
  <si>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</si>
  <si>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</si>
  <si>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</si>
  <si>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</si>
  <si>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</si>
  <si>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</si>
  <si>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</si>
  <si>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</si>
  <si>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</si>
  <si>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</si>
  <si>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</si>
  <si>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</si>
  <si>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</si>
  <si>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</si>
  <si>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</si>
  <si>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</si>
  <si>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</si>
  <si>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</si>
  <si>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</si>
  <si>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</si>
  <si>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</si>
  <si>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</si>
  <si>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</si>
  <si>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</si>
  <si>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</si>
  <si>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</si>
  <si>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</si>
  <si>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</si>
  <si>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</si>
  <si>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</si>
  <si>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</si>
  <si>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</si>
  <si>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</si>
  <si>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</si>
  <si>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</si>
  <si>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</si>
  <si>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</si>
  <si>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</si>
  <si>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</si>
  <si>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</si>
  <si>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</si>
  <si>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</si>
  <si>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</si>
  <si>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</si>
  <si>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</si>
  <si>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</si>
  <si>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</si>
  <si>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</si>
  <si>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</si>
  <si>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</si>
  <si>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</si>
  <si>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</si>
  <si>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</si>
  <si>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</si>
  <si>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</si>
  <si>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</si>
  <si>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</si>
  <si>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</si>
  <si>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</si>
  <si>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</si>
  <si>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</si>
  <si>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</si>
  <si>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</si>
  <si>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</si>
  <si>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</si>
  <si>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</si>
  <si>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</si>
  <si>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</si>
  <si>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</si>
  <si>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</si>
  <si>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</si>
  <si>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</si>
  <si>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</si>
  <si>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</si>
  <si>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</si>
  <si>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</si>
  <si>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</si>
  <si>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</si>
  <si>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</si>
  <si>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</si>
  <si>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</si>
  <si>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</si>
  <si>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</si>
  <si>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</si>
  <si>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</si>
  <si>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</si>
  <si>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</si>
  <si>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</si>
  <si>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</si>
  <si>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</si>
  <si>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</si>
  <si>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</si>
  <si>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</si>
  <si>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</si>
  <si>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</si>
  <si>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</si>
  <si>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</si>
  <si>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</si>
  <si>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</si>
  <si>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</si>
  <si>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</si>
  <si>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</si>
  <si>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</si>
  <si>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</si>
  <si>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</si>
  <si>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</si>
  <si>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</si>
  <si>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</si>
  <si>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</si>
  <si>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</si>
  <si>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</si>
  <si>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</si>
  <si>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</si>
  <si>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</si>
  <si>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</si>
  <si>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</si>
  <si>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</si>
  <si>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</si>
  <si>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</si>
  <si>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</si>
  <si>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</si>
  <si>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</si>
  <si>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</si>
  <si>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</si>
  <si>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</si>
  <si>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</si>
  <si>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</si>
  <si>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</si>
  <si>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</si>
  <si>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</si>
  <si>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</si>
  <si>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</si>
  <si>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</si>
  <si>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</si>
  <si>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</si>
  <si>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</si>
  <si>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</si>
  <si>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</si>
  <si>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</si>
  <si>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</si>
  <si>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</si>
  <si>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</si>
  <si>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</si>
  <si>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</si>
  <si>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</si>
  <si>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</si>
  <si>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</si>
  <si>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</si>
  <si>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</si>
  <si>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</si>
  <si>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</si>
  <si>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</si>
  <si>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</si>
  <si>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</si>
  <si>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</si>
  <si>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</si>
  <si>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</si>
  <si>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</si>
  <si>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</si>
  <si>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</si>
  <si>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</si>
  <si>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</si>
  <si>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</si>
  <si>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</si>
  <si>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</si>
  <si>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</si>
  <si>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</si>
  <si>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</si>
  <si>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</si>
  <si>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</si>
  <si>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</si>
  <si>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</si>
  <si>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</si>
  <si>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</si>
  <si>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</si>
  <si>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</si>
  <si>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</si>
  <si>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</si>
  <si>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</si>
  <si>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</si>
  <si>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</si>
  <si>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</si>
  <si>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</si>
  <si>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</si>
  <si>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</si>
  <si>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</si>
  <si>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</si>
  <si>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</si>
  <si>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</si>
  <si>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</si>
  <si>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</si>
  <si>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</si>
  <si>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</si>
  <si>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</si>
  <si>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</si>
  <si>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</si>
  <si>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</si>
  <si>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</si>
  <si>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</si>
  <si>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</si>
  <si>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</si>
  <si>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</si>
  <si>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</si>
  <si>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</si>
  <si>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</si>
  <si>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</si>
  <si>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</si>
  <si>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</si>
  <si>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</si>
  <si>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</si>
  <si>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</si>
  <si>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</si>
  <si>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</si>
  <si>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</si>
  <si>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</si>
  <si>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</si>
  <si>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</si>
  <si>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</si>
  <si>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</si>
  <si>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</si>
  <si>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</si>
  <si>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</si>
  <si>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</si>
  <si>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</si>
  <si>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</si>
  <si>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</si>
  <si>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</si>
  <si>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</si>
  <si>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</si>
  <si>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</si>
  <si>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</si>
  <si>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</si>
  <si>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</si>
  <si>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</si>
  <si>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</si>
  <si>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</si>
  <si>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</si>
  <si>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</si>
  <si>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</si>
  <si>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</si>
  <si>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</si>
  <si>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</si>
  <si>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</si>
  <si>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</si>
  <si>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</si>
  <si>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</si>
  <si>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</si>
  <si>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</si>
  <si>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</si>
  <si>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</si>
  <si>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</si>
  <si>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</si>
  <si>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</si>
  <si>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</si>
  <si>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</si>
  <si>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</si>
  <si>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</si>
  <si>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</si>
  <si>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</si>
  <si>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</si>
  <si>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</si>
  <si>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</si>
  <si>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</si>
  <si>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</si>
  <si>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</si>
  <si>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</si>
  <si>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</si>
  <si>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</si>
  <si>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</si>
  <si>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</si>
  <si>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</si>
  <si>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</si>
  <si>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</si>
  <si>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</si>
  <si>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</si>
  <si>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</si>
  <si>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</si>
  <si>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</si>
  <si>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</si>
  <si>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</si>
  <si>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</si>
  <si>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</si>
  <si>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</si>
  <si>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</si>
  <si>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</si>
  <si>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</si>
  <si>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</si>
  <si>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</si>
  <si>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</si>
  <si>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</si>
  <si>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</si>
  <si>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</si>
  <si>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</si>
  <si>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</si>
  <si>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</si>
  <si>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</si>
  <si>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</si>
  <si>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</si>
  <si>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</si>
  <si>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</si>
  <si>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</si>
  <si>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</si>
  <si>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</si>
  <si>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</si>
  <si>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</si>
  <si>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</si>
  <si>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</si>
  <si>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</si>
  <si>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</si>
  <si>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</si>
  <si>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</si>
  <si>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</si>
  <si>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</si>
  <si>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</si>
  <si>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</si>
  <si>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</si>
  <si>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</si>
  <si>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</si>
  <si>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</si>
  <si>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</si>
  <si>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</si>
  <si>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</si>
  <si>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</si>
  <si>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</si>
  <si>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</si>
  <si>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</si>
  <si>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</si>
  <si>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</si>
  <si>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</si>
  <si>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</si>
  <si>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</si>
  <si>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</si>
  <si>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</si>
  <si>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</si>
  <si>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</si>
  <si>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</si>
  <si>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</si>
  <si>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</si>
  <si>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</si>
  <si>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</si>
  <si>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</si>
  <si>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</si>
  <si>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</si>
  <si>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</si>
  <si>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</si>
  <si>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</si>
  <si>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</si>
  <si>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</si>
  <si>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</si>
  <si>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</si>
  <si>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</si>
  <si>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</si>
  <si>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</si>
  <si>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</si>
  <si>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</si>
  <si>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</si>
  <si>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</si>
  <si>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</si>
  <si>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</si>
  <si>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</si>
  <si>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</si>
  <si>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</si>
  <si>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</si>
  <si>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</si>
  <si>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</si>
  <si>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</si>
  <si>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</si>
  <si>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</si>
  <si>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</si>
  <si>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</si>
  <si>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</si>
  <si>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</si>
  <si>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</si>
  <si>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</si>
  <si>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</si>
  <si>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</si>
  <si>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</si>
  <si>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</si>
  <si>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</si>
  <si>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</si>
  <si>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</si>
  <si>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</si>
  <si>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</si>
  <si>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</si>
  <si>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</si>
  <si>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</si>
  <si>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</si>
  <si>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</si>
  <si>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</si>
  <si>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</si>
  <si>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</si>
  <si>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</si>
  <si>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</si>
  <si>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</si>
  <si>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</si>
  <si>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</si>
  <si>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</si>
  <si>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</si>
  <si>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</si>
  <si>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</si>
  <si>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</si>
  <si>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</si>
  <si>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</si>
  <si>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</si>
  <si>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</si>
  <si>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</si>
  <si>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</si>
  <si>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</si>
  <si>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</si>
  <si>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</si>
  <si>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</si>
  <si>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</si>
  <si>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</si>
  <si>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</si>
  <si>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</si>
  <si>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</si>
  <si>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</si>
  <si>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</si>
  <si>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</si>
  <si>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</si>
  <si>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</si>
  <si>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</si>
  <si>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</si>
  <si>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</si>
  <si>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</si>
  <si>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</si>
  <si>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</si>
  <si>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</si>
  <si>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</si>
  <si>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</si>
  <si>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</si>
  <si>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</si>
  <si>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</si>
  <si>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</si>
  <si>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</si>
  <si>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</si>
  <si>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</si>
  <si>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</si>
  <si>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</si>
  <si>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</si>
  <si>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</si>
  <si>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</si>
  <si>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</si>
  <si>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</si>
  <si>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</si>
  <si>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</si>
  <si>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</si>
  <si>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</si>
  <si>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</si>
  <si>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</si>
  <si>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</si>
  <si>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</si>
  <si>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</si>
  <si>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</si>
  <si>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</si>
  <si>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</si>
  <si>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</si>
  <si>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</si>
  <si>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</si>
  <si>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</si>
  <si>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</si>
  <si>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</si>
  <si>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</si>
  <si>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</si>
  <si>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</si>
  <si>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</si>
  <si>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</si>
  <si>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</si>
  <si>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</si>
  <si>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</si>
  <si>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</si>
  <si>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</si>
  <si>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</si>
  <si>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</si>
  <si>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</si>
  <si>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</si>
  <si>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</si>
  <si>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</si>
  <si>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</si>
  <si>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</si>
  <si>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</si>
  <si>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</si>
  <si>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</si>
  <si>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</si>
  <si>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</si>
  <si>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</si>
  <si>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</si>
  <si>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</si>
  <si>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</si>
  <si>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</si>
  <si>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</si>
  <si>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</si>
  <si>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</si>
  <si>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</si>
  <si>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</si>
  <si>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</si>
  <si>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</si>
  <si>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</si>
  <si>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</si>
  <si>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</si>
  <si>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</si>
  <si>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</si>
  <si>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</si>
  <si>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</si>
  <si>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</si>
  <si>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</si>
  <si>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</si>
  <si>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</si>
  <si>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</si>
  <si>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</si>
  <si>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</si>
  <si>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</si>
  <si>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</si>
  <si>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</si>
  <si>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</si>
  <si>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</si>
  <si>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</si>
  <si>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</si>
  <si>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</si>
  <si>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</si>
  <si>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</si>
  <si>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</si>
  <si>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</si>
  <si>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</si>
  <si>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</si>
  <si>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</si>
  <si>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</si>
  <si>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</si>
  <si>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</si>
  <si>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</si>
  <si>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</si>
  <si>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</si>
  <si>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</si>
  <si>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</si>
  <si>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</si>
  <si>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</si>
  <si>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</si>
  <si>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</si>
  <si>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</si>
  <si>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</si>
  <si>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</si>
  <si>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</si>
  <si>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</si>
  <si>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</si>
  <si>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</si>
  <si>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</si>
  <si>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</si>
  <si>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</si>
  <si>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</si>
  <si>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</si>
  <si>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</si>
  <si>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</si>
  <si>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</si>
  <si>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</si>
  <si>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</si>
  <si>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</si>
  <si>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</si>
  <si>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</si>
  <si>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</si>
  <si>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</si>
  <si>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</si>
  <si>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</si>
  <si>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</si>
  <si>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</si>
  <si>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</si>
  <si>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</si>
  <si>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</si>
  <si>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</si>
  <si>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</si>
  <si>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</si>
  <si>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</si>
  <si>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</si>
  <si>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</si>
  <si>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</si>
  <si>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</si>
  <si>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</si>
  <si>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</si>
  <si>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</si>
  <si>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</si>
  <si>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</si>
  <si>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</si>
  <si>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</si>
  <si>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</si>
  <si>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</si>
  <si>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</si>
  <si>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</si>
  <si>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</si>
  <si>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</si>
  <si>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</si>
  <si>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</si>
  <si>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</si>
  <si>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</si>
  <si>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</si>
  <si>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</si>
  <si>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</si>
  <si>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</si>
  <si>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</si>
  <si>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</si>
  <si>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</si>
  <si>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</si>
  <si>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</si>
  <si>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</si>
  <si>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</si>
  <si>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</si>
  <si>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</si>
  <si>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</si>
  <si>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</si>
  <si>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</si>
  <si>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</si>
  <si>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</si>
  <si>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</si>
  <si>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</si>
  <si>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</si>
  <si>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</si>
  <si>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</si>
  <si>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</si>
  <si>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</si>
  <si>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</si>
  <si>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</si>
  <si>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</si>
  <si>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</si>
  <si>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</si>
  <si>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</si>
  <si>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</si>
  <si>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</si>
  <si>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</si>
  <si>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</si>
  <si>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</si>
  <si>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</si>
  <si>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</si>
  <si>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</si>
  <si>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</si>
  <si>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</si>
  <si>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</si>
  <si>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</si>
  <si>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</si>
  <si>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</si>
  <si>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</si>
  <si>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</si>
  <si>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</si>
  <si>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</si>
  <si>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</si>
  <si>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</si>
  <si>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</si>
  <si>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</si>
  <si>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</si>
  <si>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</si>
  <si>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</si>
  <si>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</si>
  <si>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</si>
  <si>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</si>
  <si>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</si>
  <si>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</si>
  <si>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</si>
  <si>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</si>
  <si>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</si>
  <si>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</si>
  <si>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</si>
  <si>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</si>
  <si>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</si>
  <si>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</si>
  <si>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</si>
  <si>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</si>
  <si>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</si>
  <si>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</si>
  <si>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</si>
  <si>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</si>
  <si>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</si>
  <si>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</si>
  <si>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</si>
  <si>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</si>
  <si>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</si>
  <si>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</si>
  <si>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</si>
  <si>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</si>
  <si>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</si>
  <si>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</si>
  <si>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</si>
  <si>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</si>
  <si>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</si>
  <si>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</si>
  <si>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</si>
  <si>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</si>
  <si>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</si>
  <si>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</si>
  <si>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</si>
  <si>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</si>
  <si>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</si>
  <si>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</si>
  <si>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</si>
  <si>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</si>
  <si>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</si>
  <si>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</si>
  <si>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</si>
  <si>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</si>
  <si>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</si>
  <si>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</si>
  <si>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</si>
  <si>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</si>
  <si>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</si>
  <si>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</si>
  <si>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</si>
  <si>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</si>
  <si>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</si>
  <si>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</si>
  <si>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</si>
  <si>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</si>
  <si>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</si>
  <si>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</si>
  <si>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</si>
  <si>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</si>
  <si>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</si>
  <si>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</si>
  <si>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</si>
  <si>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</si>
  <si>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</si>
  <si>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</si>
  <si>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</si>
  <si>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</si>
  <si>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</si>
  <si>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</si>
  <si>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</si>
  <si>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</si>
  <si>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</si>
  <si>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</si>
  <si>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</si>
  <si>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</si>
  <si>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</si>
  <si>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</si>
  <si>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</si>
  <si>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</si>
  <si>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</si>
  <si>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</si>
  <si>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</si>
  <si>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</si>
  <si>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</si>
  <si>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</si>
  <si>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</si>
  <si>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</si>
  <si>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</si>
  <si>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</si>
  <si>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</si>
  <si>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</si>
  <si>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</si>
  <si>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</si>
  <si>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</si>
  <si>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</si>
  <si>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</si>
  <si>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</si>
  <si>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</si>
  <si>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</si>
  <si>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</si>
  <si>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</si>
  <si>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</si>
  <si>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</si>
  <si>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</si>
  <si>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</si>
  <si>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</si>
  <si>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</si>
  <si>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</si>
  <si>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</si>
  <si>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</si>
  <si>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</si>
  <si>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</si>
  <si>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</si>
  <si>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</si>
  <si>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</si>
  <si>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</si>
  <si>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</si>
  <si>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</si>
  <si>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</si>
  <si>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</si>
  <si>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</si>
  <si>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</si>
  <si>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</si>
  <si>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</si>
  <si>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</si>
  <si>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</si>
  <si>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</si>
  <si>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</si>
  <si>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</si>
  <si>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</si>
  <si>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</si>
  <si>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</si>
  <si>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</si>
  <si>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</si>
  <si>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</si>
  <si>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</si>
  <si>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</si>
  <si>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</si>
  <si>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</si>
  <si>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</si>
  <si>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</si>
  <si>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</si>
  <si>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</si>
  <si>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</si>
  <si>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</si>
  <si>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</si>
  <si>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</si>
  <si>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</si>
  <si>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</si>
  <si>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</si>
  <si>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</si>
  <si>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</si>
  <si>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</si>
  <si>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</si>
  <si>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</si>
  <si>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</si>
  <si>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</si>
  <si>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</si>
  <si>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</si>
  <si>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</si>
  <si>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</si>
  <si>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</si>
  <si>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</si>
  <si>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</si>
  <si>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</si>
  <si>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</si>
  <si>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</si>
  <si>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</si>
  <si>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</si>
  <si>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</si>
  <si>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</si>
  <si>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</si>
  <si>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</si>
  <si>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</si>
  <si>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</si>
  <si>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</si>
  <si>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</si>
  <si>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</si>
  <si>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</si>
  <si>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</si>
  <si>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</si>
  <si>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</si>
  <si>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</si>
  <si>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</si>
  <si>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</si>
  <si>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</si>
  <si>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</si>
  <si>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</si>
  <si>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</si>
  <si>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</si>
  <si>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</si>
  <si>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</si>
  <si>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</si>
  <si>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</si>
  <si>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</si>
  <si>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</si>
  <si>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</si>
  <si>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</si>
  <si>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</si>
  <si>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</si>
  <si>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</si>
  <si>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</si>
  <si>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</si>
  <si>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</si>
  <si>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</si>
  <si>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</si>
  <si>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</si>
  <si>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</si>
  <si>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</si>
  <si>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</si>
  <si>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</si>
  <si>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</si>
  <si>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</si>
  <si>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</si>
  <si>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</si>
  <si>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</si>
  <si>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</si>
  <si>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</si>
  <si>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</si>
  <si>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</si>
  <si>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</si>
  <si>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</si>
  <si>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</si>
  <si>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</si>
  <si>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</si>
  <si>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</si>
  <si>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</si>
  <si>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</si>
  <si>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</si>
  <si>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</si>
  <si>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</si>
  <si>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</si>
  <si>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</si>
  <si>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</si>
  <si>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</si>
  <si>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</si>
  <si>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</si>
  <si>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</si>
  <si>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</si>
  <si>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</si>
  <si>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</si>
  <si>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</si>
  <si>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</si>
  <si>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</si>
  <si>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</si>
  <si>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</si>
  <si>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</si>
  <si>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</si>
  <si>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</si>
  <si>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</si>
  <si>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</si>
  <si>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</si>
  <si>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</si>
  <si>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</si>
  <si>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</si>
  <si>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</si>
  <si>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</si>
  <si>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</si>
  <si>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</si>
  <si>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</si>
  <si>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</si>
  <si>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</si>
  <si>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</si>
  <si>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</si>
  <si>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</si>
  <si>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</si>
  <si>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</si>
  <si>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</si>
  <si>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</si>
  <si>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</si>
  <si>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</si>
  <si>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</si>
  <si>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</si>
  <si>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</si>
  <si>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</si>
  <si>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</si>
  <si>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</si>
  <si>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</si>
  <si>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</si>
  <si>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</si>
  <si>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</si>
  <si>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</si>
  <si>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</si>
  <si>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</si>
  <si>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</si>
  <si>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</si>
  <si>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</si>
  <si>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</si>
  <si>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</si>
  <si>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</si>
  <si>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</si>
  <si>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</si>
  <si>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</si>
  <si>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</si>
  <si>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</si>
  <si>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</si>
  <si>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</si>
  <si>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</si>
  <si>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</si>
  <si>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</si>
  <si>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</si>
  <si>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</si>
  <si>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</si>
  <si>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</si>
  <si>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</si>
  <si>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</si>
  <si>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</si>
  <si>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</si>
  <si>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</si>
  <si>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</si>
  <si>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</si>
  <si>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</si>
  <si>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</si>
  <si>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</si>
  <si>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</si>
  <si>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</si>
  <si>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</si>
  <si>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</si>
  <si>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</si>
  <si>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</si>
  <si>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</si>
  <si>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</si>
  <si>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</si>
  <si>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</si>
  <si>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</si>
  <si>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</si>
  <si>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</si>
  <si>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</si>
  <si>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</si>
  <si>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</si>
  <si>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</si>
  <si>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</si>
  <si>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</si>
  <si>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</si>
  <si>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</si>
  <si>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</si>
  <si>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</si>
  <si>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</si>
  <si>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</si>
  <si>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</si>
  <si>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</si>
  <si>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</si>
  <si>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</si>
  <si>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</si>
  <si>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</si>
  <si>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</si>
  <si>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</si>
  <si>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</si>
  <si>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</si>
  <si>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</si>
  <si>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</si>
  <si>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</si>
  <si>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</si>
  <si>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</si>
  <si>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</si>
  <si>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</si>
  <si>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</si>
  <si>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</si>
  <si>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</si>
  <si>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</si>
  <si>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</si>
  <si>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</si>
  <si>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</si>
  <si>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</si>
  <si>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</si>
  <si>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</si>
  <si>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</si>
  <si>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</si>
  <si>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</si>
  <si>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</si>
  <si>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</si>
  <si>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</si>
  <si>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</si>
  <si>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</si>
  <si>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</si>
  <si>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</si>
  <si>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</si>
  <si>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</si>
  <si>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</si>
  <si>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</si>
  <si>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</si>
  <si>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</si>
  <si>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</si>
  <si>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</si>
  <si>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</si>
  <si>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</si>
  <si>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</si>
  <si>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</si>
  <si>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</si>
  <si>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</si>
  <si>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</si>
  <si>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</si>
  <si>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</si>
  <si>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</si>
  <si>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</si>
  <si>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</si>
  <si>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</si>
  <si>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</si>
  <si>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</si>
  <si>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Licença as 11:10h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</si>
  <si>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</si>
  <si>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</si>
  <si>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</si>
  <si>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</si>
  <si>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</si>
  <si>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</si>
  <si>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</si>
  <si>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</si>
  <si>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</si>
  <si>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</si>
  <si>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</si>
  <si>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</si>
  <si>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</t>
  </si>
  <si>
    <t>TAG-TIN</t>
  </si>
  <si>
    <t>TAGTIN</t>
  </si>
  <si>
    <t xml:space="preserve">PCM </t>
  </si>
  <si>
    <t>Deslocamento para TIN - Abastece em TOM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</si>
  <si>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</si>
  <si>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</si>
  <si>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</si>
  <si>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</si>
  <si>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</si>
  <si>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</si>
  <si>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</si>
  <si>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</si>
  <si>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</si>
  <si>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</si>
  <si>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</si>
  <si>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</si>
  <si>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</si>
  <si>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</si>
  <si>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</si>
  <si>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PTR-PPG</t>
  </si>
  <si>
    <t>PAS-PTR</t>
  </si>
  <si>
    <t>PASPTR</t>
  </si>
  <si>
    <t>Anotnio</t>
  </si>
  <si>
    <t>MC1 as 9h - Licença as 09:10h - em inspeção</t>
  </si>
  <si>
    <t>Licença as 09:10h - em inspeção</t>
  </si>
  <si>
    <t>TGR-TIN</t>
  </si>
  <si>
    <t>TGRTIN</t>
  </si>
  <si>
    <t>TMI</t>
  </si>
  <si>
    <t>TMITCS</t>
  </si>
  <si>
    <t>Ronda 7 dias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</si>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</sst>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Y1" activePane="topRight" state="frozen"/>
      <selection pane="topRight" activeCell="AD41" sqref="AD4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IF(D6="","*",IFERROR(IF(ISODD(COUNT(AS6:AX802)),"ERRO",SUM((AT6-AS6),(AV6-AU6),(AX6-AW6))),"ERRO"))</f>
        <v>ERRO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798</v>
      </c>
      <c r="E8" s="185"/>
      <c r="F8" s="134" t="s">
        <v>675</v>
      </c>
      <c r="G8" s="8" t="str">
        <f>IF(D8="","*",VLOOKUP(F8,BS_ATIVIDADE[#All],3,FALSE))</f>
        <v>OUTROS</v>
      </c>
      <c r="H8" s="135" t="s">
        <v>202</v>
      </c>
      <c r="I8" s="135" t="s">
        <v>166</v>
      </c>
      <c r="J8" s="151">
        <v>98</v>
      </c>
      <c r="K8" s="151">
        <v>616</v>
      </c>
      <c r="L8" s="71" t="s">
        <v>602</v>
      </c>
      <c r="M8" s="149" t="s">
        <v>1228</v>
      </c>
      <c r="N8" s="204" t="s">
        <v>1229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BASE_MAPA!$B$2:$B$408, BASE_MAPA!$G$2:$G$408), "ERRO")</f>
        <v>ALTO ARAGUAIA - RONDONOPOLIS</v>
      </c>
      <c r="V8" s="205" t="s">
        <v>1230</v>
      </c>
      <c r="W8" s="206" t="s">
        <v>1231</v>
      </c>
      <c r="X8" s="152" t="s">
        <v>966</v>
      </c>
      <c r="Y8" s="129"/>
      <c r="Z8" s="129"/>
      <c r="AA8" s="71">
        <v>1</v>
      </c>
      <c r="AB8" s="59" t="s">
        <v>958</v>
      </c>
      <c r="AC8" s="59" t="s">
        <v>602</v>
      </c>
      <c r="AD8" s="135">
        <v>0.29166666666666669</v>
      </c>
      <c r="AE8" s="71" t="s">
        <v>602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 t="str">
        <f>IF(D8="","*",IFERROR(IF(ISODD(COUNT(AS8:AX803)),"ERRO",SUM((AT8-AS8),(AV8-AU8),(AX8-AW8))),"ERRO"))</f>
        <v>ERRO</v>
      </c>
      <c r="AZ8" s="11"/>
      <c r="BA8" s="60"/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BASE_MAPA!$B$2:$B$408, BASE_MAPA!$G$2:$G$408),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1</v>
      </c>
      <c r="BI8" s="14"/>
      <c r="BJ8" s="270" t="s">
        <v>1232</v>
      </c>
      <c r="BK8" s="270" t="s">
        <v>1233</v>
      </c>
      <c r="BL8" s="13"/>
      <c r="BM8" s="12"/>
      <c r="BN8" s="12"/>
      <c r="BO8" s="130"/>
      <c r="BP8" s="14"/>
      <c r="BQ8" s="10" t="e">
        <f>IF(AND(BR8&lt;1,BS8&lt;1),"Produção e Intervalo",IF(BR8&lt;1,"Intervalo",IF(BS8&lt;1,"Produção","Aderente")))</f>
        <v>#VALUE!</v>
      </c>
      <c r="BR8" s="15" t="e">
        <f>IF(OR(B8="",F8=""),"*",AY8/P8)</f>
        <v>#VALUE!</v>
      </c>
      <c r="BS8" s="15">
        <f>IF(OR(B8="",F8=""),"*",BA8/Q8)</f>
        <v>0</v>
      </c>
      <c r="BT8" s="157"/>
    </row>
    <row r="9" spans="1:72" hidden="1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1234</v>
      </c>
      <c r="W9" s="135" t="s">
        <v>1235</v>
      </c>
      <c r="X9" s="152" t="s">
        <v>966</v>
      </c>
      <c r="Y9" s="129"/>
      <c r="Z9" s="129"/>
      <c r="AA9" s="71">
        <v>1</v>
      </c>
      <c r="AB9" s="59" t="s">
        <v>958</v>
      </c>
      <c r="AC9" s="59" t="s">
        <v>602</v>
      </c>
      <c r="AD9" s="135">
        <v>0.29166666666666669</v>
      </c>
      <c r="AE9" s="71">
        <v>6636</v>
      </c>
      <c r="AF9" s="71">
        <v>6236</v>
      </c>
      <c r="AG9" s="71" t="s">
        <v>602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32">
        <v>0.50138888888888888</v>
      </c>
      <c r="AT9" s="32">
        <v>0.52708333333333335</v>
      </c>
      <c r="AU9" s="32"/>
      <c r="AV9" s="32"/>
      <c r="AW9" s="32"/>
      <c r="AX9" s="32"/>
      <c r="AY9" s="184" t="str">
        <f t="shared" ref="AY9:AY72" si="2">IF(D9="","*",IFERROR(IF(ISODD(COUNT(AS9:AX803)),"ERRO",SUM((AT9-AS9),(AV9-AU9),(AX9-AW9))),"ERRO"))</f>
        <v>ERRO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1236</v>
      </c>
      <c r="BK9" s="14" t="s">
        <v>1237</v>
      </c>
      <c r="BL9" s="13"/>
      <c r="BM9" s="12" t="s">
        <v>985</v>
      </c>
      <c r="BN9" s="12" t="s">
        <v>1015</v>
      </c>
      <c r="BO9" s="130" t="s">
        <v>1077</v>
      </c>
      <c r="BP9" s="14"/>
      <c r="BQ9" s="10" t="e">
        <f t="shared" ref="BQ9:BQ72" si="3">IF(AND(BR9&lt;1,BS9&lt;1),"Produção e Intervalo",IF(BR9&lt;1,"Intervalo",IF(BS9&lt;1,"Produção","Aderente")))</f>
        <v>#VALUE!</v>
      </c>
      <c r="BR9" s="15" t="e">
        <f t="shared" ref="BR9:BR72" si="4">IF(OR(B9="",F9=""),"*",AY9/P9)</f>
        <v>#VALUE!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1238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1239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32">
        <v>0</v>
      </c>
      <c r="AT10" s="32">
        <v>0</v>
      </c>
      <c r="AU10" s="32"/>
      <c r="AV10" s="32"/>
      <c r="AW10" s="32"/>
      <c r="AX10" s="32"/>
      <c r="AY10" s="184" t="str">
        <f t="shared" si="2"/>
        <v>ERRO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1240</v>
      </c>
      <c r="BK10" s="14" t="s">
        <v>1241</v>
      </c>
      <c r="BL10" s="13"/>
      <c r="BM10" s="12" t="s">
        <v>981</v>
      </c>
      <c r="BN10" s="12" t="s">
        <v>1002</v>
      </c>
      <c r="BO10" s="130" t="s">
        <v>1069</v>
      </c>
      <c r="BP10" s="14" t="s">
        <v>1242</v>
      </c>
      <c r="BQ10" s="10" t="e">
        <f t="shared" si="3"/>
        <v>#VALUE!</v>
      </c>
      <c r="BR10" s="15" t="e">
        <f t="shared" si="4"/>
        <v>#VALUE!</v>
      </c>
      <c r="BS10" s="15">
        <f t="shared" si="5"/>
        <v>0</v>
      </c>
      <c r="BT10" s="157" t="str">
        <f t="shared" si="6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1243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1244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32">
        <v>0</v>
      </c>
      <c r="AT11" s="32">
        <v>0</v>
      </c>
      <c r="AU11" s="32"/>
      <c r="AV11" s="32"/>
      <c r="AW11" s="32"/>
      <c r="AX11" s="32"/>
      <c r="AY11" s="184" t="str">
        <f t="shared" si="2"/>
        <v>ERRO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1245</v>
      </c>
      <c r="BK11" s="14" t="s">
        <v>1246</v>
      </c>
      <c r="BL11" s="13"/>
      <c r="BM11" s="12" t="s">
        <v>985</v>
      </c>
      <c r="BN11" s="12" t="s">
        <v>1015</v>
      </c>
      <c r="BO11" s="130" t="s">
        <v>1077</v>
      </c>
      <c r="BP11" s="14" t="s">
        <v>602</v>
      </c>
      <c r="BQ11" s="10" t="e">
        <f t="shared" si="3"/>
        <v>#VALUE!</v>
      </c>
      <c r="BR11" s="15" t="e">
        <f t="shared" si="4"/>
        <v>#VALUE!</v>
      </c>
      <c r="BS11" s="15">
        <f t="shared" si="5"/>
        <v>0</v>
      </c>
      <c r="BT11" s="157" t="str">
        <f t="shared" si="6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1247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>
        <v>0.42152777777777778</v>
      </c>
      <c r="AU12" s="32"/>
      <c r="AV12" s="32"/>
      <c r="AW12" s="32"/>
      <c r="AX12" s="32"/>
      <c r="AY12" s="184" t="str">
        <f t="shared" si="2"/>
        <v>ERRO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1248</v>
      </c>
      <c r="BK12" s="14" t="s">
        <v>1248</v>
      </c>
      <c r="BL12" s="13"/>
      <c r="BM12" s="12" t="s">
        <v>992</v>
      </c>
      <c r="BN12" s="12" t="s">
        <v>1017</v>
      </c>
      <c r="BO12" s="130" t="s">
        <v>1017</v>
      </c>
      <c r="BP12" s="14" t="s">
        <v>602</v>
      </c>
      <c r="BQ12" s="10" t="e">
        <f t="shared" si="3"/>
        <v>#VALUE!</v>
      </c>
      <c r="BR12" s="15" t="e">
        <f t="shared" si="4"/>
        <v>#VALUE!</v>
      </c>
      <c r="BS12" s="15">
        <f t="shared" si="5"/>
        <v>0</v>
      </c>
      <c r="BT12" s="157" t="str">
        <f t="shared" si="6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1249</v>
      </c>
      <c r="W13" s="135" t="s">
        <v>1247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>
        <v>0.48472222222222222</v>
      </c>
      <c r="AT13" s="32">
        <v>0.60972222222222228</v>
      </c>
      <c r="AU13" s="32"/>
      <c r="AV13" s="32"/>
      <c r="AW13" s="32"/>
      <c r="AX13" s="32"/>
      <c r="AY13" s="184" t="str">
        <f t="shared" si="2"/>
        <v>ERRO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1250</v>
      </c>
      <c r="BK13" s="14" t="s">
        <v>1251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e">
        <f t="shared" si="3"/>
        <v>#VALUE!</v>
      </c>
      <c r="BR13" s="15" t="e">
        <f t="shared" si="4"/>
        <v>#VALUE!</v>
      </c>
      <c r="BS13" s="15">
        <f t="shared" si="5"/>
        <v>0</v>
      </c>
      <c r="BT13" s="157" t="str">
        <f t="shared" si="6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1252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1253</v>
      </c>
      <c r="W14" s="135" t="s">
        <v>1254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32">
        <v>0</v>
      </c>
      <c r="AT14" s="32">
        <v>0</v>
      </c>
      <c r="AU14" s="32"/>
      <c r="AV14" s="32"/>
      <c r="AW14" s="32"/>
      <c r="AX14" s="32"/>
      <c r="AY14" s="184" t="str">
        <f t="shared" si="2"/>
        <v>ERRO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1255</v>
      </c>
      <c r="BK14" s="14" t="s">
        <v>1255</v>
      </c>
      <c r="BL14" s="13"/>
      <c r="BM14" s="12" t="s">
        <v>991</v>
      </c>
      <c r="BN14" s="12" t="s">
        <v>981</v>
      </c>
      <c r="BO14" s="130" t="s">
        <v>1082</v>
      </c>
      <c r="BP14" s="14" t="s">
        <v>1256</v>
      </c>
      <c r="BQ14" s="10" t="e">
        <f t="shared" si="3"/>
        <v>#VALUE!</v>
      </c>
      <c r="BR14" s="15" t="e">
        <f t="shared" si="4"/>
        <v>#VALUE!</v>
      </c>
      <c r="BS14" s="15">
        <f t="shared" si="5"/>
        <v>0</v>
      </c>
      <c r="BT14" s="157" t="str">
        <f t="shared" si="6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1257</v>
      </c>
      <c r="W15" s="135" t="s">
        <v>1247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>
        <v>0.49722222222222223</v>
      </c>
      <c r="AT15" s="32">
        <v>0.62222222222222223</v>
      </c>
      <c r="AU15" s="32"/>
      <c r="AV15" s="32"/>
      <c r="AW15" s="32"/>
      <c r="AX15" s="32"/>
      <c r="AY15" s="184" t="str">
        <f t="shared" si="2"/>
        <v>ERRO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1258</v>
      </c>
      <c r="BK15" s="14" t="s">
        <v>1259</v>
      </c>
      <c r="BL15" s="13"/>
      <c r="BM15" s="12" t="s">
        <v>990</v>
      </c>
      <c r="BN15" s="12" t="s">
        <v>990</v>
      </c>
      <c r="BO15" s="130" t="s">
        <v>990</v>
      </c>
      <c r="BP15" s="14" t="s">
        <v>602</v>
      </c>
      <c r="BQ15" s="10" t="e">
        <f t="shared" si="3"/>
        <v>#VALUE!</v>
      </c>
      <c r="BR15" s="15" t="e">
        <f t="shared" si="4"/>
        <v>#VALUE!</v>
      </c>
      <c r="BS15" s="15">
        <f t="shared" si="5"/>
        <v>1</v>
      </c>
      <c r="BT15" s="157" t="str">
        <f t="shared" si="6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875</v>
      </c>
      <c r="E16" s="185">
        <v>9</v>
      </c>
      <c r="F16" s="134" t="s">
        <v>791</v>
      </c>
      <c r="G16" s="8" t="str">
        <f>IF(D16="","*",VLOOKUP(F16,BS_ATIVIDADE[#All],3,FALSE))</f>
        <v>TRILHO - SUBSTITUIÇÂO</v>
      </c>
      <c r="H16" s="135" t="s">
        <v>602</v>
      </c>
      <c r="I16" s="135" t="s">
        <v>602</v>
      </c>
      <c r="J16" s="151">
        <v>101</v>
      </c>
      <c r="K16" s="151">
        <v>1494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BASE_MAPA!$B$2:$B$408, BASE_MAPA!$G$2:$G$408), "ERRO")</f>
        <v>PORTO NACIONAL - OURO VERDE</v>
      </c>
      <c r="V16" s="143" t="s">
        <v>1260</v>
      </c>
      <c r="W16" s="135" t="s">
        <v>1261</v>
      </c>
      <c r="X16" s="152" t="s">
        <v>970</v>
      </c>
      <c r="Y16" s="129"/>
      <c r="Z16" s="129"/>
      <c r="AA16" s="71" t="s">
        <v>602</v>
      </c>
      <c r="AB16" s="59" t="s">
        <v>602</v>
      </c>
      <c r="AC16" s="59" t="s">
        <v>602</v>
      </c>
      <c r="AD16" s="135" t="s">
        <v>602</v>
      </c>
      <c r="AE16" s="71" t="s">
        <v>602</v>
      </c>
      <c r="AF16" s="71" t="s">
        <v>602</v>
      </c>
      <c r="AG16" s="71" t="s">
        <v>602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POV-PJA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32">
        <v>0.49513888888888891</v>
      </c>
      <c r="AT16" s="32">
        <v>0.57847222222222228</v>
      </c>
      <c r="AU16" s="32"/>
      <c r="AV16" s="32"/>
      <c r="AW16" s="32"/>
      <c r="AX16" s="32"/>
      <c r="AY16" s="184" t="str">
        <f t="shared" si="2"/>
        <v>ERRO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BASE_MAPA!$B$2:$B$408, BASE_MAPA!$G$2:$G$408),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1262</v>
      </c>
      <c r="BL16" s="13"/>
      <c r="BM16" s="12" t="s">
        <v>990</v>
      </c>
      <c r="BN16" s="12" t="s">
        <v>990</v>
      </c>
      <c r="BO16" s="130" t="s">
        <v>990</v>
      </c>
      <c r="BP16" s="14" t="s">
        <v>602</v>
      </c>
      <c r="BQ16" s="10" t="e">
        <f t="shared" si="3"/>
        <v>#VALUE!</v>
      </c>
      <c r="BR16" s="15" t="e">
        <f t="shared" si="4"/>
        <v>#VALUE!</v>
      </c>
      <c r="BS16" s="15">
        <f t="shared" si="5"/>
        <v>1</v>
      </c>
      <c r="BT16" s="157" t="str">
        <f t="shared" si="6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808</v>
      </c>
      <c r="E17" s="185">
        <v>2</v>
      </c>
      <c r="F17" s="134" t="s">
        <v>707</v>
      </c>
      <c r="G17" s="8" t="str">
        <f>IF(D17="","*",VLOOKUP(F17,BS_ATIVIDADE[#All],3,FALSE))</f>
        <v>MECANIZAÇÃO - SOCADORA</v>
      </c>
      <c r="H17" s="135" t="s">
        <v>224</v>
      </c>
      <c r="I17" s="135" t="s">
        <v>224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" s="149" t="s">
        <v>1263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BASE_MAPA!$B$2:$B$408, BASE_MAPA!$G$2:$G$408), "ERRO")</f>
        <v>ALTO ARAGUAIA - RONDONOPOLIS</v>
      </c>
      <c r="V17" s="143" t="s">
        <v>1234</v>
      </c>
      <c r="W17" s="135" t="s">
        <v>1235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6636</v>
      </c>
      <c r="AF17" s="71">
        <v>6236</v>
      </c>
      <c r="AG17" s="71" t="s">
        <v>602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TSF-TRO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32"/>
      <c r="AT17" s="32"/>
      <c r="AU17" s="32"/>
      <c r="AV17" s="32"/>
      <c r="AW17" s="32"/>
      <c r="AX17" s="32"/>
      <c r="AY17" s="184" t="str">
        <f t="shared" si="2"/>
        <v>ERRO</v>
      </c>
      <c r="AZ17" s="11"/>
      <c r="BA17" s="60"/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BASE_MAPA!$B$2:$B$408, BASE_MAPA!$G$2:$G$408),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1264</v>
      </c>
      <c r="BK17" s="14" t="s">
        <v>1264</v>
      </c>
      <c r="BL17" s="13"/>
      <c r="BM17" s="12"/>
      <c r="BN17" s="12"/>
      <c r="BO17" s="130"/>
      <c r="BP17" s="14"/>
      <c r="BQ17" s="10" t="e">
        <f t="shared" si="3"/>
        <v>#VALUE!</v>
      </c>
      <c r="BR17" s="15" t="e">
        <f t="shared" si="4"/>
        <v>#VALUE!</v>
      </c>
      <c r="BS17" s="15">
        <f t="shared" si="5"/>
        <v>0</v>
      </c>
      <c r="BT17" s="157" t="str">
        <f t="shared" si="6"/>
        <v/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840</v>
      </c>
      <c r="E18" s="185">
        <v>3</v>
      </c>
      <c r="F18" s="134" t="s">
        <v>777</v>
      </c>
      <c r="G18" s="8" t="str">
        <f>IF(D18="","*",VLOOKUP(F18,BS_ATIVIDADE[#All],3,FALSE))</f>
        <v>PEDRA</v>
      </c>
      <c r="H18" s="211" t="s">
        <v>1238</v>
      </c>
      <c r="I18" s="211" t="s">
        <v>166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BASE_MAPA!$B$2:$B$408, BASE_MAPA!$G$2:$G$408), "ERRO")</f>
        <v>ALTO ARAGUAIA - RONDONOPOLIS</v>
      </c>
      <c r="V18" s="143" t="s">
        <v>1265</v>
      </c>
      <c r="W18" s="135" t="s">
        <v>1266</v>
      </c>
      <c r="X18" s="152" t="s">
        <v>966</v>
      </c>
      <c r="Y18" s="129" t="s">
        <v>969</v>
      </c>
      <c r="Z18" s="129"/>
      <c r="AA18" s="71" t="s">
        <v>1267</v>
      </c>
      <c r="AB18" s="59" t="s">
        <v>958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tr">
        <f>IF(BS_CONTROLE[[#This Row],[Atividade]]=0, "-", BS_CONTROLE[[#This Row],[Atividade]])</f>
        <v>PDM - PEDRA - DESCARGA</v>
      </c>
      <c r="AJ18" s="8" t="str">
        <f>IF(D18="","*",VLOOKUP(AI18,BS_ATIVIDADE[#Data],3,FALSE))</f>
        <v>PEDRA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32">
        <v>0.46527777777777779</v>
      </c>
      <c r="AT18" s="32">
        <v>0.50694444444444442</v>
      </c>
      <c r="AU18" s="32"/>
      <c r="AV18" s="32"/>
      <c r="AW18" s="32"/>
      <c r="AX18" s="32"/>
      <c r="AY18" s="184" t="str">
        <f t="shared" si="2"/>
        <v>ERRO</v>
      </c>
      <c r="AZ18" s="11"/>
      <c r="BA18" s="60"/>
      <c r="BB18" s="9" t="str">
        <f>IFERROR(_xlfn.XLOOKUP(AI18, BS_ATIVIDADE[ATIVIDADE],BS_ATIVIDADE[UNIDADE] ), "*")</f>
        <v>VAGÕES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BASE_MAPA!$B$2:$B$408, BASE_MAPA!$G$2:$G$408),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1</v>
      </c>
      <c r="BI18" s="14"/>
      <c r="BJ18" s="14" t="s">
        <v>1268</v>
      </c>
      <c r="BK18" s="14" t="s">
        <v>1269</v>
      </c>
      <c r="BL18" s="13"/>
      <c r="BM18" s="12"/>
      <c r="BN18" s="12"/>
      <c r="BO18" s="130"/>
      <c r="BP18" s="14"/>
      <c r="BQ18" s="10" t="e">
        <f t="shared" si="3"/>
        <v>#VALUE!</v>
      </c>
      <c r="BR18" s="15" t="e">
        <f t="shared" si="4"/>
        <v>#VALUE!</v>
      </c>
      <c r="BS18" s="15">
        <f t="shared" si="5"/>
        <v>0</v>
      </c>
      <c r="BT18" s="157" t="str">
        <f t="shared" si="6"/>
        <v/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897</v>
      </c>
      <c r="E19" s="185">
        <v>4</v>
      </c>
      <c r="F19" s="134" t="s">
        <v>762</v>
      </c>
      <c r="G19" s="8" t="str">
        <f>IF(D19="","*",VLOOKUP(F19,BS_ATIVIDADE[#All],3,FALSE))</f>
        <v>AMV</v>
      </c>
      <c r="H19" s="135" t="s">
        <v>1243</v>
      </c>
      <c r="I19" s="135" t="s">
        <v>602</v>
      </c>
      <c r="J19" s="151">
        <v>98</v>
      </c>
      <c r="K19" s="151">
        <v>662.31299999999999</v>
      </c>
      <c r="L19" s="71" t="s">
        <v>602</v>
      </c>
      <c r="M19" s="149" t="s">
        <v>1270</v>
      </c>
      <c r="N19" s="149" t="s">
        <v>1271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BASE_MAPA!$B$2:$B$408, BASE_MAPA!$G$2:$G$408), "ERRO")</f>
        <v>ALTO ARAGUAIA - RONDONOPOLIS</v>
      </c>
      <c r="V19" s="143" t="s">
        <v>1272</v>
      </c>
      <c r="W19" s="135" t="s">
        <v>1273</v>
      </c>
      <c r="X19" s="152" t="s">
        <v>966</v>
      </c>
      <c r="Y19" s="129" t="s">
        <v>969</v>
      </c>
      <c r="Z19" s="129"/>
      <c r="AA19" s="71" t="s">
        <v>602</v>
      </c>
      <c r="AB19" s="59" t="s">
        <v>602</v>
      </c>
      <c r="AC19" s="59" t="s">
        <v>602</v>
      </c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 t="str">
        <f t="shared" si="2"/>
        <v>ERRO</v>
      </c>
      <c r="AZ19" s="11"/>
      <c r="BA19" s="60"/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BASE_MAPA!$B$2:$B$408, BASE_MAPA!$G$2:$G$408),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1</v>
      </c>
      <c r="BI19" s="14"/>
      <c r="BJ19" s="14" t="s">
        <v>1274</v>
      </c>
      <c r="BK19" s="14" t="s">
        <v>1275</v>
      </c>
      <c r="BL19" s="13"/>
      <c r="BM19" s="12"/>
      <c r="BN19" s="12"/>
      <c r="BO19" s="130"/>
      <c r="BP19" s="14"/>
      <c r="BQ19" s="10" t="e">
        <f t="shared" si="3"/>
        <v>#VALUE!</v>
      </c>
      <c r="BR19" s="15" t="e">
        <f t="shared" si="4"/>
        <v>#VALUE!</v>
      </c>
      <c r="BS19" s="15">
        <f t="shared" si="5"/>
        <v>0</v>
      </c>
      <c r="BT19" s="157" t="str">
        <f t="shared" si="6"/>
        <v/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869</v>
      </c>
      <c r="E20" s="185">
        <v>5</v>
      </c>
      <c r="F20" s="134" t="s">
        <v>784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602</v>
      </c>
      <c r="J20" s="212">
        <v>98</v>
      </c>
      <c r="K20" s="212">
        <v>548.14499999999998</v>
      </c>
      <c r="L20" s="213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BASE_MAPA!$B$2:$B$408, BASE_MAPA!$G$2:$G$408), "ERRO")</f>
        <v>ALTO ARAGUAIA - RONDONOPOLIS</v>
      </c>
      <c r="V20" s="143" t="s">
        <v>1276</v>
      </c>
      <c r="W20" s="135" t="s">
        <v>1277</v>
      </c>
      <c r="X20" s="152" t="s">
        <v>961</v>
      </c>
      <c r="Y20" s="129" t="s">
        <v>960</v>
      </c>
      <c r="Z20" s="129"/>
      <c r="AA20" s="71" t="s">
        <v>602</v>
      </c>
      <c r="AB20" s="59" t="s">
        <v>602</v>
      </c>
      <c r="AC20" s="59" t="s">
        <v>602</v>
      </c>
      <c r="AD20" s="135" t="s">
        <v>602</v>
      </c>
      <c r="AE20" s="71" t="s">
        <v>602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32">
        <v>0</v>
      </c>
      <c r="AT20" s="32">
        <v>0</v>
      </c>
      <c r="AU20" s="32"/>
      <c r="AV20" s="32"/>
      <c r="AW20" s="32"/>
      <c r="AX20" s="32"/>
      <c r="AY20" s="184" t="str">
        <f t="shared" si="2"/>
        <v>ERRO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BASE_MAPA!$B$2:$B$408, BASE_MAPA!$G$2:$G$408),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1278</v>
      </c>
      <c r="BK20" s="14" t="s">
        <v>1279</v>
      </c>
      <c r="BL20" s="13"/>
      <c r="BM20" s="12" t="s">
        <v>992</v>
      </c>
      <c r="BN20" s="12" t="s">
        <v>1009</v>
      </c>
      <c r="BO20" s="130" t="s">
        <v>1097</v>
      </c>
      <c r="BP20" s="14"/>
      <c r="BQ20" s="10" t="e">
        <f t="shared" si="3"/>
        <v>#VALUE!</v>
      </c>
      <c r="BR20" s="15" t="e">
        <f t="shared" si="4"/>
        <v>#VALUE!</v>
      </c>
      <c r="BS20" s="15">
        <f t="shared" si="5"/>
        <v>0</v>
      </c>
      <c r="BT20" s="157" t="str">
        <f t="shared" si="6"/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894</v>
      </c>
      <c r="E21" s="185">
        <v>6</v>
      </c>
      <c r="F21" s="134" t="s">
        <v>784</v>
      </c>
      <c r="G21" s="8" t="str">
        <f>IF(D21="","*",VLOOKUP(F21,BS_ATIVIDADE[#All],3,FALSE))</f>
        <v>SOLDA</v>
      </c>
      <c r="H21" s="135" t="s">
        <v>162</v>
      </c>
      <c r="I21" s="135" t="s">
        <v>602</v>
      </c>
      <c r="J21" s="151">
        <v>74</v>
      </c>
      <c r="K21" s="151">
        <v>498.9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163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BASE_MAPA!$B$2:$B$408, BASE_MAPA!$G$2:$G$408), "ERRO")</f>
        <v>MARCO INICIAL - ALTO ARAGUAIA</v>
      </c>
      <c r="V21" s="143" t="s">
        <v>1276</v>
      </c>
      <c r="W21" s="135" t="s">
        <v>1277</v>
      </c>
      <c r="X21" s="152" t="s">
        <v>961</v>
      </c>
      <c r="Y21" s="129" t="s">
        <v>960</v>
      </c>
      <c r="Z21" s="129"/>
      <c r="AA21" s="71" t="s">
        <v>602</v>
      </c>
      <c r="AB21" s="59" t="s">
        <v>602</v>
      </c>
      <c r="AC21" s="59" t="s">
        <v>602</v>
      </c>
      <c r="AD21" s="135" t="s">
        <v>602</v>
      </c>
      <c r="AE21" s="71" t="s">
        <v>602</v>
      </c>
      <c r="AF21" s="71" t="s">
        <v>602</v>
      </c>
      <c r="AG21" s="71" t="s">
        <v>602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32"/>
      <c r="AT21" s="32"/>
      <c r="AU21" s="32"/>
      <c r="AV21" s="32"/>
      <c r="AW21" s="32"/>
      <c r="AX21" s="32"/>
      <c r="AY21" s="184" t="str">
        <f t="shared" si="2"/>
        <v>ERRO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1</v>
      </c>
      <c r="BI21" s="14"/>
      <c r="BJ21" s="14" t="s">
        <v>1280</v>
      </c>
      <c r="BK21" s="14" t="s">
        <v>1281</v>
      </c>
      <c r="BL21" s="13"/>
      <c r="BM21" s="12"/>
      <c r="BN21" s="12"/>
      <c r="BO21" s="130"/>
      <c r="BP21" s="14"/>
      <c r="BQ21" s="10" t="e">
        <f t="shared" si="3"/>
        <v>#VALUE!</v>
      </c>
      <c r="BR21" s="15" t="e">
        <f t="shared" si="4"/>
        <v>#VALUE!</v>
      </c>
      <c r="BS21" s="15">
        <f t="shared" si="5"/>
        <v>0</v>
      </c>
      <c r="BT21" s="157" t="str">
        <f t="shared" si="6"/>
        <v/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749</v>
      </c>
      <c r="E22" s="185">
        <v>7</v>
      </c>
      <c r="F22" s="134" t="s">
        <v>616</v>
      </c>
      <c r="G22" s="8" t="str">
        <f>IF(D22="","*",VLOOKUP(F22,BS_ATIVIDADE[#All],3,FALSE))</f>
        <v>OUTROS</v>
      </c>
      <c r="H22" s="135" t="s">
        <v>1252</v>
      </c>
      <c r="I22" s="135" t="s">
        <v>54</v>
      </c>
      <c r="J22" s="151">
        <v>74</v>
      </c>
      <c r="K22" s="151">
        <v>498.9</v>
      </c>
      <c r="L22" s="71" t="s">
        <v>602</v>
      </c>
      <c r="M22" s="149" t="s">
        <v>1282</v>
      </c>
      <c r="N22" s="149" t="s">
        <v>1283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BASE_MAPA!$B$2:$B$408, BASE_MAPA!$G$2:$G$408), "ERRO")</f>
        <v>MARCO INICIAL - ALTO ARAGUAIA</v>
      </c>
      <c r="V22" s="143" t="s">
        <v>1284</v>
      </c>
      <c r="W22" s="135" t="s">
        <v>1285</v>
      </c>
      <c r="X22" s="152" t="s">
        <v>966</v>
      </c>
      <c r="Y22" s="129" t="s">
        <v>969</v>
      </c>
      <c r="Z22" s="129"/>
      <c r="AA22" s="71">
        <v>2</v>
      </c>
      <c r="AB22" s="59" t="s">
        <v>963</v>
      </c>
      <c r="AC22" s="59" t="s">
        <v>602</v>
      </c>
      <c r="AD22" s="135">
        <v>0.29166666666666669</v>
      </c>
      <c r="AE22" s="71">
        <v>9323</v>
      </c>
      <c r="AF22" s="71">
        <v>7636</v>
      </c>
      <c r="AG22" s="71" t="s">
        <v>602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 t="str">
        <f t="shared" si="2"/>
        <v>ERRO</v>
      </c>
      <c r="AZ22" s="11"/>
      <c r="BA22" s="60"/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BASE_MAPA!$B$2:$B$408, BASE_MAPA!$G$2:$G$408),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1077</v>
      </c>
      <c r="BK22" s="14" t="s">
        <v>1077</v>
      </c>
      <c r="BL22" s="13"/>
      <c r="BM22" s="12" t="s">
        <v>985</v>
      </c>
      <c r="BN22" s="12" t="s">
        <v>1015</v>
      </c>
      <c r="BO22" s="130" t="s">
        <v>1077</v>
      </c>
      <c r="BP22" s="14"/>
      <c r="BQ22" s="10" t="e">
        <f t="shared" si="3"/>
        <v>#VALUE!</v>
      </c>
      <c r="BR22" s="15" t="e">
        <f t="shared" si="4"/>
        <v>#VALUE!</v>
      </c>
      <c r="BS22" s="15">
        <f t="shared" si="5"/>
        <v>0</v>
      </c>
      <c r="BT22" s="157" t="str">
        <f t="shared" si="6"/>
        <v>CCOCirculaçãoIntervaloOportunidade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925</v>
      </c>
      <c r="E23" s="185">
        <v>16</v>
      </c>
      <c r="F23" s="134" t="s">
        <v>784</v>
      </c>
      <c r="G23" s="8" t="str">
        <f>IF(D23="","*",VLOOKUP(F23,BS_ATIVIDADE[#All],3,FALSE))</f>
        <v>SOLDA</v>
      </c>
      <c r="H23" s="149" t="s">
        <v>602</v>
      </c>
      <c r="I23" s="211" t="s">
        <v>602</v>
      </c>
      <c r="J23" s="212">
        <v>74</v>
      </c>
      <c r="K23" s="212">
        <v>280.5</v>
      </c>
      <c r="L23" s="213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BASE_MAPA!$B$2:$B$408, BASE_MAPA!$G$2:$G$408), "ERRO")</f>
        <v>MARCO INICIAL - ALTO ARAGUAIA</v>
      </c>
      <c r="V23" s="143" t="s">
        <v>1286</v>
      </c>
      <c r="W23" s="135" t="s">
        <v>1277</v>
      </c>
      <c r="X23" s="152" t="s">
        <v>966</v>
      </c>
      <c r="Y23" s="129" t="s">
        <v>969</v>
      </c>
      <c r="Z23" s="129"/>
      <c r="AA23" s="71" t="s">
        <v>602</v>
      </c>
      <c r="AB23" s="59" t="s">
        <v>602</v>
      </c>
      <c r="AC23" s="59" t="s">
        <v>602</v>
      </c>
      <c r="AD23" s="135" t="s">
        <v>602</v>
      </c>
      <c r="AE23" s="71" t="s">
        <v>602</v>
      </c>
      <c r="AF23" s="71" t="s">
        <v>602</v>
      </c>
      <c r="AG23" s="71" t="s">
        <v>602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32">
        <v>0</v>
      </c>
      <c r="AT23" s="32">
        <v>0</v>
      </c>
      <c r="AU23" s="32"/>
      <c r="AV23" s="32"/>
      <c r="AW23" s="32"/>
      <c r="AX23" s="32"/>
      <c r="AY23" s="184" t="str">
        <f t="shared" si="2"/>
        <v>ERRO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BASE_MAPA!$B$2:$B$408, BASE_MAPA!$G$2:$G$408),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1287</v>
      </c>
      <c r="BK23" s="14" t="s">
        <v>1287</v>
      </c>
      <c r="BL23" s="13"/>
      <c r="BM23" s="12"/>
      <c r="BN23" s="12"/>
      <c r="BO23" s="130"/>
      <c r="BP23" s="14"/>
      <c r="BQ23" s="10" t="e">
        <f t="shared" si="3"/>
        <v>#VALUE!</v>
      </c>
      <c r="BR23" s="15" t="e">
        <f t="shared" si="4"/>
        <v>#VALUE!</v>
      </c>
      <c r="BS23" s="15">
        <f t="shared" si="5"/>
        <v>0</v>
      </c>
      <c r="BT23" s="157" t="str">
        <f t="shared" si="6"/>
        <v/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831</v>
      </c>
      <c r="E24" s="185">
        <v>17</v>
      </c>
      <c r="F24" s="134" t="s">
        <v>739</v>
      </c>
      <c r="G24" s="8" t="str">
        <f>IF(D24="","*",VLOOKUP(F24,BS_ATIVIDADE[#All],3,FALSE))</f>
        <v>MODERNIZAÇÃO</v>
      </c>
      <c r="H24" s="135" t="s">
        <v>92</v>
      </c>
      <c r="I24" s="135" t="s">
        <v>92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BASE_MAPA!$B$2:$B$408, BASE_MAPA!$G$2:$G$408), "ERRO")</f>
        <v>MARCO INICIAL - ALTO ARAGUAIA</v>
      </c>
      <c r="V24" s="143" t="s">
        <v>1288</v>
      </c>
      <c r="W24" s="135" t="s">
        <v>1289</v>
      </c>
      <c r="X24" s="152" t="s">
        <v>961</v>
      </c>
      <c r="Y24" s="129" t="s">
        <v>960</v>
      </c>
      <c r="Z24" s="129"/>
      <c r="AA24" s="71" t="s">
        <v>1290</v>
      </c>
      <c r="AB24" s="59" t="s">
        <v>958</v>
      </c>
      <c r="AC24" s="59" t="s">
        <v>602</v>
      </c>
      <c r="AD24" s="135">
        <v>0.29166666666666669</v>
      </c>
      <c r="AE24" s="71">
        <v>9322</v>
      </c>
      <c r="AF24" s="71">
        <v>7671</v>
      </c>
      <c r="AG24" s="71" t="s">
        <v>602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32">
        <v>0</v>
      </c>
      <c r="AT24" s="32">
        <v>0</v>
      </c>
      <c r="AU24" s="32"/>
      <c r="AV24" s="32"/>
      <c r="AW24" s="32"/>
      <c r="AX24" s="32"/>
      <c r="AY24" s="184" t="str">
        <f t="shared" si="2"/>
        <v>ERRO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BASE_MAPA!$B$2:$B$408, BASE_MAPA!$G$2:$G$408),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1291</v>
      </c>
      <c r="BK24" s="14" t="s">
        <v>1291</v>
      </c>
      <c r="BL24" s="13"/>
      <c r="BM24" s="12" t="s">
        <v>985</v>
      </c>
      <c r="BN24" s="12" t="s">
        <v>1006</v>
      </c>
      <c r="BO24" s="130" t="s">
        <v>1116</v>
      </c>
      <c r="BP24" s="14" t="s">
        <v>602</v>
      </c>
      <c r="BQ24" s="10" t="e">
        <f t="shared" si="3"/>
        <v>#VALUE!</v>
      </c>
      <c r="BR24" s="15" t="e">
        <f t="shared" si="4"/>
        <v>#VALUE!</v>
      </c>
      <c r="BS24" s="15">
        <f t="shared" si="5"/>
        <v>0</v>
      </c>
      <c r="BT24" s="157" t="str">
        <f t="shared" si="6"/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734</v>
      </c>
      <c r="E25" s="185">
        <v>18</v>
      </c>
      <c r="F25" s="134" t="s">
        <v>675</v>
      </c>
      <c r="G25" s="8" t="str">
        <f>IF(D25="","*",VLOOKUP(F25,BS_ATIVIDADE[#All],3,FALSE))</f>
        <v>OUTROS</v>
      </c>
      <c r="H25" s="135" t="s">
        <v>312</v>
      </c>
      <c r="I25" s="135" t="s">
        <v>326</v>
      </c>
      <c r="J25" s="151">
        <v>78</v>
      </c>
      <c r="K25" s="151">
        <v>228</v>
      </c>
      <c r="L25" s="71" t="s">
        <v>602</v>
      </c>
      <c r="M25" s="149" t="s">
        <v>1292</v>
      </c>
      <c r="N25" s="149" t="s">
        <v>1293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BASE_MAPA!$B$2:$B$408, BASE_MAPA!$G$2:$G$408), "ERRO")</f>
        <v>ITIRAPINA - BAURU</v>
      </c>
      <c r="V25" s="143" t="s">
        <v>1294</v>
      </c>
      <c r="W25" s="135" t="s">
        <v>1231</v>
      </c>
      <c r="X25" s="152" t="s">
        <v>966</v>
      </c>
      <c r="Y25" s="129" t="s">
        <v>969</v>
      </c>
      <c r="Z25" s="129"/>
      <c r="AA25" s="71">
        <v>1</v>
      </c>
      <c r="AB25" s="59" t="s">
        <v>958</v>
      </c>
      <c r="AC25" s="59" t="s">
        <v>602</v>
      </c>
      <c r="AD25" s="135">
        <v>0.29166666666666669</v>
      </c>
      <c r="AE25" s="71">
        <v>6261</v>
      </c>
      <c r="AF25" s="71" t="s">
        <v>602</v>
      </c>
      <c r="AG25" s="71" t="s">
        <v>602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32">
        <v>0.48402777777777778</v>
      </c>
      <c r="AT25" s="32"/>
      <c r="AU25" s="32"/>
      <c r="AV25" s="32"/>
      <c r="AW25" s="32"/>
      <c r="AX25" s="32"/>
      <c r="AY25" s="184" t="str">
        <f t="shared" si="2"/>
        <v>ERRO</v>
      </c>
      <c r="AZ25" s="11"/>
      <c r="BA25" s="60"/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BASE_MAPA!$B$2:$B$408, BASE_MAPA!$G$2:$G$408),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1</v>
      </c>
      <c r="BI25" s="14"/>
      <c r="BJ25" s="14" t="s">
        <v>1295</v>
      </c>
      <c r="BK25" s="14" t="s">
        <v>1296</v>
      </c>
      <c r="BL25" s="13"/>
      <c r="BM25" s="12"/>
      <c r="BN25" s="12"/>
      <c r="BO25" s="130"/>
      <c r="BP25" s="14"/>
      <c r="BQ25" s="10" t="e">
        <f t="shared" si="3"/>
        <v>#VALUE!</v>
      </c>
      <c r="BR25" s="15" t="e">
        <f t="shared" si="4"/>
        <v>#VALUE!</v>
      </c>
      <c r="BS25" s="15">
        <f t="shared" si="5"/>
        <v>0</v>
      </c>
      <c r="BT25" s="157" t="str">
        <f t="shared" si="6"/>
        <v/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849</v>
      </c>
      <c r="E26" s="185">
        <v>19</v>
      </c>
      <c r="F26" s="134" t="s">
        <v>777</v>
      </c>
      <c r="G26" s="8" t="str">
        <f>IF(D26="","*",VLOOKUP(F26,BS_ATIVIDADE[#All],3,FALSE))</f>
        <v>PEDRA</v>
      </c>
      <c r="H26" s="135" t="s">
        <v>562</v>
      </c>
      <c r="I26" s="135" t="s">
        <v>539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BASE_MAPA!$B$2:$B$408, BASE_MAPA!$G$2:$G$408), "ERRO")</f>
        <v>OURO VERDE - LIGAÇÃO</v>
      </c>
      <c r="V26" s="143" t="s">
        <v>1297</v>
      </c>
      <c r="W26" s="135" t="s">
        <v>1266</v>
      </c>
      <c r="X26" s="152" t="s">
        <v>970</v>
      </c>
      <c r="Y26" s="129"/>
      <c r="Z26" s="129"/>
      <c r="AA26" s="71">
        <v>1</v>
      </c>
      <c r="AB26" s="59" t="s">
        <v>958</v>
      </c>
      <c r="AC26" s="59" t="s">
        <v>602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POU-K29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32">
        <v>0.39097222222222222</v>
      </c>
      <c r="AT26" s="32">
        <v>0.43263888888888891</v>
      </c>
      <c r="AU26" s="32"/>
      <c r="AV26" s="32"/>
      <c r="AW26" s="32"/>
      <c r="AX26" s="32"/>
      <c r="AY26" s="184">
        <f t="shared" si="2"/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BASE_MAPA!$B$2:$B$408, BASE_MAPA!$G$2:$G$408),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1298</v>
      </c>
      <c r="BK26" s="14" t="s">
        <v>1299</v>
      </c>
      <c r="BL26" s="13"/>
      <c r="BM26" s="12" t="s">
        <v>990</v>
      </c>
      <c r="BN26" s="12" t="s">
        <v>990</v>
      </c>
      <c r="BO26" s="130" t="s">
        <v>990</v>
      </c>
      <c r="BP26" s="14" t="s">
        <v>602</v>
      </c>
      <c r="BQ26" s="10" t="str">
        <f t="shared" si="3"/>
        <v>Aderente</v>
      </c>
      <c r="BR26" s="15">
        <f t="shared" si="4"/>
        <v>1.0000000000000004</v>
      </c>
      <c r="BS26" s="15">
        <f t="shared" si="5"/>
        <v>1</v>
      </c>
      <c r="BT26" s="157" t="str">
        <f t="shared" si="6"/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679</v>
      </c>
      <c r="E27" s="185">
        <v>20</v>
      </c>
      <c r="F27" s="134" t="s">
        <v>675</v>
      </c>
      <c r="G27" s="8" t="str">
        <f>IF(D27="","*",VLOOKUP(F27,BS_ATIVIDADE[#All],3,FALSE))</f>
        <v>OUTROS</v>
      </c>
      <c r="H27" s="135" t="s">
        <v>1300</v>
      </c>
      <c r="I27" s="135" t="s">
        <v>1301</v>
      </c>
      <c r="J27" s="151">
        <v>102</v>
      </c>
      <c r="K27" s="151">
        <v>50</v>
      </c>
      <c r="L27" s="71" t="s">
        <v>602</v>
      </c>
      <c r="M27" s="149" t="s">
        <v>1302</v>
      </c>
      <c r="N27" s="149" t="s">
        <v>1303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BASE_MAPA!$B$2:$B$408, BASE_MAPA!$G$2:$G$408), "ERRO")</f>
        <v>OURO VERDE - ANÁPOLIS</v>
      </c>
      <c r="V27" s="143" t="s">
        <v>1304</v>
      </c>
      <c r="W27" s="135" t="s">
        <v>1231</v>
      </c>
      <c r="X27" s="152" t="s">
        <v>966</v>
      </c>
      <c r="Y27" s="129" t="s">
        <v>969</v>
      </c>
      <c r="Z27" s="129"/>
      <c r="AA27" s="71">
        <v>1</v>
      </c>
      <c r="AB27" s="59" t="s">
        <v>958</v>
      </c>
      <c r="AC27" s="59" t="s">
        <v>602</v>
      </c>
      <c r="AD27" s="135">
        <v>0.29166666666666669</v>
      </c>
      <c r="AE27" s="71">
        <v>5301</v>
      </c>
      <c r="AF27" s="71" t="s">
        <v>602</v>
      </c>
      <c r="AG27" s="71" t="s">
        <v>602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32">
        <v>0.38194444444444442</v>
      </c>
      <c r="AT27" s="32">
        <v>0.4236111111111111</v>
      </c>
      <c r="AU27" s="32"/>
      <c r="AV27" s="32"/>
      <c r="AW27" s="32"/>
      <c r="AX27" s="32"/>
      <c r="AY27" s="184">
        <f t="shared" si="2"/>
        <v>4.1666666666666685E-2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BASE_MAPA!$B$2:$B$408, BASE_MAPA!$G$2:$G$408),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1</v>
      </c>
      <c r="BI27" s="14"/>
      <c r="BJ27" s="14" t="s">
        <v>1305</v>
      </c>
      <c r="BK27" s="14" t="s">
        <v>1306</v>
      </c>
      <c r="BL27" s="13"/>
      <c r="BM27" s="12"/>
      <c r="BN27" s="12"/>
      <c r="BO27" s="130"/>
      <c r="BP27" s="14"/>
      <c r="BQ27" s="10" t="str">
        <f t="shared" si="3"/>
        <v>Produção</v>
      </c>
      <c r="BR27" s="15">
        <f t="shared" si="4"/>
        <v>1.0000000000000004</v>
      </c>
      <c r="BS27" s="15">
        <f t="shared" si="5"/>
        <v>0</v>
      </c>
      <c r="BT27" s="157" t="str">
        <f t="shared" si="6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 hidden="1">
      <c r="A30" s="44" t="str">
        <f t="shared" si="1"/>
        <v>V8646057</v>
      </c>
      <c r="B30" s="133">
        <v>46057</v>
      </c>
      <c r="C30" s="7">
        <f>IF(BS_CONTROLE[[#This Row],[DATA]]="","",WEEKNUM(BS_CONTROLE[[#This Row],[DATA]]))</f>
        <v>6</v>
      </c>
      <c r="D30" s="45" t="s">
        <v>808</v>
      </c>
      <c r="E30" s="185">
        <v>23</v>
      </c>
      <c r="F30" s="134" t="s">
        <v>707</v>
      </c>
      <c r="G30" s="8" t="str">
        <f>IF(D30="","*",VLOOKUP(F30,BS_ATIVIDADE[#All],3,FALSE))</f>
        <v>MECANIZAÇÃO - SOCADORA</v>
      </c>
      <c r="H30" s="135" t="s">
        <v>224</v>
      </c>
      <c r="I30" s="135" t="s">
        <v>224</v>
      </c>
      <c r="J30" s="151">
        <v>98</v>
      </c>
      <c r="K30" s="151">
        <v>723</v>
      </c>
      <c r="L30" s="71">
        <v>720</v>
      </c>
      <c r="M30" s="149" t="s">
        <v>227</v>
      </c>
      <c r="N30" s="149" t="s">
        <v>1263</v>
      </c>
      <c r="O30" s="135">
        <v>0.4375</v>
      </c>
      <c r="P30" s="135">
        <v>0.125</v>
      </c>
      <c r="Q30" s="71">
        <v>1120</v>
      </c>
      <c r="R30" s="9" t="s">
        <v>628</v>
      </c>
      <c r="S30" s="180" t="s">
        <v>8</v>
      </c>
      <c r="T30" s="180" t="s">
        <v>170</v>
      </c>
      <c r="U30" s="199" t="s">
        <v>169</v>
      </c>
      <c r="V30" s="143" t="s">
        <v>1234</v>
      </c>
      <c r="W30" s="135" t="s">
        <v>1235</v>
      </c>
      <c r="X30" s="152" t="s">
        <v>966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 t="shared" si="2"/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BASE_MAPA!$B$2:$B$408, BASE_MAPA!$G$2:$G$408),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Produção e Intervalo</v>
      </c>
      <c r="BR30" s="15">
        <f t="shared" si="4"/>
        <v>0</v>
      </c>
      <c r="BS30" s="15">
        <f t="shared" si="5"/>
        <v>0</v>
      </c>
      <c r="BT30" s="157" t="str">
        <f t="shared" si="6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 hidden="1">
      <c r="A32" s="44" t="str">
        <f t="shared" si="1"/>
        <v>W7046057</v>
      </c>
      <c r="B32" s="133">
        <v>46057</v>
      </c>
      <c r="C32" s="7">
        <f>IF(BS_CONTROLE[[#This Row],[DATA]]="","",WEEKNUM(BS_CONTROLE[[#This Row],[DATA]]))</f>
        <v>6</v>
      </c>
      <c r="D32" s="45" t="s">
        <v>840</v>
      </c>
      <c r="E32" s="185">
        <v>25</v>
      </c>
      <c r="F32" s="134" t="s">
        <v>777</v>
      </c>
      <c r="G32" s="8" t="str">
        <f>IF(D32="","*",VLOOKUP(F32,BS_ATIVIDADE[#All],3,FALSE))</f>
        <v>PEDRA</v>
      </c>
      <c r="H32" s="135" t="s">
        <v>203</v>
      </c>
      <c r="I32" s="135" t="s">
        <v>166</v>
      </c>
      <c r="J32" s="151">
        <v>98</v>
      </c>
      <c r="K32" s="151">
        <v>700</v>
      </c>
      <c r="L32" s="71">
        <v>703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2" s="149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2" s="135">
        <v>0.41666666666666669</v>
      </c>
      <c r="P32" s="135">
        <v>0.125</v>
      </c>
      <c r="Q32" s="71">
        <v>27</v>
      </c>
      <c r="R32" s="9" t="str">
        <f>IFERROR(_xlfn.XLOOKUP(F32, BS_ATIVIDADE[ATIVIDADE],BS_ATIVIDADE[UNIDADE] ), "*")</f>
        <v>VAGÕES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1265</v>
      </c>
      <c r="W32" s="135" t="s">
        <v>1266</v>
      </c>
      <c r="X32" s="152" t="s">
        <v>966</v>
      </c>
      <c r="Y32" s="129"/>
      <c r="Z32" s="129"/>
      <c r="AA32" s="71"/>
      <c r="AB32" s="59"/>
      <c r="AC32" s="59"/>
      <c r="AD32" s="135">
        <v>0.29166666666666669</v>
      </c>
      <c r="AE32" s="71">
        <v>9425</v>
      </c>
      <c r="AF32" s="71">
        <v>7632</v>
      </c>
      <c r="AG32" s="71">
        <v>9414</v>
      </c>
      <c r="AH32" s="42"/>
      <c r="AI32" s="119" t="str">
        <f>IF(BS_CONTROLE[[#This Row],[Atividade]]=0, "-", BS_CONTROLE[[#This Row],[Atividade]])</f>
        <v>PDM - PEDRA - DESCARGA</v>
      </c>
      <c r="AJ32" s="8" t="str">
        <f>IF(D32="","*",VLOOKUP(AI32,BS_ATIVIDADE[#Data],3,FALSE))</f>
        <v>PEDRA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TGR2</v>
      </c>
      <c r="AM32" s="175" t="str">
        <f>IF(BS_CONTROLE[[#This Row],[Entre - Estações]]=0, "-", BS_CONTROLE[[#This Row],[Entre - Estações]])</f>
        <v>TAL-TSF</v>
      </c>
      <c r="AN32" s="175">
        <f>IF(BS_CONTROLE[[#This Row],[SB]]=0, "-", BS_CONTROLE[[#This Row],[SB]])</f>
        <v>699710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700</v>
      </c>
      <c r="AQ32" s="177">
        <f>IF(BS_CONTROLE[[#This Row],[KM - Fim]]=0, "-", BS_CONTROLE[[#This Row],[KM - Fim]])</f>
        <v>703</v>
      </c>
      <c r="AR32" s="32"/>
      <c r="AS32" s="32"/>
      <c r="AT32" s="32"/>
      <c r="AU32" s="32"/>
      <c r="AV32" s="32"/>
      <c r="AW32" s="32"/>
      <c r="AX32" s="32"/>
      <c r="AY32" s="184">
        <f t="shared" si="2"/>
        <v>0</v>
      </c>
      <c r="AZ32" s="11"/>
      <c r="BA32" s="60"/>
      <c r="BB32" s="9" t="str">
        <f>IFERROR(_xlfn.XLOOKUP(AI32, BS_ATIVIDADE[ATIVIDADE],BS_ATIVIDADE[UNIDADE] ), "*")</f>
        <v>VAGÕES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 xml:space="preserve">Camila 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6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 hidden="1">
      <c r="A36" s="44" t="str">
        <f t="shared" si="1"/>
        <v>E4646057</v>
      </c>
      <c r="B36" s="133">
        <v>46057</v>
      </c>
      <c r="C36" s="7">
        <f>IF(BS_CONTROLE[[#This Row],[DATA]]="","",WEEKNUM(BS_CONTROLE[[#This Row],[DATA]]))</f>
        <v>6</v>
      </c>
      <c r="D36" s="45" t="s">
        <v>749</v>
      </c>
      <c r="E36" s="185">
        <v>29</v>
      </c>
      <c r="F36" s="134" t="s">
        <v>616</v>
      </c>
      <c r="G36" s="8" t="str">
        <f>IF(D36="","*",VLOOKUP(F36,BS_ATIVIDADE[#All],3,FALSE))</f>
        <v>OUTROS</v>
      </c>
      <c r="H36" s="135" t="s">
        <v>166</v>
      </c>
      <c r="I36" s="135" t="s">
        <v>54</v>
      </c>
      <c r="J36" s="151">
        <v>74</v>
      </c>
      <c r="K36" s="151">
        <v>291</v>
      </c>
      <c r="L36" s="71">
        <v>109.54</v>
      </c>
      <c r="M36" s="149" t="s">
        <v>1307</v>
      </c>
      <c r="N36" s="149" t="s">
        <v>1308</v>
      </c>
      <c r="O36" s="135">
        <v>0.41666666666666669</v>
      </c>
      <c r="P36" s="135">
        <v>4.1666666666666664E-2</v>
      </c>
      <c r="Q36" s="71">
        <v>1</v>
      </c>
      <c r="R36" s="9" t="str">
        <f>IFERROR(_xlfn.XLOOKUP(F36, BS_ATIVIDADE[ATIVIDADE],BS_ATIVIDADE[UNIDADE] ), "*")</f>
        <v>BINÁRIO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199" t="str">
        <f>IFERROR(_xlfn.XLOOKUP(J36, BASE_MAPA!$B$2:$B$408, BASE_MAPA!$G$2:$G$408), "ERRO")</f>
        <v>MARCO INICIAL - ALTO ARAGUAIA</v>
      </c>
      <c r="V36" s="143" t="s">
        <v>1284</v>
      </c>
      <c r="W36" s="135" t="s">
        <v>1254</v>
      </c>
      <c r="X36" s="152" t="s">
        <v>966</v>
      </c>
      <c r="Y36" s="129"/>
      <c r="Z36" s="129"/>
      <c r="AA36" s="71"/>
      <c r="AB36" s="59"/>
      <c r="AC36" s="59"/>
      <c r="AD36" s="135">
        <v>0.29166666666666669</v>
      </c>
      <c r="AE36" s="71">
        <v>9323</v>
      </c>
      <c r="AF36" s="71">
        <v>7636</v>
      </c>
      <c r="AG36" s="71"/>
      <c r="AH36" s="42"/>
      <c r="AI36" s="119" t="str">
        <f>IF(BS_CONTROLE[[#This Row],[Atividade]]=0, "-", BS_CONTROLE[[#This Row],[Atividade]])</f>
        <v>DESLOCAMENTO</v>
      </c>
      <c r="AJ36" s="8" t="str">
        <f>IF(D36="","*",VLOOKUP(AI36,BS_ATIVIDADE[#Data],3,FALSE))</f>
        <v>OUTROS</v>
      </c>
      <c r="AK36" s="175" t="str">
        <f>IF(BS_CONTROLE[[#This Row],[Local - Partida]]=0, "-", BS_CONTROLE[[#This Row],[Local - Partida]])</f>
        <v>TGR2</v>
      </c>
      <c r="AL36" s="175" t="str">
        <f>IF(BS_CONTROLE[[#This Row],[Local - Encerramento]]=0, "-", BS_CONTROLE[[#This Row],[Local - Encerramento]])</f>
        <v>TIN</v>
      </c>
      <c r="AM36" s="175" t="str">
        <f>IF(BS_CONTROLE[[#This Row],[Entre - Estações]]=0, "-", BS_CONTROLE[[#This Row],[Entre - Estações]])</f>
        <v>TGR-TIN</v>
      </c>
      <c r="AN36" s="175" t="str">
        <f>IF(BS_CONTROLE[[#This Row],[SB]]=0, "-", BS_CONTROLE[[#This Row],[SB]])</f>
        <v>TGRTIN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291</v>
      </c>
      <c r="AQ36" s="177">
        <f>IF(BS_CONTROLE[[#This Row],[KM - Fim]]=0, "-", BS_CONTROLE[[#This Row],[KM - Fim]])</f>
        <v>109.54</v>
      </c>
      <c r="AR36" s="32"/>
      <c r="AS36" s="32"/>
      <c r="AT36" s="32"/>
      <c r="AU36" s="32"/>
      <c r="AV36" s="32"/>
      <c r="AW36" s="32"/>
      <c r="AX36" s="32"/>
      <c r="AY36" s="184">
        <f t="shared" si="2"/>
        <v>0</v>
      </c>
      <c r="AZ36" s="11"/>
      <c r="BA36" s="60"/>
      <c r="BB36" s="9" t="str">
        <f>IFERROR(_xlfn.XLOOKUP(AI36, BS_ATIVIDADE[ATIVIDADE],BS_ATIVIDADE[UNIDADE] ), "*")</f>
        <v>BINÁRIO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200" t="str">
        <f>IFERROR(_xlfn.XLOOKUP(AO36, BASE_MAPA!$B$2:$B$408, BASE_MAPA!$G$2:$G$408), "ERRO")</f>
        <v>MARCO INICIAL - ALTO ARAGUAIA</v>
      </c>
      <c r="BF36" s="178" t="str">
        <f>IF(BS_CONTROLE[[#This Row],[Responsavel pelo boletim]]=0, "-", BS_CONTROLE[[#This Row],[Responsavel pelo boletim]])</f>
        <v xml:space="preserve">PCM 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Produção e Intervalo</v>
      </c>
      <c r="BR36" s="15">
        <f t="shared" si="4"/>
        <v>0</v>
      </c>
      <c r="BS36" s="15">
        <f t="shared" si="5"/>
        <v>0</v>
      </c>
      <c r="BT36" s="157" t="str">
        <f t="shared" si="6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 hidden="1">
      <c r="A39" s="44" t="str">
        <f t="shared" si="1"/>
        <v>MARCOS (TF-520)46057</v>
      </c>
      <c r="B39" s="133">
        <v>46057</v>
      </c>
      <c r="C39" s="7">
        <f>IF(BS_CONTROLE[[#This Row],[DATA]]="","",WEEKNUM(BS_CONTROLE[[#This Row],[DATA]]))</f>
        <v>6</v>
      </c>
      <c r="D39" s="45" t="s">
        <v>925</v>
      </c>
      <c r="E39" s="185">
        <v>32</v>
      </c>
      <c r="F39" s="134" t="s">
        <v>784</v>
      </c>
      <c r="G39" s="8" t="str">
        <f>IF(D39="","*",VLOOKUP(F39,BS_ATIVIDADE[#All],3,FALSE))</f>
        <v>SOLDA</v>
      </c>
      <c r="H39" s="135" t="s">
        <v>89</v>
      </c>
      <c r="I39" s="135" t="s">
        <v>602</v>
      </c>
      <c r="J39" s="151">
        <v>74</v>
      </c>
      <c r="K39" s="151">
        <v>280.5</v>
      </c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9" s="135">
        <v>0.375</v>
      </c>
      <c r="P39" s="135">
        <v>8.3333333333333329E-2</v>
      </c>
      <c r="Q39" s="71">
        <v>2</v>
      </c>
      <c r="R39" s="9" t="str">
        <f>IFERROR(_xlfn.XLOOKUP(F39, BS_ATIVIDADE[ATIVIDADE],BS_ATIVIDADE[UNIDADE] ), "*")</f>
        <v>Nº DE SOLDA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1257</v>
      </c>
      <c r="W39" s="135" t="s">
        <v>1277</v>
      </c>
      <c r="X39" s="152" t="s">
        <v>966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PDM - SOLDA</v>
      </c>
      <c r="AJ39" s="8" t="str">
        <f>IF(D39="","*",VLOOKUP(AI39,BS_ATIVIDADE[#Data],3,FALSE))</f>
        <v>SOLDA</v>
      </c>
      <c r="AK39" s="175" t="str">
        <f>IF(BS_CONTROLE[[#This Row],[Local - Partida]]=0, "-", BS_CONTROLE[[#This Row],[Local - Partida]])</f>
        <v>277TCS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TJA-TCS</v>
      </c>
      <c r="AN39" s="175" t="str">
        <f>IF(BS_CONTROLE[[#This Row],[SB]]=0, "-", BS_CONTROLE[[#This Row],[SB]])</f>
        <v>277TCS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280.5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>
        <f t="shared" si="2"/>
        <v>0</v>
      </c>
      <c r="AZ39" s="11"/>
      <c r="BA39" s="60"/>
      <c r="BB39" s="9" t="str">
        <f>IFERROR(_xlfn.XLOOKUP(AI39, BS_ATIVIDADE[ATIVIDADE],BS_ATIVIDADE[UNIDADE] ), "*")</f>
        <v>Nº DE SOLDA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Herbert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6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 hidden="1">
      <c r="A41" s="44" t="str">
        <f t="shared" si="1"/>
        <v>W5046057</v>
      </c>
      <c r="B41" s="133">
        <v>46057</v>
      </c>
      <c r="C41" s="7">
        <f>IF(BS_CONTROLE[[#This Row],[DATA]]="","",WEEKNUM(BS_CONTROLE[[#This Row],[DATA]]))</f>
        <v>6</v>
      </c>
      <c r="D41" s="45" t="s">
        <v>831</v>
      </c>
      <c r="E41" s="185">
        <v>34</v>
      </c>
      <c r="F41" s="134" t="s">
        <v>739</v>
      </c>
      <c r="G41" s="8" t="str">
        <f>IF(D41="","*",VLOOKUP(F41,BS_ATIVIDADE[#All],3,FALSE))</f>
        <v>MODERNIZAÇÃO</v>
      </c>
      <c r="H41" s="135" t="s">
        <v>92</v>
      </c>
      <c r="I41" s="135" t="s">
        <v>92</v>
      </c>
      <c r="J41" s="151">
        <v>74</v>
      </c>
      <c r="K41" s="151">
        <v>245</v>
      </c>
      <c r="L41" s="71">
        <v>244.2</v>
      </c>
      <c r="M41" s="149" t="s">
        <v>81</v>
      </c>
      <c r="N41" s="149">
        <v>239251</v>
      </c>
      <c r="O41" s="135">
        <v>0.35416666666666669</v>
      </c>
      <c r="P41" s="135">
        <v>0.16666666666666666</v>
      </c>
      <c r="Q41" s="71">
        <v>1000</v>
      </c>
      <c r="R41" s="9" t="s">
        <v>642</v>
      </c>
      <c r="S41" s="180" t="s">
        <v>8</v>
      </c>
      <c r="T41" s="180" t="s">
        <v>12</v>
      </c>
      <c r="U41" s="199" t="s">
        <v>11</v>
      </c>
      <c r="V41" s="143" t="s">
        <v>1288</v>
      </c>
      <c r="W41" s="135" t="s">
        <v>1289</v>
      </c>
      <c r="X41" s="152" t="s">
        <v>966</v>
      </c>
      <c r="Y41" s="129"/>
      <c r="Z41" s="129"/>
      <c r="AA41" s="71"/>
      <c r="AB41" s="59"/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RECOLHIMENTO DE DORMENTE</v>
      </c>
      <c r="AJ41" s="8" t="str">
        <f>IF(D41="","*",VLOOKUP(AI41,BS_ATIVIDADE[#Data],3,FALSE))</f>
        <v>MODERNIZAÇÃO</v>
      </c>
      <c r="AK41" s="175" t="str">
        <f>IF(BS_CONTROLE[[#This Row],[Local - Partida]]=0, "-", BS_CONTROLE[[#This Row],[Local - Partida]])</f>
        <v>TCS2</v>
      </c>
      <c r="AL41" s="175" t="str">
        <f>IF(BS_CONTROLE[[#This Row],[Local - Encerramento]]=0, "-", BS_CONTROLE[[#This Row],[Local - Encerramento]])</f>
        <v>TCS2</v>
      </c>
      <c r="AM41" s="175" t="str">
        <f>IF(BS_CONTROLE[[#This Row],[Entre - Estações]]=0, "-", BS_CONTROLE[[#This Row],[Entre - Estações]])</f>
        <v>TVI-TJA</v>
      </c>
      <c r="AN41" s="175">
        <f>IF(BS_CONTROLE[[#This Row],[SB]]=0, "-", BS_CONTROLE[[#This Row],[SB]])</f>
        <v>239251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245</v>
      </c>
      <c r="AQ41" s="177">
        <f>IF(BS_CONTROLE[[#This Row],[KM - Fim]]=0, "-", BS_CONTROLE[[#This Row],[KM - Fim]])</f>
        <v>244.2</v>
      </c>
      <c r="AR41" s="32"/>
      <c r="AS41" s="32"/>
      <c r="AT41" s="32"/>
      <c r="AU41" s="32"/>
      <c r="AV41" s="32"/>
      <c r="AW41" s="32"/>
      <c r="AX41" s="32"/>
      <c r="AY41" s="184">
        <f t="shared" si="2"/>
        <v>0</v>
      </c>
      <c r="AZ41" s="11"/>
      <c r="BA41" s="60"/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Produção e Intervalo</v>
      </c>
      <c r="BR41" s="15">
        <f t="shared" si="4"/>
        <v>0</v>
      </c>
      <c r="BS41" s="15">
        <f t="shared" si="5"/>
        <v>0</v>
      </c>
      <c r="BT41" s="157" t="str">
        <f t="shared" si="6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 hidden="1">
      <c r="A44" s="44" t="str">
        <f t="shared" si="1"/>
        <v>A6246057</v>
      </c>
      <c r="B44" s="133">
        <v>46057</v>
      </c>
      <c r="C44" s="7">
        <f>IF(BS_CONTROLE[[#This Row],[DATA]]="","",WEEKNUM(BS_CONTROLE[[#This Row],[DATA]]))</f>
        <v>6</v>
      </c>
      <c r="D44" s="45" t="s">
        <v>700</v>
      </c>
      <c r="E44" s="185">
        <v>37</v>
      </c>
      <c r="F44" s="134" t="s">
        <v>623</v>
      </c>
      <c r="G44" s="8" t="str">
        <f>IF(D44="","*",VLOOKUP(F44,BS_ATIVIDADE[#All],3,FALSE))</f>
        <v>DETECÇÃO</v>
      </c>
      <c r="H44" s="135" t="s">
        <v>1309</v>
      </c>
      <c r="I44" s="135" t="s">
        <v>92</v>
      </c>
      <c r="J44" s="151">
        <v>74</v>
      </c>
      <c r="K44" s="151">
        <v>1</v>
      </c>
      <c r="L44" s="71">
        <v>291</v>
      </c>
      <c r="M44" s="149" t="s">
        <v>12</v>
      </c>
      <c r="N44" s="149" t="s">
        <v>1310</v>
      </c>
      <c r="O44" s="135">
        <v>4.1666666666666664E-2</v>
      </c>
      <c r="P44" s="135">
        <v>0.375</v>
      </c>
      <c r="Q44" s="71">
        <v>280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1257</v>
      </c>
      <c r="W44" s="135" t="s">
        <v>1311</v>
      </c>
      <c r="X44" s="152" t="s">
        <v>966</v>
      </c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TMI</v>
      </c>
      <c r="AL44" s="175" t="str">
        <f>IF(BS_CONTROLE[[#This Row],[Local - Encerramento]]=0, "-", BS_CONTROLE[[#This Row],[Local - Encerramento]])</f>
        <v>TCS2</v>
      </c>
      <c r="AM44" s="175" t="str">
        <f>IF(BS_CONTROLE[[#This Row],[Entre - Estações]]=0, "-", BS_CONTROLE[[#This Row],[Entre - Estações]])</f>
        <v>TMI-TCS</v>
      </c>
      <c r="AN44" s="175" t="str">
        <f>IF(BS_CONTROLE[[#This Row],[SB]]=0, "-", BS_CONTROLE[[#This Row],[SB]])</f>
        <v>TMITCS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</v>
      </c>
      <c r="AQ44" s="177">
        <f>IF(BS_CONTROLE[[#This Row],[KM - Fim]]=0, "-", BS_CONTROLE[[#This Row],[KM - Fim]])</f>
        <v>291</v>
      </c>
      <c r="AR44" s="32"/>
      <c r="AS44" s="32"/>
      <c r="AT44" s="32"/>
      <c r="AU44" s="32"/>
      <c r="AV44" s="32"/>
      <c r="AW44" s="32"/>
      <c r="AX44" s="32"/>
      <c r="AY44" s="184">
        <f t="shared" si="2"/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Herbert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6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 hidden="1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 hidden="1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idden="1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idden="1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idden="1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idden="1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idden="1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idden="1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idden="1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idden="1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idden="1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idden="1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idden="1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idden="1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idden="1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idden="1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idden="1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idden="1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idden="1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idden="1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idden="1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 hidden="1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 hidden="1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idden="1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idden="1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idden="1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idden="1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idden="1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idden="1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idden="1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idden="1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idden="1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idden="1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idden="1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idden="1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idden="1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idden="1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idden="1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idden="1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idden="1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idden="1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idden="1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idden="1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idden="1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idden="1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idden="1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idden="1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idden="1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idden="1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idden="1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idden="1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idden="1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idden="1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idden="1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idden="1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idden="1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idden="1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idden="1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idden="1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idden="1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idden="1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idden="1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 hidden="1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idden="1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idden="1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idden="1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idden="1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idden="1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idden="1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idden="1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idden="1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idden="1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idden="1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idden="1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idden="1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idden="1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idden="1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idden="1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idden="1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idden="1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idden="1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idden="1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idden="1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idden="1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idden="1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idden="1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idden="1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idden="1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idden="1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idden="1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idden="1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idden="1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idden="1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idden="1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idden="1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idden="1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idden="1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 hidden="1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 hidden="1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 hidden="1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 hidden="1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 hidden="1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 hidden="1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 hidden="1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 hidden="1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 hidden="1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 hidden="1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 hidden="1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 hidden="1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 hidden="1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 hidden="1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 hidden="1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 hidden="1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 hidden="1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 hidden="1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 hidden="1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 hidden="1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 hidden="1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 hidden="1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 hidden="1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 hidden="1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 hidden="1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 hidden="1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 hidden="1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 hidden="1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 hidden="1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 hidden="1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 hidden="1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 hidden="1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 hidden="1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 hidden="1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 hidden="1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 hidden="1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 hidden="1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 hidden="1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 hidden="1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 hidden="1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 hidden="1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 hidden="1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 hidden="1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 hidden="1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 hidden="1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 hidden="1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 hidden="1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 hidden="1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 hidden="1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 hidden="1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 hidden="1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 hidden="1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 hidden="1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 hidden="1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 hidden="1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 hidden="1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 hidden="1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 hidden="1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 hidden="1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 hidden="1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 hidden="1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 hidden="1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 hidden="1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 hidden="1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 hidden="1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 hidden="1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 hidden="1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 hidden="1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 hidden="1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 hidden="1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 hidden="1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 hidden="1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 hidden="1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 hidden="1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 hidden="1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 hidden="1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 hidden="1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 hidden="1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 hidden="1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 hidden="1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 hidden="1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 hidden="1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 hidden="1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 hidden="1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 hidden="1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 hidden="1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 hidden="1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 hidden="1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 hidden="1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 hidden="1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 hidden="1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 hidden="1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 hidden="1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 hidden="1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 hidden="1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 hidden="1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 hidden="1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 hidden="1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 hidden="1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 hidden="1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 hidden="1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 hidden="1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 hidden="1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 hidden="1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 hidden="1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 hidden="1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idden="1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idden="1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idden="1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idden="1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idden="1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idden="1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idden="1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idden="1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idden="1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idden="1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idden="1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idden="1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idden="1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idden="1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idden="1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idden="1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idden="1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idden="1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idden="1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idden="1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idden="1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idden="1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idden="1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 hidden="1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 hidden="1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 hidden="1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 hidden="1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 hidden="1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 hidden="1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 hidden="1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 hidden="1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 hidden="1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 hidden="1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 hidden="1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 hidden="1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 hidden="1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 hidden="1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 hidden="1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 hidden="1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 hidden="1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 hidden="1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 hidden="1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 hidden="1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 hidden="1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 hidden="1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 hidden="1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 hidden="1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 hidden="1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Y6:Y7 V8:Y802" name="Range1_11_1"/>
    <protectedRange sqref="AA6 Z8:AD802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 BK17 BK22:BK23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16 BK13 BK9:BK11 BK24:BK802 BK18:BK21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1312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1313</v>
      </c>
      <c r="E3" s="186" t="s">
        <v>1314</v>
      </c>
      <c r="F3" s="186" t="s">
        <v>1315</v>
      </c>
      <c r="G3" s="186" t="s">
        <v>1316</v>
      </c>
      <c r="H3" s="186" t="s">
        <v>1317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1318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1319</v>
      </c>
      <c r="D10" s="187">
        <v>9049</v>
      </c>
      <c r="E10" s="188">
        <v>46044</v>
      </c>
      <c r="F10" s="187" t="s">
        <v>1320</v>
      </c>
      <c r="G10" s="187" t="s">
        <v>1321</v>
      </c>
      <c r="H10" s="187"/>
    </row>
    <row r="11" spans="3:8">
      <c r="C11" s="187" t="s">
        <v>1319</v>
      </c>
      <c r="D11" s="187">
        <v>9044</v>
      </c>
      <c r="E11" s="188">
        <v>46044</v>
      </c>
      <c r="F11" s="187" t="s">
        <v>1322</v>
      </c>
      <c r="G11" s="187" t="s">
        <v>1323</v>
      </c>
      <c r="H11" s="187"/>
    </row>
    <row r="12" spans="3:8">
      <c r="C12" s="187" t="s">
        <v>1319</v>
      </c>
      <c r="D12" s="187">
        <v>762</v>
      </c>
      <c r="E12" s="188">
        <v>46044</v>
      </c>
      <c r="F12" s="187" t="s">
        <v>1324</v>
      </c>
      <c r="G12" s="187" t="s">
        <v>1323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1325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1326</v>
      </c>
      <c r="C4" s="191" t="s">
        <v>1327</v>
      </c>
      <c r="D4" s="191" t="s">
        <v>1328</v>
      </c>
      <c r="E4" s="191" t="s">
        <v>1329</v>
      </c>
      <c r="F4" s="191" t="s">
        <v>4</v>
      </c>
      <c r="G4" s="191" t="s">
        <v>1330</v>
      </c>
    </row>
    <row r="5" spans="2:7">
      <c r="B5" s="192" t="s">
        <v>1331</v>
      </c>
      <c r="C5" s="192">
        <v>309525</v>
      </c>
      <c r="D5" s="192" t="s">
        <v>1332</v>
      </c>
      <c r="E5" s="192" t="s">
        <v>840</v>
      </c>
      <c r="F5" s="192" t="s">
        <v>1333</v>
      </c>
      <c r="G5" s="193">
        <v>46296</v>
      </c>
    </row>
    <row r="6" spans="2:7">
      <c r="B6" s="192" t="s">
        <v>1334</v>
      </c>
      <c r="C6" s="192">
        <v>257410</v>
      </c>
      <c r="D6" s="192" t="s">
        <v>1335</v>
      </c>
      <c r="E6" s="192" t="s">
        <v>840</v>
      </c>
      <c r="F6" s="192" t="s">
        <v>1333</v>
      </c>
      <c r="G6" s="193"/>
    </row>
    <row r="7" spans="2:7">
      <c r="B7" s="192" t="s">
        <v>1336</v>
      </c>
      <c r="C7" s="192">
        <v>256875</v>
      </c>
      <c r="D7" s="192" t="s">
        <v>1337</v>
      </c>
      <c r="E7" s="192" t="s">
        <v>840</v>
      </c>
      <c r="F7" s="192" t="s">
        <v>1333</v>
      </c>
      <c r="G7" s="193">
        <v>46296</v>
      </c>
    </row>
    <row r="8" spans="2:7">
      <c r="B8" s="192" t="s">
        <v>1338</v>
      </c>
      <c r="C8" s="192">
        <v>257278</v>
      </c>
      <c r="D8" s="192" t="s">
        <v>1339</v>
      </c>
      <c r="E8" s="192" t="s">
        <v>831</v>
      </c>
      <c r="F8" s="192" t="s">
        <v>1340</v>
      </c>
      <c r="G8" s="193">
        <v>46235</v>
      </c>
    </row>
    <row r="9" spans="2:7">
      <c r="B9" s="192" t="s">
        <v>1341</v>
      </c>
      <c r="C9" s="192">
        <v>261794</v>
      </c>
      <c r="D9" s="192" t="s">
        <v>1342</v>
      </c>
      <c r="E9" s="192" t="s">
        <v>831</v>
      </c>
      <c r="F9" s="192" t="s">
        <v>1340</v>
      </c>
      <c r="G9" s="193">
        <v>46082</v>
      </c>
    </row>
    <row r="10" spans="2:7">
      <c r="B10" s="192" t="s">
        <v>1343</v>
      </c>
      <c r="C10" s="192">
        <v>257033</v>
      </c>
      <c r="D10" s="192" t="s">
        <v>1344</v>
      </c>
      <c r="E10" s="192" t="s">
        <v>831</v>
      </c>
      <c r="F10" s="192" t="s">
        <v>21</v>
      </c>
      <c r="G10" s="192" t="s">
        <v>1345</v>
      </c>
    </row>
    <row r="11" spans="2:7">
      <c r="B11" s="192" t="s">
        <v>1346</v>
      </c>
      <c r="C11" s="192">
        <v>396578</v>
      </c>
      <c r="D11" s="192" t="s">
        <v>1347</v>
      </c>
      <c r="E11" s="192" t="s">
        <v>831</v>
      </c>
      <c r="F11" s="192" t="s">
        <v>21</v>
      </c>
      <c r="G11" s="192" t="s">
        <v>1345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A2" sqref="A2:T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1348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1349</v>
      </c>
      <c r="B2" s="91" t="s">
        <v>1350</v>
      </c>
      <c r="C2" s="91" t="s">
        <v>598</v>
      </c>
      <c r="D2" s="92" t="s">
        <v>1172</v>
      </c>
      <c r="E2" s="92" t="s">
        <v>4</v>
      </c>
      <c r="F2" s="92" t="s">
        <v>1351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1352</v>
      </c>
      <c r="T2" s="94" t="s">
        <v>1175</v>
      </c>
      <c r="U2" s="90">
        <f ca="1">TODAY()-1</f>
        <v>46055</v>
      </c>
      <c r="V2" s="90">
        <f ca="1">U2-1</f>
        <v>46054</v>
      </c>
      <c r="W2" s="90">
        <f ca="1">V2-1</f>
        <v>46053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TSF-TRO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</v>
      </c>
      <c r="L8" s="196" t="str">
        <f>IF(FN_MC!N11="","*",FN_MC!N11)</f>
        <v>TBS1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0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2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POV-PJA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>
        <f ca="1">_xlfn.XLOOKUP(G13&amp;$U$2,BS_CONTROLE[CHAVE],BS_CONTROLE[Quantidade_11],"-")</f>
        <v>8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TSF-TRO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2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POU-K29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>
        <f>IF(FN_MC!B30="","*",FN_MC!B30)</f>
        <v>46057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W70</v>
      </c>
      <c r="H29" s="96" t="str">
        <f>IF(FN_MC!F32="","*",FN_MC!F32)</f>
        <v>PDM - PEDRA - DESCARGA</v>
      </c>
      <c r="I29" s="96" t="str">
        <f>IF(FN_MC!H32="","*",FN_MC!H32)</f>
        <v>TIQ2</v>
      </c>
      <c r="J29" s="96" t="str">
        <f>IF(FN_MC!I32="","*",FN_MC!I32)</f>
        <v>TGR2</v>
      </c>
      <c r="K29" s="96" t="str">
        <f>IF(FN_MC!M32="","*",FN_MC!M32)</f>
        <v>TAL-TSF</v>
      </c>
      <c r="L29" s="196">
        <f>IF(FN_MC!N32="","*",FN_MC!N32)</f>
        <v>699710</v>
      </c>
      <c r="M29" s="97">
        <f>IF(FN_MC!J32="","*",FN_MC!J32)</f>
        <v>98</v>
      </c>
      <c r="N29" s="183">
        <f>IF(FN_MC!K32="","*",FN_MC!K32)</f>
        <v>700</v>
      </c>
      <c r="O29" s="183">
        <f>IF(FN_MC!L32="","*",FN_MC!L32)</f>
        <v>703</v>
      </c>
      <c r="P29" s="107">
        <f>IF(FN_MC!O32="","*",FN_MC!O32)</f>
        <v>0.41666666666666669</v>
      </c>
      <c r="Q29" s="107">
        <f>IF(FN_MC!P32="","*",FN_MC!P32)</f>
        <v>0.125</v>
      </c>
      <c r="R29" s="96" t="str">
        <f>IF(FN_MC!Q32="","*",CONCATENATE(FN_MC!Q32," ",FN_MC!R32))</f>
        <v>27 VAGÕES</v>
      </c>
      <c r="S29" s="96" t="str">
        <f>IF(FN_MC!V32="","*",FN_MC!V32)</f>
        <v xml:space="preserve">Camila </v>
      </c>
      <c r="T29" s="96" t="str">
        <f>IF(FN_MC!W32="","*",FN_MC!W32)</f>
        <v xml:space="preserve">Descarga de pedra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TCS-TGR</v>
      </c>
      <c r="F33" s="96">
        <f>IF(FN_MC!B36="","*",FN_MC!B36)</f>
        <v>46057</v>
      </c>
      <c r="G33" s="96" t="str">
        <f>IF(FN_MC!D36="","*",FN_MC!D36)</f>
        <v>E46</v>
      </c>
      <c r="H33" s="96" t="str">
        <f>IF(FN_MC!F36="","*",FN_MC!F36)</f>
        <v>DESLOCAMENTO</v>
      </c>
      <c r="I33" s="96" t="str">
        <f>IF(FN_MC!H36="","*",FN_MC!H36)</f>
        <v>TGR2</v>
      </c>
      <c r="J33" s="96" t="str">
        <f>IF(FN_MC!I36="","*",FN_MC!I36)</f>
        <v>TIN</v>
      </c>
      <c r="K33" s="96" t="str">
        <f>IF(FN_MC!M36="","*",FN_MC!M36)</f>
        <v>TGR-TIN</v>
      </c>
      <c r="L33" s="196" t="str">
        <f>IF(FN_MC!N36="","*",FN_MC!N36)</f>
        <v>TGRTIN</v>
      </c>
      <c r="M33" s="97">
        <f>IF(FN_MC!J36="","*",FN_MC!J36)</f>
        <v>74</v>
      </c>
      <c r="N33" s="183">
        <f>IF(FN_MC!K36="","*",FN_MC!K36)</f>
        <v>291</v>
      </c>
      <c r="O33" s="183">
        <f>IF(FN_MC!L36="","*",FN_MC!L36)</f>
        <v>109.54</v>
      </c>
      <c r="P33" s="107">
        <f>IF(FN_MC!O36="","*",FN_MC!O36)</f>
        <v>0.41666666666666669</v>
      </c>
      <c r="Q33" s="107">
        <f>IF(FN_MC!P36="","*",FN_MC!P36)</f>
        <v>4.1666666666666664E-2</v>
      </c>
      <c r="R33" s="96" t="str">
        <f>IF(FN_MC!Q36="","*",CONCATENATE(FN_MC!Q36," ",FN_MC!R36))</f>
        <v>1 BINÁRIO</v>
      </c>
      <c r="S33" s="96" t="str">
        <f>IF(FN_MC!V36="","*",FN_MC!V36)</f>
        <v xml:space="preserve">PCM </v>
      </c>
      <c r="T33" s="96" t="str">
        <f>IF(FN_MC!W36="","*",FN_MC!W36)</f>
        <v>Deslocamento de TAG para abastecer no TOM e seguir para TIN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*</v>
      </c>
      <c r="C35" s="95" t="str">
        <f>IF(FN_MC!Z38="","*",FN_MC!Z38)</f>
        <v>*</v>
      </c>
      <c r="D35" s="96" t="str">
        <f>IF(FN_MC!S38="","*",FN_MC!S38)</f>
        <v>-</v>
      </c>
      <c r="E35" s="96" t="str">
        <f>IF(FN_MC!T38="","*",FN_MC!T38)</f>
        <v>-</v>
      </c>
      <c r="F35" s="96" t="str">
        <f>IF(FN_MC!B38="","*",FN_MC!B38)</f>
        <v>*</v>
      </c>
      <c r="G35" s="96" t="str">
        <f>IF(FN_MC!D38="","*",FN_MC!D38)</f>
        <v>*</v>
      </c>
      <c r="H35" s="96" t="str">
        <f>IF(FN_MC!F38="","*",FN_MC!F38)</f>
        <v>*</v>
      </c>
      <c r="I35" s="96" t="str">
        <f>IF(FN_MC!H38="","*",FN_MC!H38)</f>
        <v>*</v>
      </c>
      <c r="J35" s="96" t="str">
        <f>IF(FN_MC!I38="","*",FN_MC!I38)</f>
        <v>*</v>
      </c>
      <c r="K35" s="96" t="str">
        <f>IF(FN_MC!M38="","*",FN_MC!M38)</f>
        <v>-</v>
      </c>
      <c r="L35" s="196" t="str">
        <f>IF(FN_MC!N38="","*",FN_MC!N38)</f>
        <v>-</v>
      </c>
      <c r="M35" s="97" t="str">
        <f>IF(FN_MC!J38="","*",FN_MC!J38)</f>
        <v>*</v>
      </c>
      <c r="N35" s="183" t="str">
        <f>IF(FN_MC!K38="","*",FN_MC!K38)</f>
        <v>*</v>
      </c>
      <c r="O35" s="183" t="str">
        <f>IF(FN_MC!L38="","*",FN_MC!L38)</f>
        <v>-</v>
      </c>
      <c r="P35" s="107" t="str">
        <f>IF(FN_MC!O38="","*",FN_MC!O38)</f>
        <v>*</v>
      </c>
      <c r="Q35" s="107" t="str">
        <f>IF(FN_MC!P38="","*",FN_MC!P38)</f>
        <v>*</v>
      </c>
      <c r="R35" s="96" t="str">
        <f>IF(FN_MC!Q38="","*",CONCATENATE(FN_MC!Q38," ",FN_MC!R38))</f>
        <v>*</v>
      </c>
      <c r="S35" s="96" t="str">
        <f>IF(FN_MC!V38="","*",FN_MC!V38)</f>
        <v>*</v>
      </c>
      <c r="T35" s="96" t="str">
        <f>IF(FN_MC!W38="","*",FN_MC!W38)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46057</v>
      </c>
      <c r="G36" s="96" t="str">
        <f>IF(FN_MC!D39="","*",FN_MC!D39)</f>
        <v>MARCOS (TF-520)</v>
      </c>
      <c r="H36" s="96" t="str">
        <f>IF(FN_MC!F39="","*",FN_MC!F39)</f>
        <v>PDM - SOLDA</v>
      </c>
      <c r="I36" s="96" t="str">
        <f>IF(FN_MC!H39="","*",FN_MC!H39)</f>
        <v>277TCS</v>
      </c>
      <c r="J36" s="96" t="str">
        <f>IF(FN_MC!I39="","*",FN_MC!I39)</f>
        <v>-</v>
      </c>
      <c r="K36" s="96" t="str">
        <f>IF(FN_MC!M39="","*",FN_MC!M39)</f>
        <v>TJA-TCS</v>
      </c>
      <c r="L36" s="196" t="str">
        <f>IF(FN_MC!N39="","*",FN_MC!N39)</f>
        <v>277TCS</v>
      </c>
      <c r="M36" s="97">
        <f>IF(FN_MC!J39="","*",FN_MC!J39)</f>
        <v>74</v>
      </c>
      <c r="N36" s="183">
        <f>IF(FN_MC!K39="","*",FN_MC!K39)</f>
        <v>280.5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8.3333333333333329E-2</v>
      </c>
      <c r="R36" s="96" t="str">
        <f>IF(FN_MC!Q39="","*",CONCATENATE(FN_MC!Q39," ",FN_MC!R39))</f>
        <v>2 Nº DE SOLDA</v>
      </c>
      <c r="S36" s="96" t="str">
        <f>IF(FN_MC!V39="","*",FN_MC!V39)</f>
        <v>Herbert</v>
      </c>
      <c r="T36" s="96" t="str">
        <f>IF(FN_MC!W39="","*",FN_MC!W39)</f>
        <v xml:space="preserve">Execução de solda - Condicionado a temperatura </v>
      </c>
      <c r="U36" s="98">
        <f ca="1">_xlfn.XLOOKUP(G36&amp;$U$2,BS_CONTROLE[CHAVE],BS_CONTROLE[Quantidade_11],"-")</f>
        <v>2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46057</v>
      </c>
      <c r="G38" s="96" t="str">
        <f>IF(FN_MC!D41="","*",FN_MC!D41)</f>
        <v>W50</v>
      </c>
      <c r="H38" s="96" t="str">
        <f>IF(FN_MC!F41="","*",FN_MC!F41)</f>
        <v>MODERNIZAÇÃO - RECOLHIMENTO DE DORMENTE</v>
      </c>
      <c r="I38" s="96" t="str">
        <f>IF(FN_MC!H41="","*",FN_MC!H41)</f>
        <v>TCS2</v>
      </c>
      <c r="J38" s="96" t="str">
        <f>IF(FN_MC!I41="","*",FN_MC!I41)</f>
        <v>TCS2</v>
      </c>
      <c r="K38" s="96" t="str">
        <f>IF(FN_MC!M41="","*",FN_MC!M41)</f>
        <v>TVI-TJA</v>
      </c>
      <c r="L38" s="196">
        <f>IF(FN_MC!N41="","*",FN_MC!N41)</f>
        <v>239251</v>
      </c>
      <c r="M38" s="97">
        <f>IF(FN_MC!J41="","*",FN_MC!J41)</f>
        <v>74</v>
      </c>
      <c r="N38" s="183">
        <f>IF(FN_MC!K41="","*",FN_MC!K41)</f>
        <v>245</v>
      </c>
      <c r="O38" s="183">
        <f>IF(FN_MC!L41="","*",FN_MC!L41)</f>
        <v>244.2</v>
      </c>
      <c r="P38" s="107">
        <f>IF(FN_MC!O41="","*",FN_MC!O41)</f>
        <v>0.35416666666666669</v>
      </c>
      <c r="Q38" s="107">
        <f>IF(FN_MC!P41="","*",FN_MC!P41)</f>
        <v>0.16666666666666666</v>
      </c>
      <c r="R38" s="96" t="str">
        <f>IF(FN_MC!Q41="","*",CONCATENATE(FN_MC!Q41," ",FN_MC!R41))</f>
        <v>1000 Nº DE DORMENTES</v>
      </c>
      <c r="S38" s="96" t="str">
        <f>IF(FN_MC!V41="","*",FN_MC!V41)</f>
        <v>Augusto</v>
      </c>
      <c r="T38" s="96" t="str">
        <f>IF(FN_MC!W41="","*",FN_MC!W41)</f>
        <v>Recolhimento de dormentes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46057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TMI</v>
      </c>
      <c r="J41" s="96" t="str">
        <f>IF(FN_MC!I44="","*",FN_MC!I44)</f>
        <v>TCS2</v>
      </c>
      <c r="K41" s="96" t="str">
        <f>IF(FN_MC!M44="","*",FN_MC!M44)</f>
        <v>TMI-TCS</v>
      </c>
      <c r="L41" s="196" t="str">
        <f>IF(FN_MC!N44="","*",FN_MC!N44)</f>
        <v>TMITCS</v>
      </c>
      <c r="M41" s="97">
        <f>IF(FN_MC!J44="","*",FN_MC!J44)</f>
        <v>74</v>
      </c>
      <c r="N41" s="183">
        <f>IF(FN_MC!K44="","*",FN_MC!K44)</f>
        <v>1</v>
      </c>
      <c r="O41" s="183">
        <f>IF(FN_MC!L44="","*",FN_MC!L44)</f>
        <v>291</v>
      </c>
      <c r="P41" s="107">
        <f>IF(FN_MC!O44="","*",FN_MC!O44)</f>
        <v>4.1666666666666664E-2</v>
      </c>
      <c r="Q41" s="107">
        <f>IF(FN_MC!P44="","*",FN_MC!P44)</f>
        <v>0.375</v>
      </c>
      <c r="R41" s="96" t="str">
        <f>IF(FN_MC!Q44="","*",CONCATENATE(FN_MC!Q44," ",FN_MC!R44))</f>
        <v>280 KM</v>
      </c>
      <c r="S41" s="96" t="str">
        <f>IF(FN_MC!V44="","*",FN_MC!V44)</f>
        <v>Herbert</v>
      </c>
      <c r="T41" s="96" t="str">
        <f>IF(FN_MC!W44="","*",FN_MC!W44)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2" day="3" dateTimeGrouping="day"/>
      </filters>
    </filterColumn>
    <filterColumn colId="6">
      <filters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1353</v>
      </c>
      <c r="C2" s="83" t="s">
        <v>1157</v>
      </c>
      <c r="D2" s="83" t="s">
        <v>1159</v>
      </c>
      <c r="E2" s="83" t="s">
        <v>1354</v>
      </c>
      <c r="F2" s="83" t="s">
        <v>1355</v>
      </c>
      <c r="G2" s="83" t="s">
        <v>1356</v>
      </c>
      <c r="H2" s="83" t="s">
        <v>1357</v>
      </c>
      <c r="I2" s="83" t="s">
        <v>1358</v>
      </c>
      <c r="J2" s="83" t="s">
        <v>1359</v>
      </c>
      <c r="K2" s="109" t="s">
        <v>1360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POV-PJA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TSF-TRO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POU-K29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>
        <f>IF(FN_MC!B30="","*",FN_MC!B30)</f>
        <v>46057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W70</v>
      </c>
      <c r="E27" s="101" t="str">
        <f>IF(FN_MC!H32="","*",FN_MC!H32)</f>
        <v>TIQ2</v>
      </c>
      <c r="F27" s="114" t="str">
        <f>IF(FN_MC!M32="","*",FN_MC!M32)</f>
        <v>TAL-TSF</v>
      </c>
      <c r="G27" s="101" t="str">
        <f>IF(FN_MC!I32="","*",FN_MC!I32)</f>
        <v>TGR2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 hidden="1">
      <c r="B31" s="100" t="str">
        <f>IF(FN_MC!Y36="","*",FN_MC!Y36)</f>
        <v>*</v>
      </c>
      <c r="C31" s="101">
        <f>IF(FN_MC!B36="","*",FN_MC!B36)</f>
        <v>46057</v>
      </c>
      <c r="D31" s="101" t="str">
        <f>IF(FN_MC!D36="","*",FN_MC!D36)</f>
        <v>E46</v>
      </c>
      <c r="E31" s="101" t="str">
        <f>IF(FN_MC!H36="","*",FN_MC!H36)</f>
        <v>TGR2</v>
      </c>
      <c r="F31" s="114" t="str">
        <f>IF(FN_MC!M36="","*",FN_MC!M36)</f>
        <v>TGR-TIN</v>
      </c>
      <c r="G31" s="101" t="str">
        <f>IF(FN_MC!I36="","*",FN_MC!I36)</f>
        <v>TIN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>
        <f>IF(FN_MC!AD36="","*",FN_MC!AD36)</f>
        <v>0.29166666666666669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MARCOS (TF-520)</v>
      </c>
      <c r="E34" s="101" t="str">
        <f>IF(FN_MC!H39="","*",FN_MC!H39)</f>
        <v>277TCS</v>
      </c>
      <c r="F34" s="114" t="str">
        <f>IF(FN_MC!M39="","*",FN_MC!M39)</f>
        <v>TJA-TCS</v>
      </c>
      <c r="G34" s="101" t="str">
        <f>IF(FN_MC!I39="","*",FN_MC!I39)</f>
        <v>-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*</v>
      </c>
      <c r="C36" s="101">
        <f>IF(FN_MC!B41="","*",FN_MC!B41)</f>
        <v>46057</v>
      </c>
      <c r="D36" s="101" t="str">
        <f>IF(FN_MC!D41="","*",FN_MC!D41)</f>
        <v>W50</v>
      </c>
      <c r="E36" s="101" t="str">
        <f>IF(FN_MC!H41="","*",FN_MC!H41)</f>
        <v>TCS2</v>
      </c>
      <c r="F36" s="114" t="str">
        <f>IF(FN_MC!M41="","*",FN_MC!M41)</f>
        <v>TVI-TJA</v>
      </c>
      <c r="G36" s="101" t="str">
        <f>IF(FN_MC!I41="","*",FN_MC!I41)</f>
        <v>TCS2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>
        <f>IF(FN_MC!AD41="","*",FN_MC!AD41)</f>
        <v>0.29166666666666669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*</v>
      </c>
      <c r="C39" s="101">
        <f>IF(FN_MC!B44="","*",FN_MC!B44)</f>
        <v>46057</v>
      </c>
      <c r="D39" s="101" t="str">
        <f>IF(FN_MC!D44="","*",FN_MC!D44)</f>
        <v>A62</v>
      </c>
      <c r="E39" s="101" t="str">
        <f>IF(FN_MC!H44="","*",FN_MC!H44)</f>
        <v>TMI</v>
      </c>
      <c r="F39" s="114" t="str">
        <f>IF(FN_MC!M44="","*",FN_MC!M44)</f>
        <v>TMI-TCS</v>
      </c>
      <c r="G39" s="101" t="str">
        <f>IF(FN_MC!I44="","*",FN_MC!I44)</f>
        <v>TCS2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1361</v>
      </c>
      <c r="D5" s="263"/>
      <c r="E5" s="263"/>
      <c r="F5" s="263"/>
      <c r="G5" s="263"/>
      <c r="H5" s="263"/>
      <c r="I5" s="263"/>
      <c r="J5" s="264"/>
      <c r="K5" s="265" t="s">
        <v>1362</v>
      </c>
      <c r="L5" s="266"/>
      <c r="M5" s="266"/>
      <c r="N5" s="266"/>
      <c r="O5" s="267" t="s">
        <v>1363</v>
      </c>
      <c r="P5" s="268"/>
      <c r="Q5" s="269"/>
    </row>
    <row r="6" spans="1:17" s="81" customFormat="1" ht="15.75" customHeight="1">
      <c r="A6" s="75" t="s">
        <v>1351</v>
      </c>
      <c r="B6" s="82" t="s">
        <v>1350</v>
      </c>
      <c r="C6" s="83" t="s">
        <v>1172</v>
      </c>
      <c r="D6" s="84" t="s">
        <v>1173</v>
      </c>
      <c r="E6" s="83" t="s">
        <v>1364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1365</v>
      </c>
      <c r="M6" s="116" t="s">
        <v>620</v>
      </c>
      <c r="N6" s="117" t="s">
        <v>1167</v>
      </c>
      <c r="O6" s="165" t="s">
        <v>1210</v>
      </c>
      <c r="P6" s="128"/>
      <c r="Q6" s="139" t="s">
        <v>1366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POV-PJA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POV-PJA</v>
      </c>
      <c r="M15" s="118">
        <f>IF(FN_MC!AP16="","*",FN_MC!AP16)</f>
        <v>1494</v>
      </c>
      <c r="N15" s="118" t="str">
        <f>IF(FN_MC!AM16="","*",FN_MC!AM16)</f>
        <v>POV-PJA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TSF-TRO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TSF-TRO</v>
      </c>
      <c r="M16" s="118">
        <f>IF(FN_MC!AP17="","*",FN_MC!AP17)</f>
        <v>723</v>
      </c>
      <c r="N16" s="118" t="str">
        <f>IF(FN_MC!AM17="","*",FN_MC!AM17)</f>
        <v>TSF-TRO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1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1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1</v>
      </c>
      <c r="P20" s="78"/>
      <c r="Q20" s="120" t="str">
        <f>IF($A$2=1,IF(FN_MC!BJ21="","*",FN_MC!BJ21),IF(FN_MC!BK21="","*",FN_MC!BK21))</f>
        <v>Após o I85 irá tentar oportunidade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1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POU-K29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POU-K29</v>
      </c>
      <c r="M25" s="118">
        <f>IF(FN_MC!AP26="","*",FN_MC!AP26)</f>
        <v>2137</v>
      </c>
      <c r="N25" s="118" t="str">
        <f>IF(FN_MC!AM26="","*",FN_MC!AM26)</f>
        <v>POU-K29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1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>
        <f>IF(FN_MC!B30="","*",FN_MC!B30)</f>
        <v>46057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>
        <f>IF(FN_MC!B32="","*",FN_MC!B32)</f>
        <v>46057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W70</v>
      </c>
      <c r="F31" s="87" t="str">
        <f>IF(FN_MC!H32="","*",FN_MC!H32)</f>
        <v>TIQ2</v>
      </c>
      <c r="G31" s="87" t="str">
        <f>IF(FN_MC!M32="","*",FN_MC!M32)</f>
        <v>TAL-TSF</v>
      </c>
      <c r="H31" s="125">
        <f>IF(FN_MC!K32="","*",FN_MC!K32)</f>
        <v>700</v>
      </c>
      <c r="I31" s="110">
        <f>IF(FN_MC!O32="","*",FN_MC!O32)</f>
        <v>0.41666666666666669</v>
      </c>
      <c r="J31" s="110">
        <f>IF(FN_MC!P32="","*",FN_MC!P32)</f>
        <v>0.125</v>
      </c>
      <c r="K31" s="118" t="str">
        <f>IF(FN_MC!AK32="","*",FN_MC!AK32)</f>
        <v>TIQ2</v>
      </c>
      <c r="L31" s="118" t="str">
        <f>IF(FN_MC!AM32="","*",FN_MC!AM32)</f>
        <v>TAL-TSF</v>
      </c>
      <c r="M31" s="118">
        <f>IF(FN_MC!AP32="","*",FN_MC!AP32)</f>
        <v>700</v>
      </c>
      <c r="N31" s="118" t="str">
        <f>IF(FN_MC!AM32="","*",FN_MC!AM32)</f>
        <v>TAL-TSF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>
        <f>IF(FN_MC!B36="","*",FN_MC!B36)</f>
        <v>46057</v>
      </c>
      <c r="B35" s="86" t="str">
        <f>IF(FN_MC!X36="","*",FN_MC!X36)</f>
        <v>Oportunidade</v>
      </c>
      <c r="C35" s="87" t="str">
        <f>IF(FN_MC!S36="","*",FN_MC!S36)</f>
        <v>FERRONORTE</v>
      </c>
      <c r="D35" s="87" t="str">
        <f>IF(FN_MC!T36="","*",FN_MC!T36)</f>
        <v>TCS-TGR</v>
      </c>
      <c r="E35" s="87" t="str">
        <f>IF(FN_MC!D36="","*",FN_MC!D36)</f>
        <v>E46</v>
      </c>
      <c r="F35" s="87" t="str">
        <f>IF(FN_MC!H36="","*",FN_MC!H36)</f>
        <v>TGR2</v>
      </c>
      <c r="G35" s="87" t="str">
        <f>IF(FN_MC!M36="","*",FN_MC!M36)</f>
        <v>TGR-TIN</v>
      </c>
      <c r="H35" s="125">
        <f>IF(FN_MC!K36="","*",FN_MC!K36)</f>
        <v>291</v>
      </c>
      <c r="I35" s="110">
        <f>IF(FN_MC!O36="","*",FN_MC!O36)</f>
        <v>0.41666666666666669</v>
      </c>
      <c r="J35" s="110">
        <f>IF(FN_MC!P36="","*",FN_MC!P36)</f>
        <v>4.1666666666666664E-2</v>
      </c>
      <c r="K35" s="118" t="str">
        <f>IF(FN_MC!AK36="","*",FN_MC!AK36)</f>
        <v>TGR2</v>
      </c>
      <c r="L35" s="118" t="str">
        <f>IF(FN_MC!AM36="","*",FN_MC!AM36)</f>
        <v>TGR-TIN</v>
      </c>
      <c r="M35" s="118">
        <f>IF(FN_MC!AP36="","*",FN_MC!AP36)</f>
        <v>291</v>
      </c>
      <c r="N35" s="118" t="str">
        <f>IF(FN_MC!AM36="","*",FN_MC!AM36)</f>
        <v>TGR-TIN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>
        <f>IF(FN_MC!B39="","*",FN_MC!B39)</f>
        <v>46057</v>
      </c>
      <c r="B38" s="86" t="str">
        <f>IF(FN_MC!X39="","*",FN_MC!X39)</f>
        <v>Oportunidade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MARCOS (TF-520)</v>
      </c>
      <c r="F38" s="87" t="str">
        <f>IF(FN_MC!H39="","*",FN_MC!H39)</f>
        <v>277TCS</v>
      </c>
      <c r="G38" s="87" t="str">
        <f>IF(FN_MC!M39="","*",FN_MC!M39)</f>
        <v>TJA-TCS</v>
      </c>
      <c r="H38" s="125">
        <f>IF(FN_MC!K39="","*",FN_MC!K39)</f>
        <v>280.5</v>
      </c>
      <c r="I38" s="110">
        <f>IF(FN_MC!O39="","*",FN_MC!O39)</f>
        <v>0.375</v>
      </c>
      <c r="J38" s="110">
        <f>IF(FN_MC!P39="","*",FN_MC!P39)</f>
        <v>8.3333333333333329E-2</v>
      </c>
      <c r="K38" s="118" t="str">
        <f>IF(FN_MC!AK39="","*",FN_MC!AK39)</f>
        <v>277TCS</v>
      </c>
      <c r="L38" s="118" t="str">
        <f>IF(FN_MC!AM39="","*",FN_MC!AM39)</f>
        <v>TJA-TCS</v>
      </c>
      <c r="M38" s="118">
        <f>IF(FN_MC!AP39="","*",FN_MC!AP39)</f>
        <v>280.5</v>
      </c>
      <c r="N38" s="118" t="str">
        <f>IF(FN_MC!AM39="","*",FN_MC!AM39)</f>
        <v>TJA-TCS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>
        <f>IF(FN_MC!B41="","*",FN_MC!B41)</f>
        <v>46057</v>
      </c>
      <c r="B40" s="86" t="str">
        <f>IF(FN_MC!X41="","*",FN_MC!X41)</f>
        <v>Oportunidade</v>
      </c>
      <c r="C40" s="87" t="str">
        <f>IF(FN_MC!S41="","*",FN_MC!S41)</f>
        <v>FERRONORTE</v>
      </c>
      <c r="D40" s="87" t="str">
        <f>IF(FN_MC!T41="","*",FN_MC!T41)</f>
        <v>TMI-TCS</v>
      </c>
      <c r="E40" s="87" t="str">
        <f>IF(FN_MC!D41="","*",FN_MC!D41)</f>
        <v>W50</v>
      </c>
      <c r="F40" s="87" t="str">
        <f>IF(FN_MC!H41="","*",FN_MC!H41)</f>
        <v>TCS2</v>
      </c>
      <c r="G40" s="87" t="str">
        <f>IF(FN_MC!M41="","*",FN_MC!M41)</f>
        <v>TVI-TJA</v>
      </c>
      <c r="H40" s="125">
        <f>IF(FN_MC!K41="","*",FN_MC!K41)</f>
        <v>245</v>
      </c>
      <c r="I40" s="110">
        <f>IF(FN_MC!O41="","*",FN_MC!O41)</f>
        <v>0.35416666666666669</v>
      </c>
      <c r="J40" s="110">
        <f>IF(FN_MC!P41="","*",FN_MC!P41)</f>
        <v>0.16666666666666666</v>
      </c>
      <c r="K40" s="118" t="str">
        <f>IF(FN_MC!AK41="","*",FN_MC!AK41)</f>
        <v>TCS2</v>
      </c>
      <c r="L40" s="118" t="str">
        <f>IF(FN_MC!AM41="","*",FN_MC!AM41)</f>
        <v>TVI-TJA</v>
      </c>
      <c r="M40" s="118">
        <f>IF(FN_MC!AP41="","*",FN_MC!AP41)</f>
        <v>245</v>
      </c>
      <c r="N40" s="118" t="str">
        <f>IF(FN_MC!AM41="","*",FN_MC!AM41)</f>
        <v>TVI-TJA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>
        <f>IF(FN_MC!B44="","*",FN_MC!B44)</f>
        <v>46057</v>
      </c>
      <c r="B43" s="86" t="str">
        <f>IF(FN_MC!X44="","*",FN_MC!X44)</f>
        <v>Oportunidade</v>
      </c>
      <c r="C43" s="87" t="str">
        <f>IF(FN_MC!S44="","*",FN_MC!S44)</f>
        <v>FERRONORTE</v>
      </c>
      <c r="D43" s="87" t="str">
        <f>IF(FN_MC!T44="","*",FN_MC!T44)</f>
        <v>TMI-TCS</v>
      </c>
      <c r="E43" s="87" t="str">
        <f>IF(FN_MC!D44="","*",FN_MC!D44)</f>
        <v>A62</v>
      </c>
      <c r="F43" s="87" t="str">
        <f>IF(FN_MC!H44="","*",FN_MC!H44)</f>
        <v>TMI</v>
      </c>
      <c r="G43" s="87" t="str">
        <f>IF(FN_MC!M44="","*",FN_MC!M44)</f>
        <v>TMI-TCS</v>
      </c>
      <c r="H43" s="125">
        <f>IF(FN_MC!K44="","*",FN_MC!K44)</f>
        <v>1</v>
      </c>
      <c r="I43" s="110">
        <f>IF(FN_MC!O44="","*",FN_MC!O44)</f>
        <v>4.1666666666666664E-2</v>
      </c>
      <c r="J43" s="110">
        <f>IF(FN_MC!P44="","*",FN_MC!P44)</f>
        <v>0.375</v>
      </c>
      <c r="K43" s="118" t="str">
        <f>IF(FN_MC!AK44="","*",FN_MC!AK44)</f>
        <v>TMI</v>
      </c>
      <c r="L43" s="118" t="str">
        <f>IF(FN_MC!AM44="","*",FN_MC!AM44)</f>
        <v>TMI-TCS</v>
      </c>
      <c r="M43" s="118">
        <f>IF(FN_MC!AP44="","*",FN_MC!AP44)</f>
        <v>1</v>
      </c>
      <c r="N43" s="118" t="str">
        <f>IF(FN_MC!AM44="","*",FN_MC!AM44)</f>
        <v>TMI-TCS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2026-02-03T17:33:25Z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