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08" documentId="8_{B6337239-1A00-434D-AAD0-422EA1FEB5AE}" xr6:coauthVersionLast="47" xr6:coauthVersionMax="47" xr10:uidLastSave="{24AAEE79-64EE-4492-8616-1B80762F7A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7" i="1" l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M171" i="11" l="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<sst xmlns="http://schemas.openxmlformats.org/spreadsheetml/2006/main" count="7608" uniqueCount="1897">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</sst>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J429" activePane="bottomRight" state="frozen"/>
      <selection pane="bottomRight" activeCell="O437" sqref="O4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0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20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20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20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20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20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20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20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20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0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20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20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20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0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20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20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20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20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20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20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20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20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20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20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20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20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20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20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20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20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20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20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20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20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20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20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0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20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20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20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20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20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20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20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20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20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20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20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0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20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20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20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20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20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20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20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20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20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20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20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20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20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20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20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20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20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0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20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20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0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20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20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20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20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20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20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20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20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20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20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20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20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20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0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0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0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20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20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20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20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20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20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20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0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20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20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20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20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0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0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0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0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20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0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20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20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0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20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0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20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20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20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20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20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20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0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20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20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20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20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20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20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0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20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20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0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20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20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20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20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20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20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20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0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20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0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20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0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0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20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20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20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20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20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20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20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0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20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0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20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20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20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20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20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0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20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0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20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20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20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20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0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20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20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0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20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20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20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20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20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20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20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20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20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20" t="str">
        <f t="shared" si="6"/>
        <v/>
      </c>
    </row>
    <row r="203" spans="1:72" hidden="1">
      <c r="A203" s="50" t="str">
        <f>D203&amp;B203</f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0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20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20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20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20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0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0" t="str">
        <f t="shared" si="6"/>
        <v/>
      </c>
    </row>
    <row r="210" spans="1:72" hidden="1">
      <c r="A210" s="50" t="str">
        <f>D210&amp;B210</f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20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20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0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0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20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20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20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20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20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20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0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20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20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20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0" t="str">
        <f t="shared" si="6"/>
        <v>SuperExecução</v>
      </c>
    </row>
    <row r="225" spans="1:72" hidden="1">
      <c r="A225" s="50" t="str">
        <f>D225&amp;B225</f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20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20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20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20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20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20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20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20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20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20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20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20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20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20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0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20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20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20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20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20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20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20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0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20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20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0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0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0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20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20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20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0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0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0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20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20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0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0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0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20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0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20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0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20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0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20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20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20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20" t="str">
        <f t="shared" si="7"/>
        <v/>
      </c>
    </row>
    <row r="274" spans="1:72" hidden="1">
      <c r="A274" s="50" t="str">
        <f>D274&amp;B274</f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20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20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20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20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0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20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20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20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0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0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0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20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0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20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20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20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0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0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20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0" t="str">
        <f t="shared" si="7"/>
        <v/>
      </c>
    </row>
    <row r="294" spans="1:72" hidden="1">
      <c r="A294" s="50" t="str">
        <f>D294&amp;B294</f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20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20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20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0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20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0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0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0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20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20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20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20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20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20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20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20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0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0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20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0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0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0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0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0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20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0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20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0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0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0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0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0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0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0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0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20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20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0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0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20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0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0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0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0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20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0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0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>
        <v>0.33333333333333331</v>
      </c>
      <c r="AS430" s="298">
        <v>0.33888888888888891</v>
      </c>
      <c r="AT430" s="298">
        <v>0.40138888888888891</v>
      </c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1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9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4" t="s">
        <v>1262</v>
      </c>
      <c r="W434" s="327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7" t="str">
        <f>IF(BS_CONTROLE[[#This Row],[Local - Partida]]=0, "-", BS_CONTROLE[[#This Row],[Local - Partida]])</f>
        <v>TSF</v>
      </c>
      <c r="AL434" s="297" t="str">
        <f>IF(BS_CONTROLE[[#This Row],[Local - Encerramento]]=0, "-", BS_CONTROLE[[#This Row],[Local - Encerramento]])</f>
        <v>TSF</v>
      </c>
      <c r="AM434" s="297" t="str">
        <f>IF(BS_CONTROLE[[#This Row],[Entre - Estações]]=0, "-", BS_CONTROLE[[#This Row],[Entre - Estações]])</f>
        <v>TAL-TSF</v>
      </c>
      <c r="AN434" s="297" t="str">
        <f>IF(BS_CONTROLE[[#This Row],[SB]]=0, "-", BS_CONTROLE[[#This Row],[SB]])</f>
        <v>TAL699</v>
      </c>
      <c r="AO434" s="280">
        <f>IF(BS_CONTROLE[[#This Row],[SUB]]=0, "-", BS_CONTROLE[[#This Row],[SUB]])</f>
        <v>98</v>
      </c>
      <c r="AP434" s="281">
        <f>IF(BS_CONTROLE[[#This Row],[KM - Inicio]]=0, "-", BS_CONTROLE[[#This Row],[KM - Inicio]])</f>
        <v>695.49300000000005</v>
      </c>
      <c r="AQ434" s="281">
        <f>IF(BS_CONTROLE[[#This Row],[KM - Fim]]=0, "-", BS_CONTROLE[[#This Row],[KM - Fim]])</f>
        <v>690.95399999999995</v>
      </c>
      <c r="AR434" s="298"/>
      <c r="AS434" s="298"/>
      <c r="AT434" s="298"/>
      <c r="AU434" s="237"/>
      <c r="AV434" s="237"/>
      <c r="AW434" s="237"/>
      <c r="AX434" s="38"/>
      <c r="AY434" s="308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2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20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9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2">
        <v>98</v>
      </c>
      <c r="K435" s="212">
        <v>532.79999999999995</v>
      </c>
      <c r="L435" s="83" t="s">
        <v>609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3" t="s">
        <v>1337</v>
      </c>
      <c r="W435" s="319" t="s">
        <v>1667</v>
      </c>
      <c r="X435" s="213" t="s">
        <v>967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7" t="str">
        <f>IF(BS_CONTROLE[[#This Row],[Local - Partida]]=0, "-", BS_CONTROLE[[#This Row],[Local - Partida]])</f>
        <v>TIQ</v>
      </c>
      <c r="AL435" s="297" t="str">
        <f>IF(BS_CONTROLE[[#This Row],[Local - Encerramento]]=0, "-", BS_CONTROLE[[#This Row],[Local - Encerramento]])</f>
        <v>TIQ</v>
      </c>
      <c r="AM435" s="297" t="str">
        <f>IF(BS_CONTROLE[[#This Row],[Entre - Estações]]=0, "-", BS_CONTROLE[[#This Row],[Entre - Estações]])</f>
        <v>TBE-TRM</v>
      </c>
      <c r="AN435" s="297" t="str">
        <f>IF(BS_CONTROLE[[#This Row],[SB]]=0, "-", BS_CONTROLE[[#This Row],[SB]])</f>
        <v>TBE539</v>
      </c>
      <c r="AO435" s="280">
        <f>IF(BS_CONTROLE[[#This Row],[SUB]]=0, "-", BS_CONTROLE[[#This Row],[SUB]])</f>
        <v>98</v>
      </c>
      <c r="AP435" s="281">
        <f>IF(BS_CONTROLE[[#This Row],[KM - Inicio]]=0, "-", BS_CONTROLE[[#This Row],[KM - Inicio]])</f>
        <v>532.79999999999995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2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20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9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9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4" t="s">
        <v>1337</v>
      </c>
      <c r="W436" s="327" t="s">
        <v>1841</v>
      </c>
      <c r="X436" s="51"/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7" t="str">
        <f>IF(BS_CONTROLE[[#This Row],[Local - Partida]]=0, "-", BS_CONTROLE[[#This Row],[Local - Partida]])</f>
        <v>TGR2</v>
      </c>
      <c r="AL436" s="297" t="str">
        <f>IF(BS_CONTROLE[[#This Row],[Local - Encerramento]]=0, "-", BS_CONTROLE[[#This Row],[Local - Encerramento]])</f>
        <v>TIQ2</v>
      </c>
      <c r="AM436" s="297" t="str">
        <f>IF(BS_CONTROLE[[#This Row],[Entre - Estações]]=0, "-", BS_CONTROLE[[#This Row],[Entre - Estações]])</f>
        <v>TGR</v>
      </c>
      <c r="AN436" s="297" t="str">
        <f>IF(BS_CONTROLE[[#This Row],[SB]]=0, "-", BS_CONTROLE[[#This Row],[SB]])</f>
        <v>TGR2</v>
      </c>
      <c r="AO436" s="280">
        <f>IF(BS_CONTROLE[[#This Row],[SUB]]=0, "-", BS_CONTROLE[[#This Row],[SUB]])</f>
        <v>74</v>
      </c>
      <c r="AP436" s="281">
        <f>IF(BS_CONTROLE[[#This Row],[KM - Inicio]]=0, "-", BS_CONTROLE[[#This Row],[KM - Inicio]])</f>
        <v>501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2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20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9">
        <v>538</v>
      </c>
      <c r="F437" s="167" t="s">
        <v>766</v>
      </c>
      <c r="G437" s="154" t="str">
        <f>IF(D437="","*",VLOOKUP(F437,BS_ATIVIDADE[#All],3,FALSE))</f>
        <v>AMV</v>
      </c>
      <c r="H437" s="199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4" t="s">
        <v>1676</v>
      </c>
      <c r="W437" s="327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7" t="str">
        <f>IF(BS_CONTROLE[[#This Row],[Local - Partida]]=0, "-", BS_CONTROLE[[#This Row],[Local - Partida]])</f>
        <v>440TVL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TPC-TVL</v>
      </c>
      <c r="AN437" s="297" t="str">
        <f>IF(BS_CONTROLE[[#This Row],[SB]]=0, "-", BS_CONTROLE[[#This Row],[SB]])</f>
        <v>440TVL</v>
      </c>
      <c r="AO437" s="280">
        <f>IF(BS_CONTROLE[[#This Row],[SUB]]=0, "-", BS_CONTROLE[[#This Row],[SUB]])</f>
        <v>74</v>
      </c>
      <c r="AP437" s="281">
        <f>IF(BS_CONTROLE[[#This Row],[KM - Inicio]]=0, "-", BS_CONTROLE[[#This Row],[KM - Inicio]])</f>
        <v>450.6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2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20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>D439&amp;B439</f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>D440&amp;B440</f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>D441&amp;B441</f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>D442&amp;B442</f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>D443&amp;B443</f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>D444&amp;B444</f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 J435:K435" name="Range1_8_1"/>
    <protectedRange sqref="O6:Q344 O435:Q435" name="Range1_9_1"/>
    <protectedRange sqref="V6:Y344 Y346:Y348 Y351 Y354 Y360 Y363:Y364 Y366:Y367 Y369 V435:X435" name="Range1_11_1"/>
    <protectedRange sqref="Z6:AD344 AA435:AD436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 AG434:AG43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1844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1845</v>
      </c>
      <c r="E3" s="311" t="s">
        <v>1846</v>
      </c>
      <c r="F3" s="311" t="s">
        <v>1847</v>
      </c>
      <c r="G3" s="311" t="s">
        <v>1848</v>
      </c>
      <c r="H3" s="311" t="s">
        <v>1849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1850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1851</v>
      </c>
      <c r="G10" s="312" t="s">
        <v>1852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1853</v>
      </c>
      <c r="G11" s="312" t="s">
        <v>1854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1855</v>
      </c>
      <c r="G12" s="312" t="s">
        <v>1854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1856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1857</v>
      </c>
      <c r="C4" s="316" t="s">
        <v>1858</v>
      </c>
      <c r="D4" s="316" t="s">
        <v>1859</v>
      </c>
      <c r="E4" s="316" t="s">
        <v>1860</v>
      </c>
      <c r="F4" s="316" t="s">
        <v>7</v>
      </c>
      <c r="G4" s="316" t="s">
        <v>1861</v>
      </c>
      <c r="H4" s="187"/>
    </row>
    <row r="5" spans="1:8">
      <c r="A5" s="187"/>
      <c r="B5" s="317" t="s">
        <v>1862</v>
      </c>
      <c r="C5" s="317">
        <v>309525</v>
      </c>
      <c r="D5" s="317" t="s">
        <v>1863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1864</v>
      </c>
      <c r="C6" s="317">
        <v>257410</v>
      </c>
      <c r="D6" s="317" t="s">
        <v>1865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1866</v>
      </c>
      <c r="C7" s="317">
        <v>256875</v>
      </c>
      <c r="D7" s="317" t="s">
        <v>1867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1868</v>
      </c>
      <c r="C8" s="317">
        <v>257278</v>
      </c>
      <c r="D8" s="317" t="s">
        <v>1869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1870</v>
      </c>
      <c r="C9" s="317">
        <v>261794</v>
      </c>
      <c r="D9" s="317" t="s">
        <v>1871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1872</v>
      </c>
      <c r="C10" s="317">
        <v>257033</v>
      </c>
      <c r="D10" s="317" t="s">
        <v>1873</v>
      </c>
      <c r="E10" s="317" t="s">
        <v>838</v>
      </c>
      <c r="F10" s="317" t="s">
        <v>194</v>
      </c>
      <c r="G10" s="317" t="s">
        <v>1874</v>
      </c>
      <c r="H10" s="187"/>
    </row>
    <row r="11" spans="1:8">
      <c r="A11" s="187"/>
      <c r="B11" s="317" t="s">
        <v>1875</v>
      </c>
      <c r="C11" s="317">
        <v>396578</v>
      </c>
      <c r="D11" s="317" t="s">
        <v>1876</v>
      </c>
      <c r="E11" s="317" t="s">
        <v>838</v>
      </c>
      <c r="F11" s="317" t="s">
        <v>194</v>
      </c>
      <c r="G11" s="317" t="s">
        <v>1874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1877</v>
      </c>
      <c r="W1" s="397"/>
      <c r="X1" s="397"/>
      <c r="Y1" s="103"/>
    </row>
    <row r="2" spans="1:25" s="100" customFormat="1" ht="11.25" customHeight="1">
      <c r="A2" s="104" t="s">
        <v>1878</v>
      </c>
      <c r="B2" s="104" t="s">
        <v>1879</v>
      </c>
      <c r="C2" s="104" t="s">
        <v>605</v>
      </c>
      <c r="D2" s="105" t="s">
        <v>1177</v>
      </c>
      <c r="E2" s="105" t="s">
        <v>1178</v>
      </c>
      <c r="F2" s="105" t="s">
        <v>1880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1881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4" t="str">
        <f>IF(FN_MC!S434="","*",FN_MC!S434)</f>
        <v>FERRONORTE</v>
      </c>
      <c r="E431" s="354" t="str">
        <f>IF(FN_MC!T434="","*",FN_MC!T434)</f>
        <v>TGR-TRO</v>
      </c>
      <c r="F431" s="354">
        <f>IF(FN_MC!B434="","*",FN_MC!B434)</f>
        <v>46049</v>
      </c>
      <c r="G431" s="354" t="str">
        <f>IF(FN_MC!D434="","*",FN_MC!D434)</f>
        <v>V86</v>
      </c>
      <c r="H431" s="354" t="str">
        <f>IF(FN_MC!F434="","*",FN_MC!F434)</f>
        <v>MECANIZAÇÃO - SOCADORA</v>
      </c>
      <c r="I431" s="354" t="str">
        <f>IF(FN_MC!H434="","*",FN_MC!H434)</f>
        <v>TSF</v>
      </c>
      <c r="J431" s="354" t="str">
        <f>IF(FN_MC!I434="","*",FN_MC!I434)</f>
        <v>TSF</v>
      </c>
      <c r="K431" s="354" t="str">
        <f>IF(FN_MC!M434="","*",FN_MC!M434)</f>
        <v>TAL-TSF</v>
      </c>
      <c r="L431" s="355" t="str">
        <f>IF(FN_MC!N434="","*",FN_MC!N434)</f>
        <v>TAL699</v>
      </c>
      <c r="M431" s="353">
        <f>IF(FN_MC!J434="","*",FN_MC!J434)</f>
        <v>98</v>
      </c>
      <c r="N431" s="356">
        <f>IF(FN_MC!K434="","*",FN_MC!K434)</f>
        <v>695.49300000000005</v>
      </c>
      <c r="O431" s="356">
        <f>IF(FN_MC!L434="","*",FN_MC!L434)</f>
        <v>690.95399999999995</v>
      </c>
      <c r="P431" s="353"/>
      <c r="Q431" s="357">
        <f>IF(FN_MC!O434="","*",FN_MC!O434)</f>
        <v>0.4375</v>
      </c>
      <c r="R431" s="357">
        <f>IF(FN_MC!P434="","*",FN_MC!P434)</f>
        <v>0.25</v>
      </c>
      <c r="S431" s="354" t="str">
        <f>IF(FN_MC!Q434="","*",CONCATENATE(FN_MC!Q434," ",FN_MC!R434))</f>
        <v>3360 M</v>
      </c>
      <c r="T431" s="354" t="str">
        <f>IF(FN_MC!V434="","*",FN_MC!V434)</f>
        <v>Saulo</v>
      </c>
      <c r="U431" s="354" t="str">
        <f>IF(FN_MC!W434="","*",FN_MC!W434)</f>
        <v>Socaria mecanizada</v>
      </c>
      <c r="V431" s="358">
        <f ca="1">_xlfn.XLOOKUP(G431&amp;$V$2,BS_CONTROLE[CHAVE],BS_CONTROLE[Quantidade_11],"-")</f>
        <v>1353</v>
      </c>
      <c r="W431" s="358">
        <f ca="1">_xlfn.XLOOKUP(G431&amp;$W$2,BS_CONTROLE[CHAVE],BS_CONTROLE[Quantidade_11],"-")</f>
        <v>0</v>
      </c>
      <c r="X431" s="358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Contrato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3" t="str">
        <f>IF(FN_MC!N435="","*",FN_MC!N435)</f>
        <v>TBE539</v>
      </c>
      <c r="M432" s="110">
        <f>IF(FN_MC!J435="","*",FN_MC!J435)</f>
        <v>98</v>
      </c>
      <c r="N432" s="291">
        <f>IF(FN_MC!K435="","*",FN_MC!K435)</f>
        <v>532.79999999999995</v>
      </c>
      <c r="O432" s="291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3" t="str">
        <f>IF(FN_MC!N436="","*",FN_MC!N436)</f>
        <v>TGR2</v>
      </c>
      <c r="M433" s="110">
        <f>IF(FN_MC!J436="","*",FN_MC!J436)</f>
        <v>74</v>
      </c>
      <c r="N433" s="291">
        <f>IF(FN_MC!K436="","*",FN_MC!K436)</f>
        <v>501</v>
      </c>
      <c r="O433" s="291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3" t="str">
        <f>IF(FN_MC!N437="","*",FN_MC!N437)</f>
        <v>440TVL</v>
      </c>
      <c r="M434" s="110">
        <f>IF(FN_MC!J437="","*",FN_MC!J437)</f>
        <v>74</v>
      </c>
      <c r="N434" s="291">
        <f>IF(FN_MC!K437="","*",FN_MC!K437)</f>
        <v>450.6</v>
      </c>
      <c r="O434" s="291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1882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1883</v>
      </c>
      <c r="C2" s="95" t="s">
        <v>1162</v>
      </c>
      <c r="D2" s="95" t="s">
        <v>1164</v>
      </c>
      <c r="E2" s="95" t="s">
        <v>1884</v>
      </c>
      <c r="F2" s="95" t="s">
        <v>1885</v>
      </c>
      <c r="G2" s="95" t="s">
        <v>1886</v>
      </c>
      <c r="H2" s="95" t="s">
        <v>1887</v>
      </c>
      <c r="I2" s="95" t="s">
        <v>1888</v>
      </c>
      <c r="J2" s="95" t="s">
        <v>1889</v>
      </c>
      <c r="K2" s="130" t="s">
        <v>1890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1891</v>
      </c>
      <c r="D5" s="399"/>
      <c r="E5" s="399"/>
      <c r="F5" s="399"/>
      <c r="G5" s="399"/>
      <c r="H5" s="399"/>
      <c r="I5" s="399"/>
      <c r="J5" s="400"/>
      <c r="K5" s="401" t="s">
        <v>1892</v>
      </c>
      <c r="L5" s="402"/>
      <c r="M5" s="402"/>
      <c r="N5" s="402"/>
      <c r="O5" s="403" t="s">
        <v>1893</v>
      </c>
      <c r="P5" s="404"/>
      <c r="Q5" s="405"/>
    </row>
    <row r="6" spans="1:17" s="93" customFormat="1" ht="15.75" customHeight="1">
      <c r="A6" s="87" t="s">
        <v>1880</v>
      </c>
      <c r="B6" s="94" t="s">
        <v>1879</v>
      </c>
      <c r="C6" s="95" t="s">
        <v>1177</v>
      </c>
      <c r="D6" s="96" t="s">
        <v>1178</v>
      </c>
      <c r="E6" s="95" t="s">
        <v>1894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1895</v>
      </c>
      <c r="M6" s="138" t="s">
        <v>628</v>
      </c>
      <c r="N6" s="139" t="s">
        <v>1172</v>
      </c>
      <c r="O6" s="241" t="s">
        <v>1215</v>
      </c>
      <c r="P6" s="152"/>
      <c r="Q6" s="188" t="s">
        <v>1896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Contrato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*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1896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