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80" documentId="8_{B6337239-1A00-434D-AAD0-422EA1FEB5AE}" xr6:coauthVersionLast="47" xr6:coauthVersionMax="47" xr10:uidLastSave="{139AFEA0-EAB2-40F2-8D69-A2B605926065}"/>
  <bookViews>
    <workbookView xWindow="-120" yWindow="-120" windowWidth="20730" windowHeight="11040" firstSheet="2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1" i="1" l="1" a="1"/>
  <c r="T101" i="1"/>
  <c r="S101" i="1" a="1"/>
  <c r="S101" i="1"/>
  <c r="N101" i="1" a="1"/>
  <c r="N101" i="1"/>
  <c r="M101" i="1" a="1"/>
  <c r="M101" i="1"/>
  <c r="T95" i="1" a="1"/>
  <c r="T95" i="1"/>
  <c r="S95" i="1" a="1"/>
  <c r="S95" i="1"/>
  <c r="N95" i="1" a="1"/>
  <c r="N95" i="1"/>
  <c r="M95" i="1" a="1"/>
  <c r="M95" i="1"/>
  <c r="N88" i="1" a="1"/>
  <c r="N88" i="1"/>
  <c r="C96" i="1"/>
  <c r="A96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6" i="16" s="1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4" i="16" s="1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L95" i="16"/>
  <c r="R95" i="1"/>
  <c r="R95" i="16" s="1"/>
  <c r="D95" i="16"/>
  <c r="E95" i="16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G96" i="1"/>
  <c r="M96" i="1" a="1"/>
  <c r="M96" i="1" s="1"/>
  <c r="N96" i="1" a="1"/>
  <c r="N96" i="1" s="1"/>
  <c r="L96" i="16" s="1"/>
  <c r="R96" i="1"/>
  <c r="R96" i="16" s="1"/>
  <c r="S96" i="1" a="1"/>
  <c r="S96" i="1" s="1"/>
  <c r="D96" i="16" s="1"/>
  <c r="T96" i="1" a="1"/>
  <c r="T96" i="1" s="1"/>
  <c r="E96" i="16" s="1"/>
  <c r="AI96" i="1"/>
  <c r="BB96" i="1" s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7" i="16" s="1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L101" i="16"/>
  <c r="R101" i="1"/>
  <c r="R101" i="16" s="1"/>
  <c r="D101" i="16"/>
  <c r="E101" i="16"/>
  <c r="AI101" i="1"/>
  <c r="BB101" i="1" s="1"/>
  <c r="AJ101" i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2" i="1" l="1"/>
  <c r="AJ96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2" i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<sst xmlns="http://schemas.openxmlformats.org/spreadsheetml/2006/main" count="4925" uniqueCount="1450">
  <si>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</si>
  <si>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</si>
  <si>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</si>
  <si>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</si>
  <si>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</si>
  <si>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</si>
  <si>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</si>
  <si>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</si>
  <si>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</si>
  <si>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</si>
  <si>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</si>
  <si>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</si>
  <si>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</si>
  <si>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</si>
  <si>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</si>
  <si>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</si>
  <si>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</si>
  <si>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</si>
  <si>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</si>
  <si>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</si>
  <si>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</si>
  <si>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</si>
  <si>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</si>
  <si>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</si>
  <si>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</si>
  <si>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</si>
  <si>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</si>
  <si>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</si>
  <si>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</si>
  <si>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</si>
  <si>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</si>
  <si>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</si>
  <si>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</si>
  <si>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</si>
  <si>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</si>
  <si>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</si>
  <si>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</si>
  <si>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</si>
  <si>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</si>
  <si>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</si>
  <si>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</si>
  <si>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</si>
  <si>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</si>
  <si>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</si>
  <si>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</si>
  <si>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</si>
  <si>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</si>
  <si>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</si>
  <si>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</si>
  <si>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</si>
  <si>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</si>
  <si>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</si>
  <si>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</si>
  <si>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</si>
  <si>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</si>
  <si>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</si>
  <si>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</si>
  <si>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</si>
  <si>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</si>
  <si>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</si>
  <si>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</si>
  <si>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</si>
  <si>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</si>
  <si>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</si>
  <si>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</si>
  <si>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</si>
  <si>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</si>
  <si>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</si>
  <si>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</si>
  <si>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</si>
  <si>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</si>
  <si>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</si>
  <si>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</si>
  <si>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</si>
  <si>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</si>
  <si>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</si>
  <si>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</si>
  <si>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</si>
  <si>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</si>
  <si>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</si>
  <si>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</si>
  <si>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</si>
  <si>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</si>
  <si>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</si>
  <si>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</si>
  <si>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</si>
  <si>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</si>
  <si>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</si>
  <si>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</si>
  <si>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</si>
  <si>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</si>
  <si>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</si>
  <si>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</si>
  <si>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</si>
  <si>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</si>
  <si>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</si>
  <si>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</si>
  <si>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</si>
  <si>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</si>
  <si>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</si>
  <si>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</si>
  <si>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</si>
  <si>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</si>
  <si>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</si>
  <si>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</si>
  <si>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</si>
  <si>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</si>
  <si>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</si>
  <si>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</si>
  <si>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</si>
  <si>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</si>
  <si>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</si>
  <si>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</si>
  <si>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</si>
  <si>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</si>
  <si>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</si>
  <si>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</si>
  <si>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</si>
  <si>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</si>
  <si>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</si>
  <si>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</si>
  <si>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</si>
  <si>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</si>
  <si>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</si>
  <si>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</si>
  <si>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</si>
  <si>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</si>
  <si>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</si>
  <si>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</si>
  <si>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</si>
  <si>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</si>
  <si>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</si>
  <si>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</si>
  <si>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</si>
  <si>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</si>
  <si>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</si>
  <si>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</si>
  <si>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</si>
  <si>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</si>
  <si>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</si>
  <si>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</si>
  <si>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</si>
  <si>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</si>
  <si>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</si>
  <si>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</si>
  <si>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</si>
  <si>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</si>
  <si>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</si>
  <si>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</si>
  <si>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</si>
  <si>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</si>
  <si>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</si>
  <si>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</si>
  <si>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</si>
  <si>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</si>
  <si>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</si>
  <si>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</si>
  <si>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</si>
  <si>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</si>
  <si>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</si>
  <si>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</si>
  <si>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</si>
  <si>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</si>
  <si>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</si>
  <si>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</si>
  <si>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</si>
  <si>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</si>
  <si>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</si>
  <si>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</si>
  <si>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</si>
  <si>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</si>
  <si>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</si>
  <si>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</si>
  <si>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</si>
  <si>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</si>
  <si>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</si>
  <si>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</si>
  <si>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</si>
  <si>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</si>
  <si>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</si>
  <si>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</si>
  <si>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</si>
  <si>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</si>
  <si>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</si>
  <si>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</si>
  <si>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</si>
  <si>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</si>
  <si>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</si>
  <si>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</si>
  <si>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</si>
  <si>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</si>
  <si>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</si>
  <si>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</si>
  <si>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</si>
  <si>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</si>
  <si>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</si>
  <si>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</si>
  <si>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</si>
  <si>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</si>
  <si>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</si>
  <si>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</si>
  <si>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</si>
  <si>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</si>
  <si>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</si>
  <si>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</si>
  <si>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</si>
  <si>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</si>
  <si>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</si>
  <si>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</si>
  <si>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</si>
  <si>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</si>
  <si>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</si>
  <si>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</si>
  <si>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</si>
  <si>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</si>
  <si>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</si>
  <si>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</si>
  <si>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</si>
  <si>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</si>
  <si>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</si>
  <si>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</si>
  <si>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</si>
  <si>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</si>
  <si>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</si>
  <si>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</si>
  <si>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</si>
  <si>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</si>
  <si>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</si>
  <si>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</si>
  <si>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</si>
  <si>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</si>
  <si>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</si>
  <si>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</si>
  <si>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</si>
  <si>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</si>
  <si>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</si>
  <si>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</si>
  <si>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</si>
  <si>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</si>
  <si>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</si>
  <si>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</si>
  <si>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</si>
  <si>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</si>
  <si>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</si>
  <si>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</si>
  <si>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</si>
  <si>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</si>
  <si>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</si>
  <si>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</si>
  <si>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</si>
  <si>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</si>
  <si>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</si>
  <si>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</si>
  <si>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</si>
  <si>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</si>
  <si>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</si>
  <si>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</si>
  <si>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</si>
  <si>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</si>
  <si>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</si>
  <si>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</si>
  <si>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</si>
  <si>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</si>
  <si>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</si>
  <si>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</si>
  <si>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</si>
  <si>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</si>
  <si>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</si>
  <si>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</si>
  <si>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</si>
  <si>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</si>
  <si>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</si>
  <si>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</si>
  <si>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</si>
  <si>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</si>
  <si>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</si>
  <si>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</si>
  <si>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</si>
  <si>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</si>
  <si>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</si>
  <si>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</si>
  <si>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</si>
  <si>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</si>
  <si>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</si>
  <si>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</si>
  <si>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</si>
  <si>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</si>
  <si>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</si>
  <si>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</si>
  <si>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</si>
  <si>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</si>
  <si>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</si>
  <si>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</si>
  <si>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</si>
  <si>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</si>
  <si>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</si>
  <si>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</si>
  <si>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</si>
  <si>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</si>
  <si>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</si>
  <si>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</si>
  <si>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</si>
  <si>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</si>
  <si>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</si>
  <si>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</si>
  <si>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</si>
  <si>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</si>
  <si>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</si>
  <si>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</si>
  <si>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</si>
  <si>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</si>
  <si>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</si>
  <si>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</si>
  <si>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</si>
  <si>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</si>
  <si>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</si>
  <si>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</si>
  <si>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</si>
  <si>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</si>
  <si>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</si>
  <si>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</si>
  <si>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</si>
  <si>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</si>
  <si>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</si>
  <si>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</si>
  <si>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</si>
  <si>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</si>
  <si>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</si>
  <si>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</si>
  <si>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</si>
  <si>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</si>
  <si>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</si>
  <si>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</si>
  <si>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</si>
  <si>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</si>
  <si>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</si>
  <si>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</si>
  <si>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</si>
  <si>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</si>
  <si>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</si>
  <si>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</si>
  <si>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</si>
  <si>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</si>
  <si>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</si>
  <si>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</si>
  <si>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</si>
  <si>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</si>
  <si>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</si>
  <si>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</si>
  <si>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</si>
  <si>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</si>
  <si>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</si>
  <si>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</si>
  <si>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</si>
  <si>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</si>
  <si>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</si>
  <si>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</si>
  <si>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</si>
  <si>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</si>
  <si>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</si>
  <si>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</si>
  <si>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</si>
  <si>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</si>
  <si>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</si>
  <si>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</si>
  <si>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</si>
  <si>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</si>
  <si>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</si>
  <si>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</si>
  <si>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</si>
  <si>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</si>
  <si>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</si>
  <si>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</si>
  <si>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</si>
  <si>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</si>
  <si>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</si>
  <si>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</si>
  <si>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</si>
  <si>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</si>
  <si>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</si>
  <si>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</si>
  <si>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</si>
  <si>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</si>
  <si>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</si>
  <si>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</si>
  <si>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</si>
  <si>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</si>
  <si>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</si>
  <si>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</si>
  <si>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</si>
  <si>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</si>
  <si>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</si>
  <si>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</si>
  <si>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</si>
  <si>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</si>
  <si>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</si>
  <si>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</si>
  <si>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</si>
  <si>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</si>
  <si>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</si>
  <si>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</si>
  <si>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</si>
  <si>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</si>
  <si>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</si>
  <si>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</si>
  <si>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</si>
  <si>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</si>
  <si>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</si>
  <si>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</si>
  <si>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</si>
  <si>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</si>
  <si>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</si>
  <si>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</si>
  <si>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</si>
  <si>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</si>
  <si>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</si>
  <si>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</si>
  <si>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</si>
  <si>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</si>
  <si>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</si>
  <si>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</si>
  <si>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</si>
  <si>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</si>
  <si>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</si>
  <si>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</si>
  <si>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</si>
  <si>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</si>
  <si>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</si>
  <si>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</si>
  <si>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</si>
  <si>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</si>
  <si>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</si>
  <si>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</si>
  <si>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</si>
  <si>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</si>
  <si>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</si>
  <si>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</si>
  <si>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</si>
  <si>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</si>
  <si>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</si>
  <si>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</si>
  <si>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</si>
  <si>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</si>
  <si>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</si>
  <si>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</si>
  <si>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</si>
  <si>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</si>
  <si>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</si>
  <si>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</si>
  <si>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</si>
  <si>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</si>
  <si>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</si>
  <si>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</si>
  <si>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</si>
  <si>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</si>
  <si>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</si>
  <si>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</si>
  <si>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</si>
  <si>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</si>
  <si>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</si>
  <si>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</si>
  <si>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</si>
  <si>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</si>
  <si>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</si>
  <si>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</si>
  <si>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</si>
  <si>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</si>
  <si>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</si>
  <si>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</si>
  <si>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</si>
  <si>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</si>
  <si>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</si>
  <si>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</si>
  <si>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</si>
  <si>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</si>
  <si>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</si>
  <si>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</si>
  <si>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</si>
  <si>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</si>
  <si>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</si>
  <si>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</si>
  <si>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</si>
  <si>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</si>
  <si>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</si>
  <si>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</si>
  <si>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</si>
  <si>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</si>
  <si>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</si>
  <si>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</si>
  <si>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</si>
  <si>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</si>
  <si>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</si>
  <si>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</si>
  <si>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</si>
  <si>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</si>
  <si>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</si>
  <si>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</si>
  <si>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</si>
  <si>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</si>
  <si>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</si>
  <si>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</si>
  <si>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</si>
  <si>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</si>
  <si>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</si>
  <si>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</si>
  <si>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</si>
  <si>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</si>
  <si>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</si>
  <si>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</si>
  <si>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</si>
  <si>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</si>
  <si>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</si>
  <si>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</si>
  <si>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</si>
  <si>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</si>
  <si>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</si>
  <si>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</si>
  <si>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</si>
  <si>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</si>
  <si>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</si>
  <si>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</si>
  <si>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</si>
  <si>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</si>
  <si>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</si>
  <si>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</si>
  <si>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</si>
  <si>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</si>
  <si>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</si>
  <si>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</si>
  <si>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</si>
  <si>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</si>
  <si>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</si>
  <si>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</si>
  <si>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</si>
  <si>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</si>
  <si>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</si>
  <si>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</si>
  <si>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</si>
  <si>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</si>
  <si>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</si>
  <si>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</si>
  <si>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</si>
  <si>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</si>
  <si>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</si>
  <si>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</si>
  <si>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</si>
  <si>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</si>
  <si>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</si>
  <si>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</si>
  <si>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</si>
  <si>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</si>
  <si>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</si>
  <si>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</si>
  <si>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</si>
  <si>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</si>
  <si>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</si>
  <si>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</si>
  <si>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</si>
  <si>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</si>
  <si>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</si>
  <si>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</si>
  <si>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</si>
  <si>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</si>
  <si>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</si>
  <si>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</si>
  <si>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</si>
  <si>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</si>
  <si>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</si>
  <si>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</si>
  <si>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</si>
  <si>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</si>
  <si>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</si>
  <si>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</si>
  <si>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</si>
  <si>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</si>
  <si>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</si>
  <si>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</si>
  <si>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</si>
  <si>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</si>
  <si>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</si>
  <si>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</si>
  <si>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</si>
  <si>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</si>
  <si>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</si>
  <si>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</si>
  <si>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</si>
  <si>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</si>
  <si>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</si>
  <si>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</si>
  <si>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</si>
  <si>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</si>
  <si>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</si>
  <si>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</si>
  <si>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</si>
  <si>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</si>
  <si>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</si>
  <si>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</si>
  <si>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</si>
  <si>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</si>
  <si>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</si>
  <si>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</si>
  <si>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</si>
  <si>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</si>
  <si>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</si>
  <si>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</si>
  <si>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</si>
  <si>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</si>
  <si>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</si>
  <si>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</si>
  <si>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</si>
  <si>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</si>
  <si>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</si>
  <si>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</si>
  <si>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</si>
  <si>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</si>
  <si>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</si>
  <si>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</si>
  <si>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</si>
  <si>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</si>
  <si>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</si>
  <si>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</si>
  <si>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</si>
  <si>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</si>
  <si>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</si>
  <si>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</si>
  <si>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</si>
  <si>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</si>
  <si>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</si>
  <si>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</si>
  <si>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</si>
  <si>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</si>
  <si>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</si>
  <si>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</si>
  <si>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</si>
  <si>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</si>
  <si>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</si>
  <si>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</si>
  <si>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</si>
  <si>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</si>
  <si>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</si>
  <si>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</si>
  <si>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</si>
  <si>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</si>
  <si>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</si>
  <si>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</si>
  <si>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</si>
  <si>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</si>
  <si>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</si>
  <si>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</si>
  <si>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</si>
  <si>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</si>
  <si>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</si>
  <si>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</si>
  <si>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</si>
  <si>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</si>
  <si>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</si>
  <si>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</si>
  <si>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</si>
  <si>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</si>
  <si>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</si>
  <si>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</si>
  <si>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</si>
  <si>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</si>
  <si>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</si>
  <si>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</si>
  <si>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</si>
  <si>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</si>
  <si>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</si>
  <si>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</si>
  <si>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</si>
  <si>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</si>
  <si>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</si>
  <si>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</si>
  <si>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</si>
  <si>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</si>
  <si>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</si>
  <si>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</si>
  <si>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</si>
  <si>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</si>
  <si>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</si>
  <si>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</si>
  <si>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</si>
  <si>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</si>
  <si>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</si>
  <si>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</si>
  <si>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</si>
  <si>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</si>
  <si>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</si>
  <si>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</si>
  <si>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</si>
  <si>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</si>
  <si>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</si>
  <si>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</si>
  <si>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</si>
  <si>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</si>
  <si>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</si>
  <si>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</si>
  <si>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</si>
  <si>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</si>
  <si>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</si>
  <si>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</si>
  <si>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</si>
  <si>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</si>
  <si>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</si>
  <si>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</si>
  <si>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</si>
  <si>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</si>
  <si>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</si>
  <si>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</si>
  <si>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</si>
  <si>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</si>
  <si>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</si>
  <si>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</si>
  <si>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</si>
  <si>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</si>
  <si>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</si>
  <si>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</si>
  <si>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</si>
  <si>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</si>
  <si>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</si>
  <si>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</si>
  <si>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</si>
  <si>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</si>
  <si>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</si>
  <si>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</si>
  <si>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</si>
  <si>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</si>
  <si>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</si>
  <si>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</si>
  <si>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</si>
  <si>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</si>
  <si>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</si>
  <si>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</si>
  <si>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</si>
  <si>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</si>
  <si>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</si>
  <si>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</si>
  <si>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</si>
  <si>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</si>
  <si>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</si>
  <si>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</si>
  <si>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</si>
  <si>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</si>
  <si>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</si>
  <si>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</si>
  <si>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</si>
  <si>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</si>
  <si>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</si>
  <si>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</si>
  <si>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</si>
  <si>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</si>
  <si>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</si>
  <si>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</si>
  <si>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</si>
  <si>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</si>
  <si>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</si>
  <si>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</si>
  <si>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</si>
  <si>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</si>
  <si>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</si>
  <si>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</si>
  <si>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</si>
  <si>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</si>
  <si>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</si>
  <si>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</si>
  <si>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</si>
  <si>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</si>
  <si>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</si>
  <si>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</si>
  <si>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</si>
  <si>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</si>
  <si>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</si>
  <si>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</si>
  <si>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</si>
  <si>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</si>
  <si>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</si>
  <si>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</si>
  <si>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</si>
  <si>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</si>
  <si>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</si>
  <si>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</si>
  <si>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</si>
  <si>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</si>
  <si>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</si>
  <si>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</si>
  <si>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</si>
  <si>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</si>
  <si>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</si>
  <si>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</si>
  <si>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</si>
  <si>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</si>
  <si>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</si>
  <si>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</si>
  <si>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</si>
  <si>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</si>
  <si>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</si>
  <si>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</si>
  <si>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</si>
  <si>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</si>
  <si>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</si>
  <si>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</si>
  <si>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</si>
  <si>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</si>
  <si>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</si>
  <si>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</si>
  <si>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</si>
  <si>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</si>
  <si>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</si>
  <si>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</si>
  <si>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</si>
  <si>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</si>
  <si>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</si>
  <si>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</si>
  <si>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</si>
  <si>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</si>
  <si>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</si>
  <si>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</si>
  <si>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</si>
  <si>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</si>
  <si>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</si>
  <si>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</si>
  <si>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</si>
  <si>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</si>
  <si>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</si>
  <si>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</si>
  <si>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</si>
  <si>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</si>
  <si>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</si>
  <si>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</si>
  <si>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</si>
  <si>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</si>
  <si>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</si>
  <si>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</si>
  <si>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</si>
  <si>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</si>
  <si>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</si>
  <si>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</si>
  <si>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</si>
  <si>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</si>
  <si>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</si>
  <si>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</si>
  <si>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</si>
  <si>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</si>
  <si>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</si>
  <si>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</si>
  <si>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</si>
  <si>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</si>
  <si>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</si>
  <si>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</si>
  <si>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</si>
  <si>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</si>
  <si>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</si>
  <si>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</si>
  <si>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</si>
  <si>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</si>
  <si>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</si>
  <si>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</si>
  <si>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</si>
  <si>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</si>
  <si>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</si>
  <si>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</si>
  <si>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</si>
  <si>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</si>
  <si>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</si>
  <si>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</si>
  <si>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</si>
  <si>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</si>
  <si>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</si>
  <si>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</si>
  <si>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</si>
  <si>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</si>
  <si>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</si>
  <si>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</si>
  <si>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</si>
  <si>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</si>
  <si>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</si>
  <si>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</si>
  <si>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</si>
  <si>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</si>
  <si>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</si>
  <si>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</si>
  <si>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</si>
  <si>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</si>
  <si>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</si>
  <si>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</si>
  <si>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</si>
  <si>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</si>
  <si>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</si>
  <si>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</si>
  <si>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</si>
  <si>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</si>
  <si>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</si>
  <si>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</si>
  <si>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</si>
  <si>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</si>
  <si>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</si>
  <si>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</si>
  <si>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</si>
  <si>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</si>
  <si>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</si>
  <si>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</si>
  <si>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</si>
  <si>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</si>
  <si>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</si>
  <si>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</si>
  <si>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</si>
  <si>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</si>
  <si>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</si>
  <si>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</si>
  <si>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</si>
  <si>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</si>
  <si>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</si>
  <si>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</si>
  <si>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</si>
  <si>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</si>
  <si>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</si>
  <si>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</si>
  <si>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</si>
  <si>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</si>
  <si>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</si>
  <si>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</si>
  <si>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</si>
  <si>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</si>
  <si>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</si>
  <si>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</si>
  <si>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</si>
  <si>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</si>
  <si>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</si>
  <si>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</si>
  <si>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</si>
  <si>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</si>
  <si>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</si>
  <si>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</si>
  <si>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</si>
  <si>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</si>
  <si>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</si>
  <si>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</si>
  <si>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</si>
  <si>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</si>
  <si>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</si>
  <si>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</si>
  <si>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</si>
  <si>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</si>
  <si>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</si>
  <si>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</si>
  <si>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</si>
  <si>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</si>
  <si>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</si>
  <si>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</si>
  <si>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</si>
  <si>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</si>
  <si>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</si>
  <si>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</si>
  <si>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</si>
  <si>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</si>
  <si>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</si>
  <si>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</si>
  <si>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</si>
  <si>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</si>
  <si>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</si>
  <si>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</si>
  <si>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</si>
  <si>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</si>
  <si>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</si>
  <si>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</si>
  <si>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</si>
  <si>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</si>
  <si>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</si>
  <si>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</si>
  <si>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</si>
  <si>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</si>
  <si>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</si>
  <si>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</si>
  <si>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</si>
  <si>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</si>
  <si>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</si>
  <si>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</si>
  <si>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</si>
  <si>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</si>
  <si>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</si>
  <si>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</si>
  <si>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</si>
  <si>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</si>
  <si>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</si>
  <si>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</si>
  <si>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</si>
  <si>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</si>
  <si>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</si>
  <si>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</si>
  <si>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</si>
  <si>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</si>
  <si>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</si>
  <si>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</si>
  <si>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</si>
  <si>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</si>
  <si>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</si>
  <si>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</si>
  <si>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</si>
  <si>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</si>
  <si>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</si>
  <si>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</si>
  <si>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</si>
  <si>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</si>
  <si>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</si>
  <si>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</si>
  <si>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</si>
  <si>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</si>
  <si>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</si>
  <si>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</si>
  <si>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</si>
  <si>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</si>
  <si>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</si>
  <si>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</si>
  <si>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</si>
  <si>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</si>
  <si>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</si>
  <si>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</si>
  <si>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</si>
  <si>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</si>
  <si>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</si>
  <si>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</si>
  <si>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</si>
  <si>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</si>
  <si>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</si>
  <si>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</si>
  <si>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</si>
  <si>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</si>
  <si>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</si>
  <si>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</si>
  <si>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</si>
  <si>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</si>
  <si>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</si>
  <si>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</si>
  <si>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</si>
  <si>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</si>
  <si>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</si>
  <si>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</si>
  <si>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</si>
  <si>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</si>
  <si>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</si>
  <si>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</si>
  <si>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</si>
  <si>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</si>
  <si>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</si>
  <si>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</si>
  <si>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</si>
  <si>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</si>
  <si>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</si>
  <si>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</si>
  <si>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</si>
  <si>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</si>
  <si>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</si>
  <si>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</si>
  <si>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</si>
  <si>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</si>
  <si>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</si>
  <si>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</si>
  <si>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</si>
  <si>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</si>
  <si>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</si>
  <si>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</si>
  <si>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</si>
  <si>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</si>
  <si>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</si>
  <si>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</si>
  <si>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</si>
  <si>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</si>
  <si>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</si>
  <si>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</si>
  <si>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</si>
  <si>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</si>
  <si>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</si>
  <si>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</si>
  <si>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</si>
  <si>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</si>
  <si>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</si>
  <si>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</si>
  <si>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</si>
  <si>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</si>
  <si>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</si>
  <si>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</si>
  <si>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</si>
  <si>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</si>
  <si>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</si>
  <si>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</si>
  <si>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</si>
  <si>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</si>
  <si>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</si>
  <si>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</si>
  <si>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</si>
  <si>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</si>
  <si>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</si>
  <si>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</si>
  <si>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</si>
  <si>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</si>
  <si>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</si>
  <si>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</si>
  <si>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</si>
  <si>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</si>
  <si>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</si>
  <si>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</si>
  <si>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</si>
  <si>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</si>
  <si>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</si>
  <si>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</si>
  <si>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</si>
  <si>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</si>
  <si>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</si>
  <si>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</si>
  <si>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</si>
  <si>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</si>
  <si>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</si>
  <si>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</si>
  <si>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</si>
  <si>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</si>
  <si>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</si>
  <si>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</si>
  <si>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</si>
  <si>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</si>
  <si>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</si>
  <si>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</si>
  <si>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</si>
  <si>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</si>
  <si>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</si>
  <si>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</si>
  <si>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</si>
  <si>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</si>
  <si>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</si>
  <si>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</si>
  <si>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</si>
  <si>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</si>
  <si>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</si>
  <si>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</si>
  <si>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</si>
  <si>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</si>
  <si>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</si>
  <si>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</si>
  <si>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</si>
  <si>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</si>
  <si>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</si>
  <si>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</si>
  <si>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</si>
  <si>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</si>
  <si>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</si>
  <si>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</si>
  <si>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</si>
  <si>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</si>
  <si>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</si>
  <si>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</si>
  <si>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</si>
  <si>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</si>
  <si>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</si>
  <si>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</si>
  <si>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</si>
  <si>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</si>
  <si>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</si>
  <si>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</si>
  <si>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</si>
  <si>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</si>
  <si>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</si>
  <si>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</si>
  <si>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</si>
  <si>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</si>
  <si>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</si>
  <si>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</si>
  <si>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</si>
  <si>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</si>
  <si>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</si>
  <si>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</si>
  <si>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</si>
  <si>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</si>
  <si>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</si>
  <si>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</si>
  <si>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</si>
  <si>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</si>
  <si>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</si>
  <si>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</si>
  <si>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</si>
  <si>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</si>
  <si>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</si>
  <si>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</si>
  <si>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</si>
  <si>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</si>
  <si>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</si>
  <si>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</si>
  <si>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</si>
  <si>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</si>
  <si>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</si>
  <si>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</si>
  <si>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</si>
  <si>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</si>
  <si>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</si>
  <si>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</si>
  <si>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</si>
  <si>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</si>
  <si>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</si>
  <si>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</si>
  <si>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</si>
  <si>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</si>
  <si>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</si>
  <si>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</si>
  <si>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</si>
  <si>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</si>
  <si>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</si>
  <si>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</si>
  <si>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</si>
  <si>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</si>
  <si>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</si>
  <si>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</si>
  <si>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</si>
  <si>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</si>
  <si>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</si>
  <si>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</si>
  <si>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</si>
  <si>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</si>
  <si>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</si>
  <si>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</si>
  <si>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</si>
  <si>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</si>
  <si>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</si>
  <si>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</si>
  <si>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</si>
  <si>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</si>
  <si>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</si>
  <si>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</si>
  <si>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</si>
  <si>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</si>
  <si>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</si>
  <si>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</si>
  <si>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</si>
  <si>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</si>
  <si>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</si>
  <si>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</si>
  <si>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</si>
  <si>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</si>
  <si>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</si>
  <si>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</si>
  <si>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</si>
  <si>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</si>
  <si>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</si>
  <si>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</si>
  <si>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</si>
  <si>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</si>
  <si>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</si>
  <si>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</si>
  <si>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</si>
  <si>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</si>
  <si>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</si>
  <si>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</si>
  <si>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</si>
  <si>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</si>
  <si>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</si>
  <si>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</si>
  <si>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</si>
  <si>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</si>
  <si>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</si>
  <si>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</si>
  <si>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</si>
  <si>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</si>
  <si>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</si>
  <si>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</si>
  <si>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</si>
  <si>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</si>
  <si>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</si>
  <si>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</si>
  <si>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</si>
  <si>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</si>
  <si>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</si>
  <si>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</si>
  <si>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</si>
  <si>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</si>
  <si>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</si>
  <si>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</si>
  <si>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</si>
  <si>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</si>
  <si>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</si>
  <si>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</si>
  <si>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</si>
  <si>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</si>
  <si>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</si>
  <si>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</si>
  <si>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</si>
  <si>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</si>
  <si>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</si>
  <si>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</si>
  <si>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</si>
  <si>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</si>
  <si>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</si>
  <si>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</si>
  <si>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</si>
  <si>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</si>
  <si>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</si>
  <si>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</si>
  <si>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</si>
  <si>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</si>
  <si>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</si>
  <si>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</si>
  <si>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</si>
  <si>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</si>
  <si>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</si>
  <si>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</si>
  <si>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</si>
  <si>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</si>
  <si>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</si>
  <si>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</si>
  <si>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</si>
  <si>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</si>
  <si>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</si>
  <si>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</si>
  <si>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</si>
  <si>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</si>
  <si>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</si>
  <si>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</si>
  <si>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</si>
  <si>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</si>
  <si>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</si>
  <si>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</si>
  <si>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</si>
  <si>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</si>
  <si>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</si>
  <si>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</si>
  <si>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</si>
  <si>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</si>
  <si>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</si>
  <si>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</si>
  <si>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</si>
  <si>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</si>
  <si>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</si>
  <si>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</si>
  <si>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</si>
  <si>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</si>
  <si>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</si>
  <si>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</si>
  <si>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</si>
  <si>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</si>
  <si>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</si>
  <si>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</si>
  <si>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</si>
  <si>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</si>
  <si>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</si>
  <si>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</si>
  <si>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</si>
  <si>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</si>
  <si>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</si>
  <si>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</si>
  <si>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</si>
  <si>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</si>
  <si>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</si>
  <si>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</si>
  <si>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</si>
  <si>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</si>
  <si>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</si>
  <si>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</si>
  <si>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</si>
  <si>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</si>
  <si>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</si>
  <si>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</si>
  <si>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</si>
  <si>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</si>
  <si>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</si>
  <si>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</si>
  <si>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</si>
  <si>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</si>
  <si>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</si>
  <si>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</si>
  <si>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</si>
  <si>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</si>
  <si>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</si>
  <si>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</si>
  <si>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</si>
  <si>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</si>
  <si>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</si>
  <si>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</si>
  <si>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</si>
  <si>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faixa negada cco</t>
  </si>
  <si>
    <t>2 Enio e Daniel</t>
  </si>
  <si>
    <t>Aguardando descanso dos maquinistas as 12h</t>
  </si>
  <si>
    <t>Sem opotunidade de faixa CCO</t>
  </si>
  <si>
    <t>Pronto as 8h - após A60 CCO vai verificar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</si>
  <si>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</si>
  <si>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</si>
  <si>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</si>
  <si>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</si>
  <si>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faixa negada cco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</si>
  <si>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</si>
  <si>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</si>
  <si>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</si>
  <si>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</si>
  <si>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</si>
  <si>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</si>
  <si>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</si>
  <si>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</si>
  <si>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</si>
  <si>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</si>
  <si>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</si>
  <si>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</si>
  <si>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Descarga de pedra  74/440076-440367cv	2vg
74/440367-440836tg	3vg
74/440836-441440cv	4vg
74/441440-442063tg	4vg
74/442063-442680cv	4vg
74/442680-442884tg	1vg</t>
  </si>
  <si>
    <t>Troca de meia chave</t>
  </si>
  <si>
    <t>Acompanha o mesmo intervalo da meia chave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</si>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</sst>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R1" activePane="topRight" state="frozen"/>
      <selection pane="topRight" activeCell="Y807" sqref="Y80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/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/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/>
      <c r="BI68" s="14"/>
      <c r="BJ68" s="14" t="s">
        <v>1378</v>
      </c>
      <c r="BK68" s="14" t="s">
        <v>1378</v>
      </c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</v>
      </c>
      <c r="BS68" s="15">
        <f>IF(OR(B68="",F68=""),"*",BA68/Q68)</f>
        <v>0</v>
      </c>
      <c r="BT68" s="157" t="str">
        <f t="shared" si="2"/>
        <v/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1379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1380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1</v>
      </c>
      <c r="BI69" s="14"/>
      <c r="BJ69" s="14" t="s">
        <v>1381</v>
      </c>
      <c r="BK69" s="14" t="s">
        <v>1381</v>
      </c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</v>
      </c>
      <c r="BR69" s="15">
        <f>IF(OR(B69="",F69=""),"*",AY69/P69)</f>
        <v>1.0000000000000004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1382</v>
      </c>
      <c r="BK71" s="14" t="s">
        <v>1383</v>
      </c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/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1384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1385</v>
      </c>
      <c r="BK74" s="14" t="s">
        <v>1385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1386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1387</v>
      </c>
      <c r="BK76" s="14" t="s">
        <v>1387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1388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1389</v>
      </c>
      <c r="BK77" s="14" t="s">
        <v>1390</v>
      </c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/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1391</v>
      </c>
      <c r="BK78" s="14" t="s">
        <v>1391</v>
      </c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</v>
      </c>
      <c r="BR78" s="15">
        <f>IF(OR(B78="",F78=""),"*",AY78/P78)</f>
        <v>1</v>
      </c>
      <c r="BS78" s="15">
        <f>IF(OR(B78="",F78=""),"*",BA78/Q78)</f>
        <v>0</v>
      </c>
      <c r="BT78" s="157" t="str">
        <f t="shared" si="7"/>
        <v/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1392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1393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1394</v>
      </c>
      <c r="BK79" s="14" t="s">
        <v>1394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1395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/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0.41666666666666669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/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7"/>
        <v/>
      </c>
    </row>
    <row r="87" spans="1:72" ht="14.45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10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1396</v>
      </c>
      <c r="X88" s="152" t="s">
        <v>969</v>
      </c>
      <c r="Y88" s="129"/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11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1397</v>
      </c>
      <c r="X91" s="152" t="s">
        <v>969</v>
      </c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11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1398</v>
      </c>
      <c r="X92" s="152" t="s">
        <v>969</v>
      </c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11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/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>V4846087</v>
      </c>
      <c r="B95" s="133">
        <v>46087</v>
      </c>
      <c r="C95" s="7">
        <f>IF(BS_CONTROLE[[#This Row],[DATA]]="","",WEEKNUM(BS_CONTROLE[[#This Row],[DATA]]))</f>
        <v>10</v>
      </c>
      <c r="D95" s="45" t="s">
        <v>183</v>
      </c>
      <c r="E95" s="185">
        <v>49</v>
      </c>
      <c r="F95" s="134" t="s">
        <v>142</v>
      </c>
      <c r="G95" s="8" t="str">
        <f>IF(D95="","*",VLOOKUP(F95,BS_ATIVIDADE[#All],3,FALSE))</f>
        <v>MODERNIZAÇÃO</v>
      </c>
      <c r="H95" s="135" t="s">
        <v>444</v>
      </c>
      <c r="I95" s="135" t="s">
        <v>444</v>
      </c>
      <c r="J95" s="151">
        <v>74</v>
      </c>
      <c r="K95" s="151">
        <v>237.47200000000001</v>
      </c>
      <c r="L95" s="71">
        <v>242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5" s="135">
        <v>0.375</v>
      </c>
      <c r="P95" s="135">
        <v>4.1666666666666664E-2</v>
      </c>
      <c r="Q95" s="71">
        <v>375</v>
      </c>
      <c r="R95" s="9" t="str">
        <f>IFERROR(_xlfn.XLOOKUP(F95, BS_ATIVIDADE[ATIVIDADE],BS_ATIVIDADE[UNIDADE] ), "*")</f>
        <v>M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1273</v>
      </c>
      <c r="W95" s="135" t="s">
        <v>1359</v>
      </c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MODERNIZAÇÃO - SOCADORA</v>
      </c>
      <c r="AJ95" s="8" t="str">
        <f>IF(D95="","*",VLOOKUP(AI95,BS_ATIVIDADE[#Data],3,FALSE))</f>
        <v>MODERNIZAÇÃO</v>
      </c>
      <c r="AK95" s="175" t="str">
        <f>IF(BS_CONTROLE[[#This Row],[Local - Partida]]=0, "-", BS_CONTROLE[[#This Row],[Local - Partida]])</f>
        <v>TVI2</v>
      </c>
      <c r="AL95" s="175" t="str">
        <f>IF(BS_CONTROLE[[#This Row],[Local - Encerramento]]=0, "-", BS_CONTROLE[[#This Row],[Local - Encerramento]])</f>
        <v>TVI2</v>
      </c>
      <c r="AM95" s="175" t="str">
        <f>IF(BS_CONTROLE[[#This Row],[Entre - Estações]]=0, "-", BS_CONTROLE[[#This Row],[Entre - Estações]])</f>
        <v>TVI-TJA</v>
      </c>
      <c r="AN95" s="175" t="str">
        <f>IF(BS_CONTROLE[[#This Row],[SB]]=0, "-", BS_CONTROLE[[#This Row],[SB]])</f>
        <v>TVI239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237.47200000000001</v>
      </c>
      <c r="AQ95" s="177">
        <f>IF(BS_CONTROLE[[#This Row],[KM - Fim]]=0, "-", BS_CONTROLE[[#This Row],[KM - Fim]])</f>
        <v>242</v>
      </c>
      <c r="AR95" s="32"/>
      <c r="AS95" s="32"/>
      <c r="AT95" s="32"/>
      <c r="AU95" s="32"/>
      <c r="AV95" s="32"/>
      <c r="AW95" s="32"/>
      <c r="AX95" s="32"/>
      <c r="AY95" s="184">
        <f>IF(D95="","*",IFERROR(IF(ISODD(COUNT(AS95:AX95)),"ERRO",SUM((AT95-AS95),(AV95-AU95),(AX95-AW95))),"ERRO"))</f>
        <v>0</v>
      </c>
      <c r="AZ95" s="11"/>
      <c r="BA95" s="60"/>
      <c r="BB95" s="9" t="str">
        <f>IFERROR(_xlfn.XLOOKUP(AI95, BS_ATIVIDADE[ATIVIDADE],BS_ATIVIDADE[UNIDADE] ), "*")</f>
        <v>M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Augusto/ Efraim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Produção e Intervalo</v>
      </c>
      <c r="BR95" s="15">
        <f t="shared" si="10"/>
        <v>0</v>
      </c>
      <c r="BS95" s="15">
        <f t="shared" si="11"/>
        <v>0</v>
      </c>
      <c r="BT95" s="157" t="str">
        <f t="shared" si="7"/>
        <v/>
      </c>
    </row>
    <row r="96" spans="1:72" ht="14.45">
      <c r="A96" s="44" t="str">
        <f t="shared" ref="A96" si="12">D96&amp;B96</f>
        <v>E1846087</v>
      </c>
      <c r="B96" s="133">
        <v>46087</v>
      </c>
      <c r="C96" s="7">
        <f>IF(BS_CONTROLE[[#This Row],[DATA]]="","",WEEKNUM(BS_CONTROLE[[#This Row],[DATA]]))</f>
        <v>10</v>
      </c>
      <c r="D96" s="45" t="s">
        <v>1279</v>
      </c>
      <c r="E96" s="185">
        <v>90</v>
      </c>
      <c r="F96" s="134" t="s">
        <v>13</v>
      </c>
      <c r="G96" s="8" t="str">
        <f>IF(D96="","*",VLOOKUP(F96,BS_ATIVIDADE[#All],3,FALSE))</f>
        <v>CAMINHÂO - SOLDA</v>
      </c>
      <c r="H96" s="135" t="s">
        <v>647</v>
      </c>
      <c r="I96" s="135" t="s">
        <v>647</v>
      </c>
      <c r="J96" s="151">
        <v>78</v>
      </c>
      <c r="K96" s="151">
        <v>177.376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6" s="135">
        <v>0.35416666666666669</v>
      </c>
      <c r="P96" s="135">
        <v>0.125</v>
      </c>
      <c r="Q96" s="71">
        <v>3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6" s="199" t="str">
        <f>IFERROR(_xlfn.XLOOKUP(J96, BASE_MAPA!$B$2:$B$408, BASE_MAPA!$G$2:$G$408), "ERRO")</f>
        <v>ITIRAPINA - BAURU</v>
      </c>
      <c r="V96" s="143" t="s">
        <v>1367</v>
      </c>
      <c r="W96" s="135" t="s">
        <v>1281</v>
      </c>
      <c r="X96" s="152" t="s">
        <v>969</v>
      </c>
      <c r="Y96" s="129"/>
      <c r="Z96" s="129"/>
      <c r="AA96" s="71">
        <v>1</v>
      </c>
      <c r="AB96" s="59" t="s">
        <v>961</v>
      </c>
      <c r="AC96" s="59"/>
      <c r="AD96" s="135">
        <v>0.29166666666666669</v>
      </c>
      <c r="AE96" s="71">
        <v>6252</v>
      </c>
      <c r="AF96" s="71"/>
      <c r="AG96" s="71"/>
      <c r="AH96" s="42"/>
      <c r="AI96" s="119" t="str">
        <f>IF(BS_CONTROLE[[#This Row],[Atividade]]=0, "-", BS_CONTROLE[[#This Row],[Atividade]])</f>
        <v>CAMINHÃO DE SOLDA</v>
      </c>
      <c r="AJ96" s="8" t="str">
        <f>IF(D96="","*",VLOOKUP(AI96,BS_ATIVIDADE[#Data],3,FALSE))</f>
        <v>CAMINHÂO - SOLDA</v>
      </c>
      <c r="AK96" s="175" t="str">
        <f>IF(BS_CONTROLE[[#This Row],[Local - Partida]]=0, "-", BS_CONTROLE[[#This Row],[Local - Partida]])</f>
        <v>ZIQZQY</v>
      </c>
      <c r="AL96" s="175" t="str">
        <f>IF(BS_CONTROLE[[#This Row],[Local - Encerramento]]=0, "-", BS_CONTROLE[[#This Row],[Local - Encerramento]])</f>
        <v>ZIQZQY</v>
      </c>
      <c r="AM96" s="175" t="str">
        <f>IF(BS_CONTROLE[[#This Row],[Entre - Estações]]=0, "-", BS_CONTROLE[[#This Row],[Entre - Estações]])</f>
        <v>ZIQ-ZQY</v>
      </c>
      <c r="AN96" s="175" t="str">
        <f>IF(BS_CONTROLE[[#This Row],[SB]]=0, "-", BS_CONTROLE[[#This Row],[SB]])</f>
        <v>ZIQZQY</v>
      </c>
      <c r="AO96" s="176">
        <f>IF(BS_CONTROLE[[#This Row],[SUB]]=0, "-", BS_CONTROLE[[#This Row],[SUB]])</f>
        <v>78</v>
      </c>
      <c r="AP96" s="177">
        <f>IF(BS_CONTROLE[[#This Row],[KM - Inicio]]=0, "-", BS_CONTROLE[[#This Row],[KM - Inicio]])</f>
        <v>177.376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6" s="200" t="str">
        <f>IFERROR(_xlfn.XLOOKUP(AO96, BASE_MAPA!$B$2:$B$408, BASE_MAPA!$G$2:$G$408), "ERRO")</f>
        <v>ITIRAPINA - BAURU</v>
      </c>
      <c r="BF96" s="178" t="str">
        <f>IF(BS_CONTROLE[[#This Row],[Responsavel pelo boletim]]=0, "-", BS_CONTROLE[[#This Row],[Responsavel pelo boletim]])</f>
        <v>Paulo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>V8046087</v>
      </c>
      <c r="B98" s="133">
        <v>46087</v>
      </c>
      <c r="C98" s="7">
        <f>IF(BS_CONTROLE[[#This Row],[DATA]]="","",WEEKNUM(BS_CONTROLE[[#This Row],[DATA]]))</f>
        <v>10</v>
      </c>
      <c r="D98" s="45" t="s">
        <v>209</v>
      </c>
      <c r="E98" s="185">
        <v>92</v>
      </c>
      <c r="F98" s="134" t="s">
        <v>213</v>
      </c>
      <c r="G98" s="8" t="str">
        <f>IF(D98="","*",VLOOKUP(F98,BS_ATIVIDADE[#All],3,FALSE))</f>
        <v>OUTROS</v>
      </c>
      <c r="H98" s="135" t="s">
        <v>396</v>
      </c>
      <c r="I98" s="135" t="s">
        <v>442</v>
      </c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BINÁRIO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INSPEÇÃO RIV</v>
      </c>
      <c r="AJ98" s="8" t="str">
        <f>IF(D98="","*",VLOOKUP(AI98,BS_ATIVIDADE[#Data],3,FALSE))</f>
        <v>OUTROS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TVI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BINÁRIO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e">
        <f t="shared" si="9"/>
        <v>#DIV/0!</v>
      </c>
      <c r="BR98" s="15" t="e">
        <f t="shared" si="10"/>
        <v>#DIV/0!</v>
      </c>
      <c r="BS98" s="15" t="e">
        <f t="shared" si="11"/>
        <v>#DIV/0!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>E1846087</v>
      </c>
      <c r="B101" s="133">
        <v>46087</v>
      </c>
      <c r="C101" s="7">
        <f>IF(BS_CONTROLE[[#This Row],[DATA]]="","",WEEKNUM(BS_CONTROLE[[#This Row],[DATA]]))</f>
        <v>10</v>
      </c>
      <c r="D101" s="45" t="s">
        <v>1279</v>
      </c>
      <c r="E101" s="185">
        <v>56</v>
      </c>
      <c r="F101" s="134" t="s">
        <v>13</v>
      </c>
      <c r="G101" s="8" t="str">
        <f>IF(D101="","*",VLOOKUP(F101,BS_ATIVIDADE[#All],3,FALSE))</f>
        <v>CAMINHÂO - SOLDA</v>
      </c>
      <c r="H101" s="135" t="s">
        <v>647</v>
      </c>
      <c r="I101" s="135" t="s">
        <v>647</v>
      </c>
      <c r="J101" s="151">
        <v>78</v>
      </c>
      <c r="K101" s="151">
        <v>177.376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1" s="135">
        <v>0.35416666666666669</v>
      </c>
      <c r="P101" s="135">
        <v>0.125</v>
      </c>
      <c r="Q101" s="71">
        <v>3</v>
      </c>
      <c r="R101" s="9" t="str">
        <f>IFERROR(_xlfn.XLOOKUP(F101, BS_ATIVIDADE[ATIVIDADE],BS_ATIVIDADE[UNIDADE] ), "*")</f>
        <v>Nº DE SOLDA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199" t="str">
        <f>IFERROR(_xlfn.XLOOKUP(J101, BASE_MAPA!$B$2:$B$408, BASE_MAPA!$G$2:$G$408), "ERRO")</f>
        <v>ITIRAPINA - BAURU</v>
      </c>
      <c r="V101" s="143" t="s">
        <v>1367</v>
      </c>
      <c r="W101" s="135" t="s">
        <v>1281</v>
      </c>
      <c r="X101" s="152" t="s">
        <v>969</v>
      </c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CAMINHÃO DE SOLDA</v>
      </c>
      <c r="AJ101" s="8" t="str">
        <f>IF(D101="","*",VLOOKUP(AI101,BS_ATIVIDADE[#Data],3,FALSE))</f>
        <v>CAMINHÂO - SOLDA</v>
      </c>
      <c r="AK101" s="175" t="str">
        <f>IF(BS_CONTROLE[[#This Row],[Local - Partida]]=0, "-", BS_CONTROLE[[#This Row],[Local - Partida]])</f>
        <v>ZIQZQY</v>
      </c>
      <c r="AL101" s="175" t="str">
        <f>IF(BS_CONTROLE[[#This Row],[Local - Encerramento]]=0, "-", BS_CONTROLE[[#This Row],[Local - Encerramento]])</f>
        <v>ZIQZQY</v>
      </c>
      <c r="AM101" s="175" t="str">
        <f>IF(BS_CONTROLE[[#This Row],[Entre - Estações]]=0, "-", BS_CONTROLE[[#This Row],[Entre - Estações]])</f>
        <v>ZIQ-ZQY</v>
      </c>
      <c r="AN101" s="175" t="str">
        <f>IF(BS_CONTROLE[[#This Row],[SB]]=0, "-", BS_CONTROLE[[#This Row],[SB]])</f>
        <v>ZIQZQY</v>
      </c>
      <c r="AO101" s="176">
        <f>IF(BS_CONTROLE[[#This Row],[SUB]]=0, "-", BS_CONTROLE[[#This Row],[SUB]])</f>
        <v>78</v>
      </c>
      <c r="AP101" s="177">
        <f>IF(BS_CONTROLE[[#This Row],[KM - Inicio]]=0, "-", BS_CONTROLE[[#This Row],[KM - Inicio]])</f>
        <v>177.376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Nº DE SOLDA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200" t="str">
        <f>IFERROR(_xlfn.XLOOKUP(AO101, BASE_MAPA!$B$2:$B$408, BASE_MAPA!$G$2:$G$408), "ERRO")</f>
        <v>ITIRAPINA - BAURU</v>
      </c>
      <c r="BF101" s="178" t="str">
        <f>IF(BS_CONTROLE[[#This Row],[Responsavel pelo boletim]]=0, "-", BS_CONTROLE[[#This Row],[Responsavel pelo boletim]])</f>
        <v>Paulo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4">IF(AND(BR136&lt;1,BS136&lt;1),"Produção e Intervalo",IF(BR136&lt;1,"Intervalo",IF(BS136&lt;1,"Produção","Aderente")))</f>
        <v>Aderente</v>
      </c>
      <c r="BR136" s="15" t="str">
        <f t="shared" ref="BR136:BR199" si="15">IF(OR(B136="",F136=""),"*",AY136/P136)</f>
        <v>*</v>
      </c>
      <c r="BS136" s="15" t="str">
        <f t="shared" ref="BS136:BS199" si="16">IF(OR(B136="",F136=""),"*",BA136/Q136)</f>
        <v>*</v>
      </c>
      <c r="BT136" s="157" t="str">
        <f t="shared" ref="BT136:BT199" si="17">IF(BN136="","",SUBSTITUTE(BM136," ","")&amp;SUBSTITUTE(BN136," ",""))</f>
        <v/>
      </c>
    </row>
    <row r="137" spans="1:72" ht="14.45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>
      <c r="A200" s="44" t="str">
        <f t="shared" ref="A200:A263" si="18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9">IF(AND(BR200&lt;1,BS200&lt;1),"Produção e Intervalo",IF(BR200&lt;1,"Intervalo",IF(BS200&lt;1,"Produção","Aderente")))</f>
        <v>Aderente</v>
      </c>
      <c r="BR200" s="15" t="str">
        <f t="shared" ref="BR200:BR263" si="20">IF(OR(B200="",F200=""),"*",AY200/P200)</f>
        <v>*</v>
      </c>
      <c r="BS200" s="15" t="str">
        <f t="shared" ref="BS200:BS263" si="21">IF(OR(B200="",F200=""),"*",BA200/Q200)</f>
        <v>*</v>
      </c>
      <c r="BT200" s="157" t="str">
        <f t="shared" ref="BT200:BT263" si="22">IF(BN200="","",SUBSTITUTE(BM200," ","")&amp;SUBSTITUTE(BN200," ",""))</f>
        <v/>
      </c>
    </row>
    <row r="201" spans="1:72" ht="14.45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>
      <c r="A264" s="44" t="str">
        <f t="shared" ref="A264:A327" si="23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4">IF(AND(BR264&lt;1,BS264&lt;1),"Produção e Intervalo",IF(BR264&lt;1,"Intervalo",IF(BS264&lt;1,"Produção","Aderente")))</f>
        <v>Aderente</v>
      </c>
      <c r="BR264" s="15" t="str">
        <f t="shared" ref="BR264:BR327" si="25">IF(OR(B264="",F264=""),"*",AY264/P264)</f>
        <v>*</v>
      </c>
      <c r="BS264" s="15" t="str">
        <f t="shared" ref="BS264:BS327" si="26">IF(OR(B264="",F264=""),"*",BA264/Q264)</f>
        <v>*</v>
      </c>
      <c r="BT264" s="157" t="str">
        <f t="shared" ref="BT264:BT327" si="27">IF(BN264="","",SUBSTITUTE(BM264," ","")&amp;SUBSTITUTE(BN264," ",""))</f>
        <v/>
      </c>
    </row>
    <row r="265" spans="1:72" ht="14.45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>
      <c r="A328" s="44" t="str">
        <f t="shared" ref="A328:A391" si="28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9">IF(AND(BR328&lt;1,BS328&lt;1),"Produção e Intervalo",IF(BR328&lt;1,"Intervalo",IF(BS328&lt;1,"Produção","Aderente")))</f>
        <v>Aderente</v>
      </c>
      <c r="BR328" s="15" t="str">
        <f t="shared" ref="BR328:BR391" si="30">IF(OR(B328="",F328=""),"*",AY328/P328)</f>
        <v>*</v>
      </c>
      <c r="BS328" s="15" t="str">
        <f t="shared" ref="BS328:BS391" si="31">IF(OR(B328="",F328=""),"*",BA328/Q328)</f>
        <v>*</v>
      </c>
      <c r="BT328" s="157" t="str">
        <f t="shared" ref="BT328:BT391" si="32">IF(BN328="","",SUBSTITUTE(BM328," ","")&amp;SUBSTITUTE(BN328," ",""))</f>
        <v/>
      </c>
    </row>
    <row r="329" spans="1:72" ht="14.45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>
      <c r="A392" s="44" t="str">
        <f t="shared" ref="A392:A455" si="33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4">IF(AND(BR392&lt;1,BS392&lt;1),"Produção e Intervalo",IF(BR392&lt;1,"Intervalo",IF(BS392&lt;1,"Produção","Aderente")))</f>
        <v>Aderente</v>
      </c>
      <c r="BR392" s="15" t="str">
        <f t="shared" ref="BR392:BR455" si="35">IF(OR(B392="",F392=""),"*",AY392/P392)</f>
        <v>*</v>
      </c>
      <c r="BS392" s="15" t="str">
        <f t="shared" ref="BS392:BS455" si="36">IF(OR(B392="",F392=""),"*",BA392/Q392)</f>
        <v>*</v>
      </c>
      <c r="BT392" s="157" t="str">
        <f t="shared" ref="BT392:BT455" si="37">IF(BN392="","",SUBSTITUTE(BM392," ","")&amp;SUBSTITUTE(BN392," ",""))</f>
        <v/>
      </c>
    </row>
    <row r="393" spans="1:72" ht="14.45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>
      <c r="A456" s="44" t="str">
        <f t="shared" ref="A456:A519" si="38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9">IF(AND(BR456&lt;1,BS456&lt;1),"Produção e Intervalo",IF(BR456&lt;1,"Intervalo",IF(BS456&lt;1,"Produção","Aderente")))</f>
        <v>Aderente</v>
      </c>
      <c r="BR456" s="15" t="str">
        <f t="shared" ref="BR456:BR519" si="40">IF(OR(B456="",F456=""),"*",AY456/P456)</f>
        <v>*</v>
      </c>
      <c r="BS456" s="15" t="str">
        <f t="shared" ref="BS456:BS519" si="41">IF(OR(B456="",F456=""),"*",BA456/Q456)</f>
        <v>*</v>
      </c>
      <c r="BT456" s="157" t="str">
        <f t="shared" ref="BT456:BT519" si="42">IF(BN456="","",SUBSTITUTE(BM456," ","")&amp;SUBSTITUTE(BN456," ",""))</f>
        <v/>
      </c>
    </row>
    <row r="457" spans="1:72" ht="14.45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>
      <c r="A520" s="44" t="str">
        <f t="shared" ref="A520:A583" si="43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4">IF(AND(BR520&lt;1,BS520&lt;1),"Produção e Intervalo",IF(BR520&lt;1,"Intervalo",IF(BS520&lt;1,"Produção","Aderente")))</f>
        <v>Aderente</v>
      </c>
      <c r="BR520" s="15" t="str">
        <f t="shared" ref="BR520:BR583" si="45">IF(OR(B520="",F520=""),"*",AY520/P520)</f>
        <v>*</v>
      </c>
      <c r="BS520" s="15" t="str">
        <f t="shared" ref="BS520:BS583" si="46">IF(OR(B520="",F520=""),"*",BA520/Q520)</f>
        <v>*</v>
      </c>
      <c r="BT520" s="157" t="str">
        <f t="shared" ref="BT520:BT583" si="47">IF(BN520="","",SUBSTITUTE(BM520," ","")&amp;SUBSTITUTE(BN520," ",""))</f>
        <v/>
      </c>
    </row>
    <row r="521" spans="1:72" ht="14.45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>
      <c r="A584" s="44" t="str">
        <f t="shared" ref="A584:A647" si="48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9">IF(AND(BR584&lt;1,BS584&lt;1),"Produção e Intervalo",IF(BR584&lt;1,"Intervalo",IF(BS584&lt;1,"Produção","Aderente")))</f>
        <v>Aderente</v>
      </c>
      <c r="BR584" s="15" t="str">
        <f t="shared" ref="BR584:BR647" si="50">IF(OR(B584="",F584=""),"*",AY584/P584)</f>
        <v>*</v>
      </c>
      <c r="BS584" s="15" t="str">
        <f t="shared" ref="BS584:BS647" si="51">IF(OR(B584="",F584=""),"*",BA584/Q584)</f>
        <v>*</v>
      </c>
      <c r="BT584" s="157" t="str">
        <f t="shared" ref="BT584:BT647" si="52">IF(BN584="","",SUBSTITUTE(BM584," ","")&amp;SUBSTITUTE(BN584," ",""))</f>
        <v/>
      </c>
    </row>
    <row r="585" spans="1:72" ht="14.45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>
      <c r="A648" s="44" t="str">
        <f t="shared" ref="A648:A711" si="53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4">IF(AND(BR648&lt;1,BS648&lt;1),"Produção e Intervalo",IF(BR648&lt;1,"Intervalo",IF(BS648&lt;1,"Produção","Aderente")))</f>
        <v>Aderente</v>
      </c>
      <c r="BR648" s="15" t="str">
        <f t="shared" ref="BR648:BR711" si="55">IF(OR(B648="",F648=""),"*",AY648/P648)</f>
        <v>*</v>
      </c>
      <c r="BS648" s="15" t="str">
        <f t="shared" ref="BS648:BS711" si="56">IF(OR(B648="",F648=""),"*",BA648/Q648)</f>
        <v>*</v>
      </c>
      <c r="BT648" s="157" t="str">
        <f t="shared" ref="BT648:BT711" si="57">IF(BN648="","",SUBSTITUTE(BM648," ","")&amp;SUBSTITUTE(BN648," ",""))</f>
        <v/>
      </c>
    </row>
    <row r="649" spans="1:72" ht="14.45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>
      <c r="A712" s="44" t="str">
        <f t="shared" ref="A712:A775" si="58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9">IF(AND(BR712&lt;1,BS712&lt;1),"Produção e Intervalo",IF(BR712&lt;1,"Intervalo",IF(BS712&lt;1,"Produção","Aderente")))</f>
        <v>Aderente</v>
      </c>
      <c r="BR712" s="15" t="str">
        <f t="shared" ref="BR712:BR775" si="60">IF(OR(B712="",F712=""),"*",AY712/P712)</f>
        <v>*</v>
      </c>
      <c r="BS712" s="15" t="str">
        <f t="shared" ref="BS712:BS775" si="61">IF(OR(B712="",F712=""),"*",BA712/Q712)</f>
        <v>*</v>
      </c>
      <c r="BT712" s="157" t="str">
        <f t="shared" ref="BT712:BT775" si="62">IF(BN712="","",SUBSTITUTE(BM712," ","")&amp;SUBSTITUTE(BN712," ",""))</f>
        <v/>
      </c>
    </row>
    <row r="713" spans="1:72" ht="14.45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>
      <c r="A776" s="44" t="str">
        <f t="shared" ref="A776:A801" si="6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4">IF(AND(BR776&lt;1,BS776&lt;1),"Produção e Intervalo",IF(BR776&lt;1,"Intervalo",IF(BS776&lt;1,"Produção","Aderente")))</f>
        <v>Aderente</v>
      </c>
      <c r="BR776" s="15" t="str">
        <f t="shared" ref="BR776:BR801" si="65">IF(OR(B776="",F776=""),"*",AY776/P776)</f>
        <v>*</v>
      </c>
      <c r="BS776" s="15" t="str">
        <f t="shared" ref="BS776:BS801" si="66">IF(OR(B776="",F776=""),"*",BA776/Q776)</f>
        <v>*</v>
      </c>
      <c r="BT776" s="157" t="str">
        <f t="shared" ref="BT776:BT801" si="67">IF(BN776="","",SUBSTITUTE(BM776," ","")&amp;SUBSTITUTE(BN776," ",""))</f>
        <v/>
      </c>
    </row>
    <row r="777" spans="1:72" ht="14.45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1399</v>
      </c>
    </row>
  </sheetData>
  <protectedRanges>
    <protectedRange sqref="J6:K6 J25:K801" name="Range1_8_1"/>
    <protectedRange sqref="O6:Q6 O25:Q801" name="Range1_9_1"/>
    <protectedRange sqref="V6:Y6 W24 V25:Y82 V83 X83:Y83 V84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9" operator="equal">
      <formula>"ERRO"</formula>
    </cfRule>
  </conditionalFormatting>
  <conditionalFormatting sqref="X4 Y1:Z801">
    <cfRule type="cellIs" dxfId="120" priority="18488" operator="equal">
      <formula>"OPORTUNIDADE"</formula>
    </cfRule>
  </conditionalFormatting>
  <conditionalFormatting sqref="AZ6:AZ801">
    <cfRule type="expression" dxfId="119" priority="18483">
      <formula>$BU6=1</formula>
    </cfRule>
  </conditionalFormatting>
  <conditionalFormatting sqref="BQ6:BQ801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1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1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4:Y1048576">
    <cfRule type="cellIs" dxfId="108" priority="18305" operator="equal">
      <formula>"OPORTUNIDADE"</formula>
    </cfRule>
  </conditionalFormatting>
  <conditionalFormatting sqref="Y1047864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1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73 BO75:BO801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M6:BM801 BN74:BO74" xr:uid="{0374E4CD-E1C2-4373-A381-0828C9AFF6FF}">
      <formula1>IMPCAUSADOR</formula1>
    </dataValidation>
    <dataValidation type="list" allowBlank="1" showInputMessage="1" showErrorMessage="1" sqref="BN6:BN14 BN16:BN54 BN56:BN73 BN75:BN801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1400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1401</v>
      </c>
      <c r="E3" s="186" t="s">
        <v>1402</v>
      </c>
      <c r="F3" s="186" t="s">
        <v>1403</v>
      </c>
      <c r="G3" s="186" t="s">
        <v>1404</v>
      </c>
      <c r="H3" s="186" t="s">
        <v>1405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1406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1407</v>
      </c>
      <c r="D10" s="187">
        <v>9049</v>
      </c>
      <c r="E10" s="188">
        <v>46044</v>
      </c>
      <c r="F10" s="187" t="s">
        <v>1408</v>
      </c>
      <c r="G10" s="187" t="s">
        <v>1409</v>
      </c>
      <c r="H10" s="187"/>
    </row>
    <row r="11" spans="3:8">
      <c r="C11" s="187" t="s">
        <v>1407</v>
      </c>
      <c r="D11" s="187">
        <v>9044</v>
      </c>
      <c r="E11" s="188">
        <v>46044</v>
      </c>
      <c r="F11" s="187" t="s">
        <v>1410</v>
      </c>
      <c r="G11" s="187" t="s">
        <v>1411</v>
      </c>
      <c r="H11" s="187"/>
    </row>
    <row r="12" spans="3:8">
      <c r="C12" s="187" t="s">
        <v>1407</v>
      </c>
      <c r="D12" s="187">
        <v>762</v>
      </c>
      <c r="E12" s="188">
        <v>46044</v>
      </c>
      <c r="F12" s="187" t="s">
        <v>1412</v>
      </c>
      <c r="G12" s="187" t="s">
        <v>1411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1413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1414</v>
      </c>
      <c r="C4" s="191" t="s">
        <v>1415</v>
      </c>
      <c r="D4" s="191" t="s">
        <v>1416</v>
      </c>
      <c r="E4" s="191" t="s">
        <v>1417</v>
      </c>
      <c r="F4" s="191" t="s">
        <v>368</v>
      </c>
      <c r="G4" s="191" t="s">
        <v>1418</v>
      </c>
    </row>
    <row r="5" spans="2:7">
      <c r="B5" s="192" t="s">
        <v>1419</v>
      </c>
      <c r="C5" s="192">
        <v>309525</v>
      </c>
      <c r="D5" s="192" t="s">
        <v>1420</v>
      </c>
      <c r="E5" s="192" t="s">
        <v>249</v>
      </c>
      <c r="F5" s="192" t="s">
        <v>1421</v>
      </c>
      <c r="G5" s="193">
        <v>46296</v>
      </c>
    </row>
    <row r="6" spans="2:7">
      <c r="B6" s="192" t="s">
        <v>1422</v>
      </c>
      <c r="C6" s="192">
        <v>257410</v>
      </c>
      <c r="D6" s="192" t="s">
        <v>1423</v>
      </c>
      <c r="E6" s="192" t="s">
        <v>249</v>
      </c>
      <c r="F6" s="192" t="s">
        <v>1421</v>
      </c>
      <c r="G6" s="193"/>
    </row>
    <row r="7" spans="2:7">
      <c r="B7" s="192" t="s">
        <v>1259</v>
      </c>
      <c r="C7" s="192">
        <v>256875</v>
      </c>
      <c r="D7" s="192" t="s">
        <v>1424</v>
      </c>
      <c r="E7" s="192" t="s">
        <v>249</v>
      </c>
      <c r="F7" s="192" t="s">
        <v>1421</v>
      </c>
      <c r="G7" s="193">
        <v>46296</v>
      </c>
    </row>
    <row r="8" spans="2:7">
      <c r="B8" s="192" t="s">
        <v>1425</v>
      </c>
      <c r="C8" s="192">
        <v>257278</v>
      </c>
      <c r="D8" s="192" t="s">
        <v>1426</v>
      </c>
      <c r="E8" s="192" t="s">
        <v>240</v>
      </c>
      <c r="F8" s="192" t="s">
        <v>1427</v>
      </c>
      <c r="G8" s="193">
        <v>46235</v>
      </c>
    </row>
    <row r="9" spans="2:7">
      <c r="B9" s="192" t="s">
        <v>1428</v>
      </c>
      <c r="C9" s="192">
        <v>257033</v>
      </c>
      <c r="D9" s="192" t="s">
        <v>1429</v>
      </c>
      <c r="E9" s="192" t="s">
        <v>240</v>
      </c>
      <c r="F9" s="192" t="s">
        <v>385</v>
      </c>
      <c r="G9" s="192" t="s">
        <v>1430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1431</v>
      </c>
      <c r="C2" s="83" t="s">
        <v>1160</v>
      </c>
      <c r="D2" s="83" t="s">
        <v>1162</v>
      </c>
      <c r="E2" s="83" t="s">
        <v>1432</v>
      </c>
      <c r="F2" s="83" t="s">
        <v>1433</v>
      </c>
      <c r="G2" s="83" t="s">
        <v>1434</v>
      </c>
      <c r="H2" s="83" t="s">
        <v>1435</v>
      </c>
      <c r="I2" s="83" t="s">
        <v>1436</v>
      </c>
      <c r="J2" s="83" t="s">
        <v>1437</v>
      </c>
      <c r="K2" s="109" t="s">
        <v>1438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-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-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-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IF(FN_MC!Y95="","*",FN_MC!Y95)</f>
        <v>*</v>
      </c>
      <c r="C91" s="101">
        <f>IF(FN_MC!B95="","*",FN_MC!B95)</f>
        <v>46087</v>
      </c>
      <c r="D91" s="101" t="str">
        <f>IF(FN_MC!D95="","*",FN_MC!D95)</f>
        <v>V48</v>
      </c>
      <c r="E91" s="101" t="str">
        <f>IF(FN_MC!H95="","*",FN_MC!H95)</f>
        <v>TVI2</v>
      </c>
      <c r="F91" s="114" t="str">
        <f>IF(FN_MC!M95="","*",FN_MC!M95)</f>
        <v>TVI-TJA</v>
      </c>
      <c r="G91" s="101" t="str">
        <f>IF(FN_MC!I95="","*",FN_MC!I95)</f>
        <v>TVI2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>
        <f>IF(FN_MC!B96="","*",FN_MC!B96)</f>
        <v>46087</v>
      </c>
      <c r="D92" s="101" t="str">
        <f>IF(FN_MC!D96="","*",FN_MC!D96)</f>
        <v>E18</v>
      </c>
      <c r="E92" s="101" t="str">
        <f>IF(FN_MC!H96="","*",FN_MC!H96)</f>
        <v>ZIQZQY</v>
      </c>
      <c r="F92" s="114" t="str">
        <f>IF(FN_MC!M96="","*",FN_MC!M96)</f>
        <v>ZIQ-ZQY</v>
      </c>
      <c r="G92" s="101" t="str">
        <f>IF(FN_MC!I96="","*",FN_MC!I96)</f>
        <v>ZIQZQY</v>
      </c>
      <c r="H92" s="101" t="str">
        <f>IF(FN_MC!AB96="","*",FN_MC!AB96)</f>
        <v>FIXO</v>
      </c>
      <c r="I92" s="101" t="str">
        <f>IF(FN_MC!AC96="","*",FN_MC!AC96)</f>
        <v>*</v>
      </c>
      <c r="J92" s="102">
        <f>IF(FN_MC!AA96="","*",FN_MC!AA96)</f>
        <v>1</v>
      </c>
      <c r="K92" s="112">
        <f>IF(FN_MC!AD96="","*",FN_MC!AD96)</f>
        <v>0.29166666666666669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>
        <f>IF(FN_MC!B98="","*",FN_MC!B98)</f>
        <v>46087</v>
      </c>
      <c r="D94" s="101" t="str">
        <f>IF(FN_MC!D98="","*",FN_MC!D98)</f>
        <v>V80</v>
      </c>
      <c r="E94" s="101" t="str">
        <f>IF(FN_MC!H98="","*",FN_MC!H98)</f>
        <v>TAP</v>
      </c>
      <c r="F94" s="114" t="str">
        <f>IF(FN_MC!M98="","*",FN_MC!M98)</f>
        <v>-</v>
      </c>
      <c r="G94" s="101" t="str">
        <f>IF(FN_MC!I98="","*",FN_MC!I98)</f>
        <v>TVI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>
        <f>IF(FN_MC!B101="","*",FN_MC!B101)</f>
        <v>46087</v>
      </c>
      <c r="D97" s="101" t="str">
        <f>IF(FN_MC!D101="","*",FN_MC!D101)</f>
        <v>E18</v>
      </c>
      <c r="E97" s="101" t="str">
        <f>IF(FN_MC!H101="","*",FN_MC!H101)</f>
        <v>ZIQZQY</v>
      </c>
      <c r="F97" s="114" t="str">
        <f>IF(FN_MC!M101="","*",FN_MC!M101)</f>
        <v>ZIQ-ZQY</v>
      </c>
      <c r="G97" s="101" t="str">
        <f>IF(FN_MC!I101="","*",FN_MC!I101)</f>
        <v>ZIQZQY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1439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1440</v>
      </c>
      <c r="B2" s="91" t="s">
        <v>1441</v>
      </c>
      <c r="C2" s="91" t="s">
        <v>7</v>
      </c>
      <c r="D2" s="92" t="s">
        <v>1175</v>
      </c>
      <c r="E2" s="92" t="s">
        <v>368</v>
      </c>
      <c r="F2" s="92" t="s">
        <v>1442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1443</v>
      </c>
      <c r="T2" s="94" t="s">
        <v>1178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0.41666666666666669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*</v>
      </c>
      <c r="C86" s="95" t="str">
        <f>IF(FN_MC!Z86="","*",FN_MC!Z86)</f>
        <v>*</v>
      </c>
      <c r="D86" s="96" t="str">
        <f>IF(FN_MC!S86="","*",FN_MC!S86)</f>
        <v>-</v>
      </c>
      <c r="E86" s="96" t="str">
        <f>IF(FN_MC!T86="","*",FN_MC!T86)</f>
        <v>-</v>
      </c>
      <c r="F86" s="96" t="str">
        <f>IF(FN_MC!B86="","*",FN_MC!B86)</f>
        <v>*</v>
      </c>
      <c r="G86" s="96" t="str">
        <f>IF(FN_MC!D86="","*",FN_MC!D86)</f>
        <v>*</v>
      </c>
      <c r="H86" s="96" t="str">
        <f>IF(FN_MC!F86="","*",FN_MC!F86)</f>
        <v>*</v>
      </c>
      <c r="I86" s="96" t="str">
        <f>IF(FN_MC!H86="","*",FN_MC!H86)</f>
        <v>*</v>
      </c>
      <c r="J86" s="96" t="str">
        <f>IF(FN_MC!I86="","*",FN_MC!I86)</f>
        <v>*</v>
      </c>
      <c r="K86" s="96" t="str">
        <f>IF(FN_MC!M86="","*",FN_MC!M86)</f>
        <v>-</v>
      </c>
      <c r="L86" s="196" t="str">
        <f>IF(FN_MC!N86="","*",FN_MC!N86)</f>
        <v>-</v>
      </c>
      <c r="M86" s="97" t="str">
        <f>IF(FN_MC!J86="","*",FN_MC!J86)</f>
        <v>*</v>
      </c>
      <c r="N86" s="183" t="str">
        <f>IF(FN_MC!K86="","*",FN_MC!K86)</f>
        <v>*</v>
      </c>
      <c r="O86" s="183" t="str">
        <f>IF(FN_MC!L86="","*",FN_MC!L86)</f>
        <v>-</v>
      </c>
      <c r="P86" s="107" t="str">
        <f>IF(FN_MC!O86="","*",FN_MC!O86)</f>
        <v>*</v>
      </c>
      <c r="Q86" s="107" t="str">
        <f>IF(FN_MC!P86="","*",FN_MC!P86)</f>
        <v>*</v>
      </c>
      <c r="R86" s="96" t="str">
        <f>IF(FN_MC!Q86="","*",CONCATENATE(FN_MC!Q86," ",FN_MC!R86))</f>
        <v>*</v>
      </c>
      <c r="S86" s="96" t="str">
        <f>IF(FN_MC!V86="","*",FN_MC!V86)</f>
        <v>*</v>
      </c>
      <c r="T86" s="96" t="str">
        <f>IF(FN_MC!W86="","*",FN_MC!W86)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10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17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20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-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-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2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-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1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*</v>
      </c>
      <c r="C95" s="95" t="str">
        <f>IF(FN_MC!Z95="","*",FN_MC!Z95)</f>
        <v>*</v>
      </c>
      <c r="D95" s="96" t="str">
        <f>IF(FN_MC!S95="","*",FN_MC!S95)</f>
        <v>FERRONORTE</v>
      </c>
      <c r="E95" s="96" t="str">
        <f>IF(FN_MC!T95="","*",FN_MC!T95)</f>
        <v>TMI-TCS</v>
      </c>
      <c r="F95" s="96">
        <f>IF(FN_MC!B95="","*",FN_MC!B95)</f>
        <v>46087</v>
      </c>
      <c r="G95" s="96" t="str">
        <f>IF(FN_MC!D95="","*",FN_MC!D95)</f>
        <v>V48</v>
      </c>
      <c r="H95" s="96" t="str">
        <f>IF(FN_MC!F95="","*",FN_MC!F95)</f>
        <v>MODERNIZAÇÃO - SOCADORA</v>
      </c>
      <c r="I95" s="96" t="str">
        <f>IF(FN_MC!H95="","*",FN_MC!H95)</f>
        <v>TVI2</v>
      </c>
      <c r="J95" s="96" t="str">
        <f>IF(FN_MC!I95="","*",FN_MC!I95)</f>
        <v>TVI2</v>
      </c>
      <c r="K95" s="96" t="str">
        <f>IF(FN_MC!M95="","*",FN_MC!M95)</f>
        <v>TVI-TJA</v>
      </c>
      <c r="L95" s="196" t="str">
        <f>IF(FN_MC!N95="","*",FN_MC!N95)</f>
        <v>TVI239</v>
      </c>
      <c r="M95" s="97">
        <f>IF(FN_MC!J95="","*",FN_MC!J95)</f>
        <v>74</v>
      </c>
      <c r="N95" s="183">
        <f>IF(FN_MC!K95="","*",FN_MC!K95)</f>
        <v>237.47200000000001</v>
      </c>
      <c r="O95" s="183">
        <f>IF(FN_MC!L95="","*",FN_MC!L95)</f>
        <v>242</v>
      </c>
      <c r="P95" s="107">
        <f>IF(FN_MC!O95="","*",FN_MC!O95)</f>
        <v>0.375</v>
      </c>
      <c r="Q95" s="107">
        <f>IF(FN_MC!P95="","*",FN_MC!P95)</f>
        <v>4.1666666666666664E-2</v>
      </c>
      <c r="R95" s="96" t="str">
        <f>IF(FN_MC!Q95="","*",CONCATENATE(FN_MC!Q95," ",FN_MC!R95))</f>
        <v>375 M</v>
      </c>
      <c r="S95" s="96" t="str">
        <f>IF(FN_MC!V95="","*",FN_MC!V95)</f>
        <v>Augusto/ Efraim</v>
      </c>
      <c r="T95" s="96" t="str">
        <f>IF(FN_MC!W95="","*",FN_MC!W95)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1835</v>
      </c>
      <c r="W95" s="98">
        <f ca="1">_xlfn.XLOOKUP(G95&amp;$W$2,BS_CONTROLE[CHAVE],BS_CONTROLE[Quantidade_11],"-")</f>
        <v>905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Oportunidade</v>
      </c>
      <c r="C96" s="95" t="str">
        <f>IF(FN_MC!Z96="","*",FN_MC!Z96)</f>
        <v>*</v>
      </c>
      <c r="D96" s="96" t="str">
        <f>IF(FN_MC!S96="","*",FN_MC!S96)</f>
        <v>MALHA CENTRAL</v>
      </c>
      <c r="E96" s="96" t="str">
        <f>IF(FN_MC!T96="","*",FN_MC!T96)</f>
        <v>RAMAL</v>
      </c>
      <c r="F96" s="96">
        <f>IF(FN_MC!B96="","*",FN_MC!B96)</f>
        <v>46087</v>
      </c>
      <c r="G96" s="96" t="str">
        <f>IF(FN_MC!D96="","*",FN_MC!D96)</f>
        <v>E18</v>
      </c>
      <c r="H96" s="96" t="str">
        <f>IF(FN_MC!F96="","*",FN_MC!F96)</f>
        <v>CAMINHÃO DE SOLDA</v>
      </c>
      <c r="I96" s="96" t="str">
        <f>IF(FN_MC!H96="","*",FN_MC!H96)</f>
        <v>ZIQZQY</v>
      </c>
      <c r="J96" s="96" t="str">
        <f>IF(FN_MC!I96="","*",FN_MC!I96)</f>
        <v>ZIQZQY</v>
      </c>
      <c r="K96" s="96" t="str">
        <f>IF(FN_MC!M96="","*",FN_MC!M96)</f>
        <v>ZIQ-ZQY</v>
      </c>
      <c r="L96" s="196" t="str">
        <f>IF(FN_MC!N96="","*",FN_MC!N96)</f>
        <v>ZIQZQY</v>
      </c>
      <c r="M96" s="97">
        <f>IF(FN_MC!J96="","*",FN_MC!J96)</f>
        <v>78</v>
      </c>
      <c r="N96" s="183">
        <f>IF(FN_MC!K96="","*",FN_MC!K96)</f>
        <v>177.376</v>
      </c>
      <c r="O96" s="183" t="str">
        <f>IF(FN_MC!L96="","*",FN_MC!L96)</f>
        <v>-</v>
      </c>
      <c r="P96" s="107">
        <f>IF(FN_MC!O96="","*",FN_MC!O96)</f>
        <v>0.35416666666666669</v>
      </c>
      <c r="Q96" s="107">
        <f>IF(FN_MC!P96="","*",FN_MC!P96)</f>
        <v>0.125</v>
      </c>
      <c r="R96" s="96" t="str">
        <f>IF(FN_MC!Q96="","*",CONCATENATE(FN_MC!Q96," ",FN_MC!R96))</f>
        <v>3 Nº DE SOLDA</v>
      </c>
      <c r="S96" s="96" t="str">
        <f>IF(FN_MC!V96="","*",FN_MC!V96)</f>
        <v>Paulo</v>
      </c>
      <c r="T96" s="96" t="str">
        <f>IF(FN_MC!W96="","*",FN_MC!W96)</f>
        <v>Caminhão de solda</v>
      </c>
      <c r="U96" s="98">
        <f ca="1">_xlfn.XLOOKUP(G96&amp;$U$2,BS_CONTROLE[CHAVE],BS_CONTROLE[Quantidade_11],"-")</f>
        <v>4</v>
      </c>
      <c r="V96" s="98">
        <f ca="1">_xlfn.XLOOKUP(G96&amp;$V$2,BS_CONTROLE[CHAVE],BS_CONTROLE[Quantidade_11],"-")</f>
        <v>2</v>
      </c>
      <c r="W96" s="98">
        <f ca="1">_xlfn.XLOOKUP(G96&amp;$W$2,BS_CONTROLE[CHAVE],BS_CONTROLE[Quantidade_11],"-")</f>
        <v>4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*</v>
      </c>
      <c r="C97" s="95" t="str">
        <f>IF(FN_MC!Z97="","*",FN_MC!Z97)</f>
        <v>*</v>
      </c>
      <c r="D97" s="96" t="str">
        <f>IF(FN_MC!S97="","*",FN_MC!S97)</f>
        <v>-</v>
      </c>
      <c r="E97" s="96" t="str">
        <f>IF(FN_MC!T97="","*",FN_MC!T97)</f>
        <v>-</v>
      </c>
      <c r="F97" s="96" t="str">
        <f>IF(FN_MC!B97="","*",FN_MC!B97)</f>
        <v>*</v>
      </c>
      <c r="G97" s="96" t="str">
        <f>IF(FN_MC!D97="","*",FN_MC!D97)</f>
        <v>*</v>
      </c>
      <c r="H97" s="96" t="str">
        <f>IF(FN_MC!F97="","*",FN_MC!F97)</f>
        <v>*</v>
      </c>
      <c r="I97" s="96" t="str">
        <f>IF(FN_MC!H97="","*",FN_MC!H97)</f>
        <v>*</v>
      </c>
      <c r="J97" s="96" t="str">
        <f>IF(FN_MC!I97="","*",FN_MC!I97)</f>
        <v>*</v>
      </c>
      <c r="K97" s="96" t="str">
        <f>IF(FN_MC!M97="","*",FN_MC!M97)</f>
        <v>-</v>
      </c>
      <c r="L97" s="196" t="str">
        <f>IF(FN_MC!N97="","*",FN_MC!N97)</f>
        <v>-</v>
      </c>
      <c r="M97" s="97" t="str">
        <f>IF(FN_MC!J97="","*",FN_MC!J97)</f>
        <v>*</v>
      </c>
      <c r="N97" s="183" t="str">
        <f>IF(FN_MC!K97="","*",FN_MC!K97)</f>
        <v>*</v>
      </c>
      <c r="O97" s="183" t="str">
        <f>IF(FN_MC!L97="","*",FN_MC!L97)</f>
        <v>-</v>
      </c>
      <c r="P97" s="107" t="str">
        <f>IF(FN_MC!O97="","*",FN_MC!O97)</f>
        <v>*</v>
      </c>
      <c r="Q97" s="107" t="str">
        <f>IF(FN_MC!P97="","*",FN_MC!P97)</f>
        <v>*</v>
      </c>
      <c r="R97" s="96" t="str">
        <f>IF(FN_MC!Q97="","*",CONCATENATE(FN_MC!Q97," ",FN_MC!R97))</f>
        <v>*</v>
      </c>
      <c r="S97" s="96" t="str">
        <f>IF(FN_MC!V97="","*",FN_MC!V97)</f>
        <v>*</v>
      </c>
      <c r="T97" s="96" t="str">
        <f>IF(FN_MC!W97="","*",FN_MC!W97)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*</v>
      </c>
      <c r="C98" s="95" t="str">
        <f>IF(FN_MC!Z98="","*",FN_MC!Z98)</f>
        <v>*</v>
      </c>
      <c r="D98" s="96" t="str">
        <f>IF(FN_MC!S98="","*",FN_MC!S98)</f>
        <v>-</v>
      </c>
      <c r="E98" s="96" t="str">
        <f>IF(FN_MC!T98="","*",FN_MC!T98)</f>
        <v>-</v>
      </c>
      <c r="F98" s="96">
        <f>IF(FN_MC!B98="","*",FN_MC!B98)</f>
        <v>46087</v>
      </c>
      <c r="G98" s="96" t="str">
        <f>IF(FN_MC!D98="","*",FN_MC!D98)</f>
        <v>V80</v>
      </c>
      <c r="H98" s="96" t="str">
        <f>IF(FN_MC!F98="","*",FN_MC!F98)</f>
        <v>INSPEÇÃO RIV</v>
      </c>
      <c r="I98" s="96" t="str">
        <f>IF(FN_MC!H98="","*",FN_MC!H98)</f>
        <v>TAP</v>
      </c>
      <c r="J98" s="96" t="str">
        <f>IF(FN_MC!I98="","*",FN_MC!I98)</f>
        <v>TVI</v>
      </c>
      <c r="K98" s="96" t="str">
        <f>IF(FN_MC!M98="","*",FN_MC!M98)</f>
        <v>-</v>
      </c>
      <c r="L98" s="196" t="str">
        <f>IF(FN_MC!N98="","*",FN_MC!N98)</f>
        <v>-</v>
      </c>
      <c r="M98" s="97" t="str">
        <f>IF(FN_MC!J98="","*",FN_MC!J98)</f>
        <v>*</v>
      </c>
      <c r="N98" s="183" t="str">
        <f>IF(FN_MC!K98="","*",FN_MC!K98)</f>
        <v>*</v>
      </c>
      <c r="O98" s="183" t="str">
        <f>IF(FN_MC!L98="","*",FN_MC!L98)</f>
        <v>-</v>
      </c>
      <c r="P98" s="107" t="str">
        <f>IF(FN_MC!O98="","*",FN_MC!O98)</f>
        <v>*</v>
      </c>
      <c r="Q98" s="107" t="str">
        <f>IF(FN_MC!P98="","*",FN_MC!P98)</f>
        <v>*</v>
      </c>
      <c r="R98" s="96" t="str">
        <f>IF(FN_MC!Q98="","*",CONCATENATE(FN_MC!Q98," ",FN_MC!R98))</f>
        <v>*</v>
      </c>
      <c r="S98" s="96" t="str">
        <f>IF(FN_MC!V98="","*",FN_MC!V98)</f>
        <v>*</v>
      </c>
      <c r="T98" s="96" t="str">
        <f>IF(FN_MC!W98="","*",FN_MC!W98)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Oportunidade</v>
      </c>
      <c r="C101" s="95" t="str">
        <f>IF(FN_MC!Z101="","*",FN_MC!Z101)</f>
        <v>*</v>
      </c>
      <c r="D101" s="96" t="str">
        <f>IF(FN_MC!S101="","*",FN_MC!S101)</f>
        <v>MALHA CENTRAL</v>
      </c>
      <c r="E101" s="96" t="str">
        <f>IF(FN_MC!T101="","*",FN_MC!T101)</f>
        <v>RAMAL</v>
      </c>
      <c r="F101" s="96">
        <f>IF(FN_MC!B101="","*",FN_MC!B101)</f>
        <v>46087</v>
      </c>
      <c r="G101" s="96" t="str">
        <f>IF(FN_MC!D101="","*",FN_MC!D101)</f>
        <v>E18</v>
      </c>
      <c r="H101" s="96" t="str">
        <f>IF(FN_MC!F101="","*",FN_MC!F101)</f>
        <v>CAMINHÃO DE SOLDA</v>
      </c>
      <c r="I101" s="96" t="str">
        <f>IF(FN_MC!H101="","*",FN_MC!H101)</f>
        <v>ZIQZQY</v>
      </c>
      <c r="J101" s="96" t="str">
        <f>IF(FN_MC!I101="","*",FN_MC!I101)</f>
        <v>ZIQZQY</v>
      </c>
      <c r="K101" s="96" t="str">
        <f>IF(FN_MC!M101="","*",FN_MC!M101)</f>
        <v>ZIQ-ZQY</v>
      </c>
      <c r="L101" s="196" t="str">
        <f>IF(FN_MC!N101="","*",FN_MC!N101)</f>
        <v>ZIQZQY</v>
      </c>
      <c r="M101" s="97">
        <f>IF(FN_MC!J101="","*",FN_MC!J101)</f>
        <v>78</v>
      </c>
      <c r="N101" s="183">
        <f>IF(FN_MC!K101="","*",FN_MC!K101)</f>
        <v>177.376</v>
      </c>
      <c r="O101" s="183" t="str">
        <f>IF(FN_MC!L101="","*",FN_MC!L101)</f>
        <v>-</v>
      </c>
      <c r="P101" s="107">
        <f>IF(FN_MC!O101="","*",FN_MC!O101)</f>
        <v>0.35416666666666669</v>
      </c>
      <c r="Q101" s="107">
        <f>IF(FN_MC!P101="","*",FN_MC!P101)</f>
        <v>0.125</v>
      </c>
      <c r="R101" s="96" t="str">
        <f>IF(FN_MC!Q101="","*",CONCATENATE(FN_MC!Q101," ",FN_MC!R101))</f>
        <v>3 Nº DE SOLDA</v>
      </c>
      <c r="S101" s="96" t="str">
        <f>IF(FN_MC!V101="","*",FN_MC!V101)</f>
        <v>Paulo</v>
      </c>
      <c r="T101" s="96" t="str">
        <f>IF(FN_MC!W101="","*",FN_MC!W101)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2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1444</v>
      </c>
      <c r="D5" s="242"/>
      <c r="E5" s="242"/>
      <c r="F5" s="242"/>
      <c r="G5" s="242"/>
      <c r="H5" s="242"/>
      <c r="I5" s="242"/>
      <c r="J5" s="243"/>
      <c r="K5" s="244" t="s">
        <v>1445</v>
      </c>
      <c r="L5" s="245"/>
      <c r="M5" s="245"/>
      <c r="N5" s="245"/>
      <c r="O5" s="246" t="s">
        <v>1446</v>
      </c>
      <c r="P5" s="247"/>
      <c r="Q5" s="248"/>
    </row>
    <row r="6" spans="1:17" s="81" customFormat="1" ht="15.75" customHeight="1">
      <c r="A6" s="75" t="s">
        <v>1442</v>
      </c>
      <c r="B6" s="82" t="s">
        <v>1441</v>
      </c>
      <c r="C6" s="83" t="s">
        <v>1175</v>
      </c>
      <c r="D6" s="84" t="s">
        <v>1176</v>
      </c>
      <c r="E6" s="83" t="s">
        <v>1447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1448</v>
      </c>
      <c r="M6" s="116" t="s">
        <v>29</v>
      </c>
      <c r="N6" s="117" t="s">
        <v>1170</v>
      </c>
      <c r="O6" s="165" t="s">
        <v>1213</v>
      </c>
      <c r="P6" s="128"/>
      <c r="Q6" s="139" t="s">
        <v>1449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faixa negada cco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0</v>
      </c>
      <c r="P69" s="78"/>
      <c r="Q69" s="120" t="str">
        <f>IF($A$2=1,IF(FN_MC!BJ68="","*",FN_MC!BJ68),IF(FN_MC!BK68="","*",FN_MC!BK68))</f>
        <v>Pronto as 8h - após A60 CCO vai verificar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1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faixa negada cco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0.41666666666666669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-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-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-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-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-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-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IF(FN_MC!B95="","*",FN_MC!B95)</f>
        <v>46087</v>
      </c>
      <c r="B95" s="86" t="str">
        <f>IF(FN_MC!X95="","*",FN_MC!X95)</f>
        <v>*</v>
      </c>
      <c r="C95" s="87" t="str">
        <f>IF(FN_MC!S95="","*",FN_MC!S95)</f>
        <v>FERRONORTE</v>
      </c>
      <c r="D95" s="87" t="str">
        <f>IF(FN_MC!T95="","*",FN_MC!T95)</f>
        <v>TMI-TCS</v>
      </c>
      <c r="E95" s="87" t="str">
        <f>IF(FN_MC!D95="","*",FN_MC!D95)</f>
        <v>V48</v>
      </c>
      <c r="F95" s="87" t="str">
        <f>IF(FN_MC!H95="","*",FN_MC!H95)</f>
        <v>TVI2</v>
      </c>
      <c r="G95" s="87" t="str">
        <f>IF(FN_MC!M95="","*",FN_MC!M95)</f>
        <v>TVI-TJA</v>
      </c>
      <c r="H95" s="125">
        <f>IF(FN_MC!K95="","*",FN_MC!K95)</f>
        <v>237.47200000000001</v>
      </c>
      <c r="I95" s="110">
        <f>IF(FN_MC!O95="","*",FN_MC!O95)</f>
        <v>0.375</v>
      </c>
      <c r="J95" s="110">
        <f>IF(FN_MC!P95="","*",FN_MC!P95)</f>
        <v>4.1666666666666664E-2</v>
      </c>
      <c r="K95" s="118" t="str">
        <f>IF(FN_MC!AK95="","*",FN_MC!AK95)</f>
        <v>TVI2</v>
      </c>
      <c r="L95" s="118" t="str">
        <f>IF(FN_MC!AM95="","*",FN_MC!AM95)</f>
        <v>TVI-TJA</v>
      </c>
      <c r="M95" s="118">
        <f>IF(FN_MC!AP95="","*",FN_MC!AP95)</f>
        <v>237.47200000000001</v>
      </c>
      <c r="N95" s="118" t="str">
        <f>IF(FN_MC!AM95="","*",FN_MC!AM95)</f>
        <v>TVI-TJA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>
        <f>IF(FN_MC!B96="","*",FN_MC!B96)</f>
        <v>46087</v>
      </c>
      <c r="B96" s="86" t="str">
        <f>IF(FN_MC!X96="","*",FN_MC!X96)</f>
        <v>Oportunidade</v>
      </c>
      <c r="C96" s="87" t="str">
        <f>IF(FN_MC!S96="","*",FN_MC!S96)</f>
        <v>MALHA CENTRAL</v>
      </c>
      <c r="D96" s="87" t="str">
        <f>IF(FN_MC!T96="","*",FN_MC!T96)</f>
        <v>RAMAL</v>
      </c>
      <c r="E96" s="87" t="str">
        <f>IF(FN_MC!D96="","*",FN_MC!D96)</f>
        <v>E18</v>
      </c>
      <c r="F96" s="87" t="str">
        <f>IF(FN_MC!H96="","*",FN_MC!H96)</f>
        <v>ZIQZQY</v>
      </c>
      <c r="G96" s="87" t="str">
        <f>IF(FN_MC!M96="","*",FN_MC!M96)</f>
        <v>ZIQ-ZQY</v>
      </c>
      <c r="H96" s="125">
        <f>IF(FN_MC!K96="","*",FN_MC!K96)</f>
        <v>177.376</v>
      </c>
      <c r="I96" s="110">
        <f>IF(FN_MC!O96="","*",FN_MC!O96)</f>
        <v>0.35416666666666669</v>
      </c>
      <c r="J96" s="110">
        <f>IF(FN_MC!P96="","*",FN_MC!P96)</f>
        <v>0.125</v>
      </c>
      <c r="K96" s="118" t="str">
        <f>IF(FN_MC!AK96="","*",FN_MC!AK96)</f>
        <v>ZIQZQY</v>
      </c>
      <c r="L96" s="118" t="str">
        <f>IF(FN_MC!AM96="","*",FN_MC!AM96)</f>
        <v>ZIQ-ZQY</v>
      </c>
      <c r="M96" s="118">
        <f>IF(FN_MC!AP96="","*",FN_MC!AP96)</f>
        <v>177.376</v>
      </c>
      <c r="N96" s="118" t="str">
        <f>IF(FN_MC!AM96="","*",FN_MC!AM96)</f>
        <v>ZIQ-ZQY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>
        <f>IF(FN_MC!B98="","*",FN_MC!B98)</f>
        <v>46087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V80</v>
      </c>
      <c r="F98" s="87" t="str">
        <f>IF(FN_MC!H98="","*",FN_MC!H98)</f>
        <v>TAP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TAP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>
        <f>IF(FN_MC!B101="","*",FN_MC!B101)</f>
        <v>46087</v>
      </c>
      <c r="B101" s="86" t="str">
        <f>IF(FN_MC!X101="","*",FN_MC!X101)</f>
        <v>Oportunidade</v>
      </c>
      <c r="C101" s="87" t="str">
        <f>IF(FN_MC!S101="","*",FN_MC!S101)</f>
        <v>MALHA CENTRAL</v>
      </c>
      <c r="D101" s="87" t="str">
        <f>IF(FN_MC!T101="","*",FN_MC!T101)</f>
        <v>RAMAL</v>
      </c>
      <c r="E101" s="87" t="str">
        <f>IF(FN_MC!D101="","*",FN_MC!D101)</f>
        <v>E18</v>
      </c>
      <c r="F101" s="87" t="str">
        <f>IF(FN_MC!H101="","*",FN_MC!H101)</f>
        <v>ZIQZQY</v>
      </c>
      <c r="G101" s="87" t="str">
        <f>IF(FN_MC!M101="","*",FN_MC!M101)</f>
        <v>ZIQ-ZQY</v>
      </c>
      <c r="H101" s="125">
        <f>IF(FN_MC!K101="","*",FN_MC!K101)</f>
        <v>177.376</v>
      </c>
      <c r="I101" s="110">
        <f>IF(FN_MC!O101="","*",FN_MC!O101)</f>
        <v>0.35416666666666669</v>
      </c>
      <c r="J101" s="110">
        <f>IF(FN_MC!P101="","*",FN_MC!P101)</f>
        <v>0.125</v>
      </c>
      <c r="K101" s="118" t="str">
        <f>IF(FN_MC!AK101="","*",FN_MC!AK101)</f>
        <v>ZIQZQY</v>
      </c>
      <c r="L101" s="118" t="str">
        <f>IF(FN_MC!AM101="","*",FN_MC!AM101)</f>
        <v>ZIQ-ZQY</v>
      </c>
      <c r="M101" s="118">
        <f>IF(FN_MC!AP101="","*",FN_MC!AP101)</f>
        <v>177.376</v>
      </c>
      <c r="N101" s="118" t="str">
        <f>IF(FN_MC!AM101="","*",FN_MC!AM101)</f>
        <v>ZIQ-ZQY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2026-03-05T16:40:02Z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