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04" documentId="8_{B6337239-1A00-434D-AAD0-422EA1FEB5AE}" xr6:coauthVersionLast="47" xr6:coauthVersionMax="47" xr10:uidLastSave="{82915940-F166-46BA-BEA4-0D8159C2B9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<sst xmlns="http://schemas.openxmlformats.org/spreadsheetml/2006/main" count="5564" uniqueCount="1408">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</sst>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58" activePane="bottomRight" state="frozen"/>
      <selection pane="bottomRight" activeCell="A69" sqref="A69:XFD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1123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1124</v>
      </c>
      <c r="BI1" s="339"/>
      <c r="BJ1" s="340"/>
      <c r="BK1" s="341"/>
      <c r="BL1" s="49"/>
      <c r="BM1" s="331" t="s">
        <v>1125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4" t="s">
        <v>1126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1129</v>
      </c>
      <c r="AT2" s="336"/>
      <c r="AU2" s="336"/>
      <c r="AV2" s="336"/>
      <c r="AW2" s="336"/>
      <c r="AX2" s="335"/>
      <c r="AY2" s="337"/>
      <c r="AZ2" s="4"/>
      <c r="BA2" s="328" t="s">
        <v>1130</v>
      </c>
      <c r="BB2" s="330"/>
      <c r="BC2" s="334" t="s">
        <v>1127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8" t="s">
        <v>1131</v>
      </c>
      <c r="AJ3" s="330"/>
      <c r="AK3" s="328" t="s">
        <v>1132</v>
      </c>
      <c r="AL3" s="329"/>
      <c r="AM3" s="329"/>
      <c r="AN3" s="329"/>
      <c r="AO3" s="329"/>
      <c r="AP3" s="329"/>
      <c r="AQ3" s="330"/>
      <c r="AR3" s="240"/>
      <c r="AS3" s="352" t="s">
        <v>1138</v>
      </c>
      <c r="AT3" s="353"/>
      <c r="AU3" s="352" t="s">
        <v>1139</v>
      </c>
      <c r="AV3" s="353"/>
      <c r="AW3" s="352" t="s">
        <v>1140</v>
      </c>
      <c r="AX3" s="354"/>
      <c r="AY3" s="63" t="s">
        <v>1141</v>
      </c>
      <c r="AZ3" s="63"/>
      <c r="BA3" s="350"/>
      <c r="BB3" s="351"/>
      <c r="BC3" s="328" t="s">
        <v>1134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1142</v>
      </c>
      <c r="BN3" s="332"/>
      <c r="BO3" s="332"/>
      <c r="BP3" s="333"/>
      <c r="BQ3" s="331" t="s">
        <v>759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3240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979</v>
      </c>
      <c r="BN45" s="14" t="s">
        <v>1006</v>
      </c>
      <c r="BO45" s="165" t="s">
        <v>1116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1345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1346</v>
      </c>
      <c r="BK47" s="16" t="s">
        <v>1347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1348</v>
      </c>
      <c r="BL48" s="15"/>
      <c r="BM48" s="14" t="s">
        <v>969</v>
      </c>
      <c r="BN48" s="14" t="s">
        <v>0</v>
      </c>
      <c r="BO48" s="165" t="s">
        <v>1077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1350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977</v>
      </c>
      <c r="BN49" s="14" t="s">
        <v>1006</v>
      </c>
      <c r="BO49" s="165" t="s">
        <v>1058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1354</v>
      </c>
      <c r="W50" s="173" t="s">
        <v>1355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1358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973</v>
      </c>
      <c r="BN52" s="14" t="s">
        <v>1003</v>
      </c>
      <c r="BO52" s="165" t="s">
        <v>1061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1363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1364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609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1370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1373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1374</v>
      </c>
      <c r="W59" s="173" t="s">
        <v>1375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1374</v>
      </c>
      <c r="W61" s="173" t="s">
        <v>1376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1377</v>
      </c>
      <c r="W65" s="173" t="s">
        <v>1378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1379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402" customFormat="1" hidden="1">
      <c r="A69" s="369" t="str">
        <f t="shared" si="1"/>
        <v>FRANCENILDO (TF-513)45966</v>
      </c>
      <c r="B69" s="370">
        <v>45966</v>
      </c>
      <c r="C69" s="371">
        <f>IF(BS_CONTROLE[[#This Row],[DATA]]="","",WEEKNUM(BS_CONTROLE[[#This Row],[DATA]]))</f>
        <v>45</v>
      </c>
      <c r="D69" s="372" t="s">
        <v>888</v>
      </c>
      <c r="E69" s="373">
        <v>64</v>
      </c>
      <c r="F69" s="374" t="s">
        <v>799</v>
      </c>
      <c r="G69" s="375" t="str">
        <f>IF(D69="","*",VLOOKUP(F69,BS_ATIVIDADE[#All],3,FALSE))</f>
        <v>TRILHO - SUBSTITUIÇÂO</v>
      </c>
      <c r="H69" s="376" t="s">
        <v>609</v>
      </c>
      <c r="I69" s="376" t="s">
        <v>609</v>
      </c>
      <c r="J69" s="377">
        <v>74</v>
      </c>
      <c r="K69" s="377">
        <v>68.3</v>
      </c>
      <c r="L69" s="378" t="s">
        <v>609</v>
      </c>
      <c r="M69" s="3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76">
        <v>0.41666666666666669</v>
      </c>
      <c r="P69" s="376">
        <v>6.25E-2</v>
      </c>
      <c r="Q69" s="378">
        <v>25</v>
      </c>
      <c r="R69" s="380" t="str">
        <f>IFERROR(_xlfn.XLOOKUP(F69, BS_ATIVIDADE[ATIVIDADE],BS_ATIVIDADE[UNIDADE] ), "*")</f>
        <v>M</v>
      </c>
      <c r="S69" s="3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82" t="str">
        <f>IFERROR(_xlfn.XLOOKUP(J69, BASE_MAPA!$E$2:$E$359, BASE_MAPA!$J$2:$J$359), "ERRO")</f>
        <v>MARCO INICIAL - ALTO ARAGUAIA</v>
      </c>
      <c r="V69" s="383" t="s">
        <v>1381</v>
      </c>
      <c r="W69" s="376" t="s">
        <v>1382</v>
      </c>
      <c r="X69" s="377" t="s">
        <v>957</v>
      </c>
      <c r="Y69" s="380" t="s">
        <v>960</v>
      </c>
      <c r="Z69" s="380" t="s">
        <v>963</v>
      </c>
      <c r="AA69" s="378" t="s">
        <v>609</v>
      </c>
      <c r="AB69" s="384" t="s">
        <v>609</v>
      </c>
      <c r="AC69" s="384" t="s">
        <v>609</v>
      </c>
      <c r="AD69" s="376" t="s">
        <v>609</v>
      </c>
      <c r="AE69" s="378" t="s">
        <v>609</v>
      </c>
      <c r="AF69" s="378" t="s">
        <v>609</v>
      </c>
      <c r="AG69" s="378" t="s">
        <v>609</v>
      </c>
      <c r="AH69" s="385"/>
      <c r="AI69" s="386" t="str">
        <f>IF(BS_CONTROLE[[#This Row],[Atividade]]=0, "-", BS_CONTROLE[[#This Row],[Atividade]])</f>
        <v>PDM - SUBSTITUIÇÃO - TRILHO</v>
      </c>
      <c r="AJ69" s="375" t="str">
        <f>IF(D69="","*",VLOOKUP(AI69,BS_ATIVIDADE[#Data],3,FALSE))</f>
        <v>TRILHO - SUBSTITUIÇÂO</v>
      </c>
      <c r="AK69" s="387" t="str">
        <f>IF(BS_CONTROLE[[#This Row],[Local - Partida]]=0, "-", BS_CONTROLE[[#This Row],[Local - Partida]])</f>
        <v>-</v>
      </c>
      <c r="AL69" s="387" t="str">
        <f>IF(BS_CONTROLE[[#This Row],[Local - Encerramento]]=0, "-", BS_CONTROLE[[#This Row],[Local - Encerramento]])</f>
        <v>-</v>
      </c>
      <c r="AM69" s="387" t="str">
        <f>IF(BS_CONTROLE[[#This Row],[Entre - Estações]]=0, "-", BS_CONTROLE[[#This Row],[Entre - Estações]])</f>
        <v>TQI-TSP</v>
      </c>
      <c r="AN69" s="387" t="str">
        <f>IF(BS_CONTROLE[[#This Row],[SB]]=0, "-", BS_CONTROLE[[#This Row],[SB]])</f>
        <v>TQIK73</v>
      </c>
      <c r="AO69" s="380">
        <f>IF(BS_CONTROLE[[#This Row],[SUB]]=0, "-", BS_CONTROLE[[#This Row],[SUB]])</f>
        <v>74</v>
      </c>
      <c r="AP69" s="388">
        <f>IF(BS_CONTROLE[[#This Row],[KM - Inicio]]=0, "-", BS_CONTROLE[[#This Row],[KM - Inicio]])</f>
        <v>68.3</v>
      </c>
      <c r="AQ69" s="388" t="str">
        <f>IF(BS_CONTROLE[[#This Row],[KM - Fim]]=0, "-", BS_CONTROLE[[#This Row],[KM - Fim]])</f>
        <v>-</v>
      </c>
      <c r="AR69" s="389"/>
      <c r="AS69" s="389"/>
      <c r="AT69" s="389"/>
      <c r="AU69" s="389"/>
      <c r="AV69" s="389"/>
      <c r="AW69" s="389"/>
      <c r="AX69" s="389"/>
      <c r="AY69" s="390">
        <f>IF(D69="","*",IFERROR(IF(ISODD(COUNT(AS69:AX69)),"ERRO",SUM((AT69-AS69),(AV69-AU69),(AX69-AW69))),"ERRO"))</f>
        <v>0</v>
      </c>
      <c r="AZ69" s="391"/>
      <c r="BA69" s="392"/>
      <c r="BB69" s="380" t="str">
        <f>IFERROR(_xlfn.XLOOKUP(AI69, BS_ATIVIDADE[ATIVIDADE],BS_ATIVIDADE[UNIDADE] ), "*")</f>
        <v>M</v>
      </c>
      <c r="BC69" s="38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8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93" t="str">
        <f>IFERROR(_xlfn.XLOOKUP(AO69, BASE_MAPA!$E$2:$E$359, BASE_MAPA!$J$2:$J$359), "ERRO")</f>
        <v>MARCO INICIAL - ALTO ARAGUAIA</v>
      </c>
      <c r="BF69" s="394" t="str">
        <f>IF(BS_CONTROLE[[#This Row],[Responsavel pelo boletim]]=0, "-", BS_CONTROLE[[#This Row],[Responsavel pelo boletim]])</f>
        <v>Herbert</v>
      </c>
      <c r="BG69" s="395"/>
      <c r="BH69" s="396"/>
      <c r="BI69" s="16"/>
      <c r="BJ69" s="396"/>
      <c r="BK69" s="396"/>
      <c r="BL69" s="395"/>
      <c r="BM69" s="397"/>
      <c r="BN69" s="397"/>
      <c r="BO69" s="398"/>
      <c r="BP69" s="396"/>
      <c r="BQ69" s="399" t="str">
        <f t="shared" si="2"/>
        <v>Produção e Intervalo</v>
      </c>
      <c r="BR69" s="400">
        <f t="shared" si="3"/>
        <v>0</v>
      </c>
      <c r="BS69" s="400">
        <f t="shared" si="4"/>
        <v>0</v>
      </c>
      <c r="BT69" s="401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1354</v>
      </c>
      <c r="W72" s="173" t="s">
        <v>1384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1385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1386</v>
      </c>
      <c r="N75" s="204" t="s">
        <v>1386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1387</v>
      </c>
      <c r="W75" s="173" t="s">
        <v>1388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1389</v>
      </c>
      <c r="D5" s="356"/>
      <c r="E5" s="356"/>
      <c r="F5" s="356"/>
      <c r="G5" s="356"/>
      <c r="H5" s="356"/>
      <c r="I5" s="356"/>
      <c r="J5" s="357"/>
      <c r="K5" s="358" t="s">
        <v>1390</v>
      </c>
      <c r="L5" s="359"/>
      <c r="M5" s="359"/>
      <c r="N5" s="359"/>
      <c r="O5" s="360" t="s">
        <v>1391</v>
      </c>
      <c r="P5" s="361"/>
      <c r="Q5" s="362"/>
    </row>
    <row r="6" spans="1:17" s="93" customFormat="1" ht="15.75" customHeight="1">
      <c r="A6" s="87" t="s">
        <v>1392</v>
      </c>
      <c r="B6" s="94" t="s">
        <v>1393</v>
      </c>
      <c r="C6" s="95" t="s">
        <v>1163</v>
      </c>
      <c r="D6" s="96" t="s">
        <v>1164</v>
      </c>
      <c r="E6" s="95" t="s">
        <v>1394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1395</v>
      </c>
      <c r="M6" s="139" t="s">
        <v>628</v>
      </c>
      <c r="N6" s="140" t="s">
        <v>1158</v>
      </c>
      <c r="O6" s="246" t="s">
        <v>1201</v>
      </c>
      <c r="P6" s="157"/>
      <c r="Q6" s="193" t="s">
        <v>1396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94"/>
      <c r="O1" s="294"/>
      <c r="P1" s="170"/>
      <c r="Q1" s="366" t="s">
        <v>1211</v>
      </c>
      <c r="R1" s="367"/>
      <c r="U1" s="102"/>
      <c r="V1" s="368" t="s">
        <v>1397</v>
      </c>
      <c r="W1" s="368"/>
      <c r="X1" s="368"/>
      <c r="Y1" s="104"/>
    </row>
    <row r="2" spans="1:25" s="100" customFormat="1" ht="11.25" customHeight="1">
      <c r="A2" s="105" t="s">
        <v>1398</v>
      </c>
      <c r="B2" s="105" t="s">
        <v>1393</v>
      </c>
      <c r="C2" s="105" t="s">
        <v>605</v>
      </c>
      <c r="D2" s="106" t="s">
        <v>1163</v>
      </c>
      <c r="E2" s="106" t="s">
        <v>1164</v>
      </c>
      <c r="F2" s="106" t="s">
        <v>1392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1399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35870</v>
      </c>
      <c r="W64" s="112">
        <f ca="1">_xlfn.XLOOKUP(G64&amp;$W$2,BS_CONTROLE[CHAVE],BS_CONTROLE[Quantidade_11],"-")</f>
        <v>53870</v>
      </c>
      <c r="X64" s="112">
        <f ca="1">_xlfn.XLOOKUP(G64&amp;$X$2,BS_CONTROLE[CHAVE],BS_CONTROLE[Quantidade_11],"-")</f>
        <v>42800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878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1000</v>
      </c>
      <c r="W71" s="112">
        <f ca="1">_xlfn.XLOOKUP(G71&amp;$W$2,BS_CONTROLE[CHAVE],BS_CONTROLE[Quantidade_11],"-")</f>
        <v>1010</v>
      </c>
      <c r="X71" s="112">
        <f ca="1">_xlfn.XLOOKUP(G71&amp;$X$2,BS_CONTROLE[CHAVE],BS_CONTROLE[Quantidade_11],"-")</f>
        <v>1170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1400</v>
      </c>
      <c r="C2" s="95" t="s">
        <v>1148</v>
      </c>
      <c r="D2" s="95" t="s">
        <v>1150</v>
      </c>
      <c r="E2" s="95" t="s">
        <v>1401</v>
      </c>
      <c r="F2" s="95" t="s">
        <v>1402</v>
      </c>
      <c r="G2" s="95" t="s">
        <v>1403</v>
      </c>
      <c r="H2" s="95" t="s">
        <v>1404</v>
      </c>
      <c r="I2" s="95" t="s">
        <v>1405</v>
      </c>
      <c r="J2" s="95" t="s">
        <v>1406</v>
      </c>
      <c r="K2" s="131" t="s">
        <v>1407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2025-11-05T00:25:26Z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