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929" documentId="120_S{118792C3-22EF-5104-A093-F22BFE3913F3}" xr6:coauthVersionLast="47" xr6:coauthVersionMax="47" xr10:uidLastSave="{CE60F2EC-6B36-4537-9C81-98B5A4305C00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8" hidden="1">'CONTROLE D+1'!$A$2:$W$1050</definedName>
    <definedName name="_xlnm._FilterDatabase" localSheetId="7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32" i="1" l="1" a="1"/>
  <c r="U332" i="1" s="1"/>
  <c r="T332" i="1" a="1"/>
  <c r="T332" i="1" s="1"/>
  <c r="S332" i="1" a="1"/>
  <c r="S332" i="1" s="1"/>
  <c r="R332" i="1"/>
  <c r="N332" i="1" a="1"/>
  <c r="N332" i="1" s="1"/>
  <c r="M332" i="1" a="1"/>
  <c r="M332" i="1" s="1"/>
  <c r="G332" i="1"/>
  <c r="U348" i="1" a="1"/>
  <c r="U348" i="1"/>
  <c r="T348" i="1" a="1"/>
  <c r="T348" i="1"/>
  <c r="S348" i="1" a="1"/>
  <c r="S348" i="1"/>
  <c r="N348" i="1" a="1"/>
  <c r="N348" i="1"/>
  <c r="M348" i="1" a="1"/>
  <c r="M348" i="1"/>
  <c r="U347" i="1" a="1"/>
  <c r="U347" i="1"/>
  <c r="T347" i="1" a="1"/>
  <c r="T347" i="1"/>
  <c r="S347" i="1" a="1"/>
  <c r="S347" i="1"/>
  <c r="N347" i="1" a="1"/>
  <c r="N347" i="1"/>
  <c r="M347" i="1" a="1"/>
  <c r="M347" i="1"/>
  <c r="M349" i="1" a="1"/>
  <c r="M349" i="1"/>
  <c r="N349" i="1" a="1"/>
  <c r="N349" i="1"/>
  <c r="S349" i="1" a="1"/>
  <c r="S349" i="1"/>
  <c r="T349" i="1" a="1"/>
  <c r="T349" i="1"/>
  <c r="U349" i="1" a="1"/>
  <c r="U349" i="1"/>
  <c r="M350" i="1" a="1"/>
  <c r="M350" i="1"/>
  <c r="N350" i="1" a="1"/>
  <c r="N350" i="1"/>
  <c r="S350" i="1" a="1"/>
  <c r="S350" i="1"/>
  <c r="T350" i="1" a="1"/>
  <c r="T350" i="1"/>
  <c r="U350" i="1" a="1"/>
  <c r="U350" i="1"/>
  <c r="M351" i="1" a="1"/>
  <c r="M351" i="1"/>
  <c r="N351" i="1" a="1"/>
  <c r="N351" i="1"/>
  <c r="S351" i="1" a="1"/>
  <c r="S351" i="1"/>
  <c r="T351" i="1" a="1"/>
  <c r="T351" i="1"/>
  <c r="U351" i="1" a="1"/>
  <c r="U351" i="1"/>
  <c r="S352" i="1" a="1"/>
  <c r="S352" i="1"/>
  <c r="T352" i="1" a="1"/>
  <c r="T352" i="1"/>
  <c r="U352" i="1" a="1"/>
  <c r="U352" i="1"/>
  <c r="M353" i="1" a="1"/>
  <c r="M353" i="1"/>
  <c r="N353" i="1" a="1"/>
  <c r="N353" i="1"/>
  <c r="S353" i="1" a="1"/>
  <c r="S353" i="1"/>
  <c r="T353" i="1" a="1"/>
  <c r="T353" i="1"/>
  <c r="U353" i="1" a="1"/>
  <c r="U353" i="1"/>
  <c r="M354" i="1" a="1"/>
  <c r="M354" i="1"/>
  <c r="N354" i="1" a="1"/>
  <c r="N354" i="1"/>
  <c r="S354" i="1" a="1"/>
  <c r="S354" i="1"/>
  <c r="T354" i="1" a="1"/>
  <c r="T354" i="1"/>
  <c r="U354" i="1" a="1"/>
  <c r="U354" i="1"/>
  <c r="M355" i="1" a="1"/>
  <c r="M355" i="1"/>
  <c r="N355" i="1" a="1"/>
  <c r="N355" i="1"/>
  <c r="S355" i="1" a="1"/>
  <c r="S355" i="1"/>
  <c r="T355" i="1" a="1"/>
  <c r="T355" i="1"/>
  <c r="U355" i="1" a="1"/>
  <c r="U355" i="1"/>
  <c r="M356" i="1" a="1"/>
  <c r="M356" i="1"/>
  <c r="N356" i="1" a="1"/>
  <c r="N356" i="1"/>
  <c r="S356" i="1" a="1"/>
  <c r="S356" i="1"/>
  <c r="T356" i="1" a="1"/>
  <c r="T356" i="1"/>
  <c r="U356" i="1" a="1"/>
  <c r="U356" i="1"/>
  <c r="M357" i="1" a="1"/>
  <c r="M357" i="1"/>
  <c r="N357" i="1" a="1"/>
  <c r="N357" i="1"/>
  <c r="S357" i="1" a="1"/>
  <c r="S357" i="1"/>
  <c r="T357" i="1" a="1"/>
  <c r="T357" i="1"/>
  <c r="U357" i="1" a="1"/>
  <c r="U357" i="1"/>
  <c r="N346" i="1" a="1"/>
  <c r="N346" i="1"/>
  <c r="M346" i="1" a="1"/>
  <c r="M346" i="1"/>
  <c r="N310" i="1" a="1"/>
  <c r="N310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BR324" i="1" s="1"/>
  <c r="AY325" i="1"/>
  <c r="BR325" i="1" s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 s="1"/>
  <c r="BD7" i="1" a="1"/>
  <c r="BD7" i="1"/>
  <c r="BE7" i="1" a="1"/>
  <c r="BE7" i="1" s="1"/>
  <c r="BR7" i="1"/>
  <c r="BS7" i="1"/>
  <c r="BT7" i="1"/>
  <c r="A6" i="1"/>
  <c r="C6" i="1"/>
  <c r="G6" i="1"/>
  <c r="R6" i="1"/>
  <c r="S6" i="1" a="1"/>
  <c r="S6" i="1" s="1"/>
  <c r="T6" i="1" a="1"/>
  <c r="T6" i="1"/>
  <c r="U6" i="1" a="1"/>
  <c r="U6" i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D6" i="1" a="1"/>
  <c r="BD6" i="1" s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/>
  <c r="AI19" i="1"/>
  <c r="AJ19" i="1"/>
  <c r="AK19" i="1"/>
  <c r="AL19" i="1"/>
  <c r="AM19" i="1"/>
  <c r="AN19" i="1"/>
  <c r="AO19" i="1"/>
  <c r="AP19" i="1"/>
  <c r="BD19" i="1" s="1" a="1"/>
  <c r="BD19" i="1" s="1"/>
  <c r="AQ19" i="1"/>
  <c r="BB19" i="1"/>
  <c r="BC19" i="1" a="1"/>
  <c r="BC19" i="1"/>
  <c r="BE19" i="1" a="1"/>
  <c r="BE19" i="1" s="1"/>
  <c r="BR19" i="1"/>
  <c r="BS19" i="1"/>
  <c r="BT10" i="1"/>
  <c r="A11" i="1"/>
  <c r="C11" i="1"/>
  <c r="G11" i="1"/>
  <c r="R11" i="1"/>
  <c r="S11" i="1" a="1"/>
  <c r="S11" i="1" s="1"/>
  <c r="T11" i="1" a="1"/>
  <c r="T11" i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D11" i="1" a="1"/>
  <c r="BD11" i="1" s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/>
  <c r="T9" i="1" a="1"/>
  <c r="T9" i="1" s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BD20" i="1" s="1" a="1"/>
  <c r="BD20" i="1" s="1"/>
  <c r="AQ20" i="1"/>
  <c r="BB20" i="1"/>
  <c r="BC20" i="1" a="1"/>
  <c r="BC20" i="1" s="1"/>
  <c r="BR20" i="1"/>
  <c r="BS20" i="1"/>
  <c r="BT15" i="1"/>
  <c r="A14" i="1"/>
  <c r="C14" i="1"/>
  <c r="G14" i="1"/>
  <c r="R14" i="1"/>
  <c r="S14" i="1" a="1"/>
  <c r="S14" i="1" s="1"/>
  <c r="T14" i="1" a="1"/>
  <c r="T14" i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BD310" i="1" s="1" a="1"/>
  <c r="BD310" i="1" s="1"/>
  <c r="AQ310" i="1"/>
  <c r="BB310" i="1"/>
  <c r="BC310" i="1" a="1"/>
  <c r="BC310" i="1" s="1"/>
  <c r="BR310" i="1"/>
  <c r="BS310" i="1"/>
  <c r="BT17" i="1"/>
  <c r="A1001" i="1"/>
  <c r="C1001" i="1"/>
  <c r="G1001" i="1"/>
  <c r="R1001" i="1"/>
  <c r="S1001" i="1" a="1"/>
  <c r="S1001" i="1"/>
  <c r="T1001" i="1" a="1"/>
  <c r="T1001" i="1" s="1"/>
  <c r="U1001" i="1" a="1"/>
  <c r="U1001" i="1"/>
  <c r="AI1001" i="1"/>
  <c r="AJ1001" i="1"/>
  <c r="AK1001" i="1"/>
  <c r="AL1001" i="1"/>
  <c r="AM1001" i="1"/>
  <c r="AN1001" i="1"/>
  <c r="AO1001" i="1"/>
  <c r="AP1001" i="1"/>
  <c r="BD1001" i="1" s="1" a="1"/>
  <c r="BD1001" i="1" s="1"/>
  <c r="AQ1001" i="1"/>
  <c r="BB1001" i="1"/>
  <c r="BC1001" i="1" a="1"/>
  <c r="BC1001" i="1" s="1"/>
  <c r="BE1001" i="1" a="1"/>
  <c r="BE1001" i="1" s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BD22" i="1" s="1" a="1"/>
  <c r="BD22" i="1" s="1"/>
  <c r="AQ22" i="1"/>
  <c r="BB22" i="1"/>
  <c r="BC22" i="1" a="1"/>
  <c r="BC22" i="1" s="1"/>
  <c r="BR22" i="1"/>
  <c r="BS22" i="1"/>
  <c r="BT20" i="1"/>
  <c r="A34" i="1"/>
  <c r="C34" i="1"/>
  <c r="G34" i="1"/>
  <c r="R34" i="1"/>
  <c r="S34" i="1" a="1"/>
  <c r="S34" i="1"/>
  <c r="T34" i="1" a="1"/>
  <c r="T34" i="1" s="1"/>
  <c r="U34" i="1" a="1"/>
  <c r="U34" i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 s="1"/>
  <c r="U26" i="1" a="1"/>
  <c r="U26" i="1" s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BD28" i="1" s="1" a="1"/>
  <c r="BD28" i="1" s="1"/>
  <c r="AQ28" i="1"/>
  <c r="BB28" i="1"/>
  <c r="BC28" i="1" a="1"/>
  <c r="BC28" i="1" s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K329" i="15"/>
  <c r="L329" i="15"/>
  <c r="D329" i="15"/>
  <c r="E329" i="15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K343" i="15"/>
  <c r="L343" i="15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G347" i="1"/>
  <c r="K344" i="15"/>
  <c r="L344" i="15"/>
  <c r="R347" i="1"/>
  <c r="R344" i="15" s="1"/>
  <c r="D344" i="15"/>
  <c r="E344" i="15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K345" i="15"/>
  <c r="L345" i="15"/>
  <c r="R348" i="1"/>
  <c r="R345" i="15" s="1"/>
  <c r="D345" i="15"/>
  <c r="E345" i="15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K346" i="15"/>
  <c r="L346" i="15"/>
  <c r="R349" i="1"/>
  <c r="R346" i="15" s="1"/>
  <c r="D346" i="15"/>
  <c r="E346" i="15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K347" i="15"/>
  <c r="L347" i="15"/>
  <c r="R350" i="1"/>
  <c r="R347" i="15" s="1"/>
  <c r="D347" i="15"/>
  <c r="E347" i="15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D348" i="15"/>
  <c r="E348" i="15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K349" i="15"/>
  <c r="L349" i="15"/>
  <c r="R352" i="1"/>
  <c r="R349" i="15" s="1"/>
  <c r="D349" i="15"/>
  <c r="E349" i="15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K350" i="15"/>
  <c r="L350" i="15"/>
  <c r="R353" i="1"/>
  <c r="R350" i="15" s="1"/>
  <c r="D350" i="15"/>
  <c r="E350" i="15"/>
  <c r="AI353" i="1"/>
  <c r="BB353" i="1" s="1"/>
  <c r="AJ353" i="1"/>
  <c r="AK353" i="1"/>
  <c r="AL353" i="1"/>
  <c r="AP353" i="1"/>
  <c r="AQ353" i="1"/>
  <c r="BR353" i="1"/>
  <c r="BS353" i="1"/>
  <c r="BT359" i="1"/>
  <c r="A354" i="1"/>
  <c r="C354" i="1"/>
  <c r="G354" i="1"/>
  <c r="K351" i="15"/>
  <c r="L351" i="15"/>
  <c r="R354" i="1"/>
  <c r="R351" i="15" s="1"/>
  <c r="D351" i="15"/>
  <c r="E351" i="15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D352" i="15"/>
  <c r="E352" i="15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D353" i="15"/>
  <c r="E353" i="15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K354" i="15"/>
  <c r="L354" i="15"/>
  <c r="R357" i="1"/>
  <c r="R354" i="15" s="1"/>
  <c r="D354" i="15"/>
  <c r="E354" i="15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K355" i="15"/>
  <c r="L355" i="15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Q324" i="1" l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<sst xmlns="http://schemas.openxmlformats.org/spreadsheetml/2006/main" count="7598" uniqueCount="1570">
  <si>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</si>
  <si>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</si>
  <si>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</si>
  <si>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</si>
  <si>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</si>
  <si>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</si>
  <si>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</si>
  <si>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</si>
  <si>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</si>
  <si>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</si>
  <si>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</si>
  <si>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</si>
  <si>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</si>
  <si>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</si>
  <si>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</si>
  <si>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</si>
  <si>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</si>
  <si>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</si>
  <si>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</si>
  <si>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</si>
  <si>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</si>
  <si>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</si>
  <si>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</si>
  <si>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</si>
  <si>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</si>
  <si>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</si>
  <si>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</si>
  <si>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</si>
  <si>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</si>
  <si>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</si>
  <si>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</si>
  <si>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</si>
  <si>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</si>
  <si>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</si>
  <si>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</si>
  <si>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</si>
  <si>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</si>
  <si>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</si>
  <si>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</si>
  <si>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</si>
  <si>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</si>
  <si>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</si>
  <si>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</si>
  <si>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</si>
  <si>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</si>
  <si>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</si>
  <si>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</si>
  <si>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</si>
  <si>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</si>
  <si>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</si>
  <si>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</si>
  <si>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</si>
  <si>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</si>
  <si>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</si>
  <si>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</si>
  <si>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</si>
  <si>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</si>
  <si>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</si>
  <si>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</si>
  <si>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</si>
  <si>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</si>
  <si>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</si>
  <si>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</si>
  <si>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</si>
  <si>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</si>
  <si>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</si>
  <si>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</si>
  <si>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</si>
  <si>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</si>
  <si>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</si>
  <si>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</si>
  <si>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</si>
  <si>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</si>
  <si>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</si>
  <si>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</si>
  <si>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</si>
  <si>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</si>
  <si>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</si>
  <si>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</si>
  <si>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</si>
  <si>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</si>
  <si>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</si>
  <si>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</si>
  <si>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</si>
  <si>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</si>
  <si>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</si>
  <si>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</si>
  <si>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</si>
  <si>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</si>
  <si>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</si>
  <si>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</si>
  <si>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</si>
  <si>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</si>
  <si>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</si>
  <si>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</si>
  <si>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</si>
  <si>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</si>
  <si>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</si>
  <si>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</si>
  <si>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</si>
  <si>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</si>
  <si>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</si>
  <si>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</si>
  <si>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</si>
  <si>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</si>
  <si>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</si>
  <si>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</si>
  <si>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</si>
  <si>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</si>
  <si>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</si>
  <si>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</si>
  <si>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</si>
  <si>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</si>
  <si>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</si>
  <si>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</si>
  <si>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</si>
  <si>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</si>
  <si>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</si>
  <si>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</si>
  <si>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</si>
  <si>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</si>
  <si>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</si>
  <si>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</si>
  <si>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</si>
  <si>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</si>
  <si>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</si>
  <si>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</si>
  <si>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</si>
  <si>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</si>
  <si>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</si>
  <si>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</si>
  <si>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</si>
  <si>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</si>
  <si>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</si>
  <si>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</si>
  <si>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</si>
  <si>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</si>
  <si>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</si>
  <si>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</si>
  <si>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</si>
  <si>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</si>
  <si>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</si>
  <si>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</si>
  <si>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</si>
  <si>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</si>
  <si>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</si>
  <si>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</si>
  <si>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</si>
  <si>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</si>
  <si>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</si>
  <si>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</si>
  <si>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</si>
  <si>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</si>
  <si>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</si>
  <si>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</si>
  <si>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</si>
  <si>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</si>
  <si>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</si>
  <si>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</si>
  <si>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</si>
  <si>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</si>
  <si>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</si>
  <si>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</si>
  <si>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</si>
  <si>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</si>
  <si>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</si>
  <si>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</si>
  <si>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</si>
  <si>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</si>
  <si>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</si>
  <si>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</si>
  <si>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</si>
  <si>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</si>
  <si>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</si>
  <si>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</si>
  <si>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</si>
  <si>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</si>
  <si>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</si>
  <si>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</si>
  <si>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</si>
  <si>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</si>
  <si>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</si>
  <si>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</si>
  <si>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</si>
  <si>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</si>
  <si>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</si>
  <si>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</si>
  <si>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</si>
  <si>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</si>
  <si>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</si>
  <si>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</si>
  <si>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</si>
  <si>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</si>
  <si>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</si>
  <si>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</si>
  <si>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</si>
  <si>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</si>
  <si>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</si>
  <si>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</si>
  <si>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</si>
  <si>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</si>
  <si>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</si>
  <si>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</si>
  <si>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</si>
  <si>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</si>
  <si>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</si>
  <si>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</si>
  <si>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</si>
  <si>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</si>
  <si>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</si>
  <si>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</si>
  <si>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</si>
  <si>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</si>
  <si>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</si>
  <si>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</si>
  <si>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</si>
  <si>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</si>
  <si>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</si>
  <si>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</si>
  <si>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</si>
  <si>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</si>
  <si>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</si>
  <si>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</si>
  <si>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</si>
  <si>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</si>
  <si>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</si>
  <si>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</si>
  <si>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</si>
  <si>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</si>
  <si>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</si>
  <si>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</si>
  <si>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</si>
  <si>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</si>
  <si>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</si>
  <si>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</si>
  <si>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</si>
  <si>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</si>
  <si>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</si>
  <si>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</si>
  <si>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</si>
  <si>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</si>
  <si>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</si>
  <si>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</si>
  <si>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</si>
  <si>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</si>
  <si>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</si>
  <si>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</si>
  <si>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</si>
  <si>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</si>
  <si>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</si>
  <si>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</si>
  <si>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</si>
  <si>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</si>
  <si>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</si>
  <si>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</si>
  <si>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</si>
  <si>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</si>
  <si>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</si>
  <si>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</si>
  <si>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</si>
  <si>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</si>
  <si>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</si>
  <si>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</si>
  <si>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</si>
  <si>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</si>
  <si>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</si>
  <si>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</si>
  <si>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</si>
  <si>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</si>
  <si>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</si>
  <si>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</si>
  <si>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</si>
  <si>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</si>
  <si>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</si>
  <si>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</si>
  <si>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</si>
  <si>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</si>
  <si>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</si>
  <si>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</si>
  <si>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</si>
  <si>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</si>
  <si>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</si>
  <si>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</si>
  <si>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</si>
  <si>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</si>
  <si>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</si>
  <si>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</si>
  <si>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</si>
  <si>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</si>
  <si>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</si>
  <si>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</si>
  <si>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</si>
  <si>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</si>
  <si>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</si>
  <si>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</si>
  <si>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</si>
  <si>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</si>
  <si>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</si>
  <si>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</si>
  <si>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</si>
  <si>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</si>
  <si>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</si>
  <si>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</si>
  <si>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</si>
  <si>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</si>
  <si>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</si>
  <si>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</si>
  <si>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</si>
  <si>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</si>
  <si>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</si>
  <si>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</si>
  <si>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</si>
  <si>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</si>
  <si>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</si>
  <si>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</si>
  <si>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</si>
  <si>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</si>
  <si>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</si>
  <si>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</si>
  <si>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</si>
  <si>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</si>
  <si>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</si>
  <si>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</si>
  <si>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</si>
  <si>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</si>
  <si>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</si>
  <si>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</si>
  <si>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</si>
  <si>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</si>
  <si>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</si>
  <si>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</si>
  <si>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</si>
  <si>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</si>
  <si>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</si>
  <si>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</si>
  <si>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</si>
  <si>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</si>
  <si>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</si>
  <si>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</si>
  <si>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</si>
  <si>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</si>
  <si>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</si>
  <si>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</si>
  <si>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</si>
  <si>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</si>
  <si>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</si>
  <si>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</si>
  <si>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</si>
  <si>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</si>
  <si>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</si>
  <si>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</si>
  <si>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</si>
  <si>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</si>
  <si>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</si>
  <si>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</si>
  <si>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</si>
  <si>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</si>
  <si>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</si>
  <si>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</si>
  <si>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</si>
  <si>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</si>
  <si>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</si>
  <si>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</si>
  <si>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</si>
  <si>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</si>
  <si>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</si>
  <si>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</si>
  <si>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</si>
  <si>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</si>
  <si>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</si>
  <si>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</si>
  <si>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</si>
  <si>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</si>
  <si>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</si>
  <si>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</si>
  <si>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</si>
  <si>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</si>
  <si>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</si>
  <si>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</si>
  <si>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</si>
  <si>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</si>
  <si>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</si>
  <si>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</si>
  <si>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</si>
  <si>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</si>
  <si>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</si>
  <si>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</si>
  <si>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</si>
  <si>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</si>
  <si>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</si>
  <si>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</si>
  <si>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</si>
  <si>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</si>
  <si>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</si>
  <si>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</si>
  <si>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</si>
  <si>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</si>
  <si>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</si>
  <si>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</si>
  <si>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</si>
  <si>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</si>
  <si>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</si>
  <si>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</si>
  <si>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</si>
  <si>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</si>
  <si>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</si>
  <si>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</si>
  <si>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</si>
  <si>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</si>
  <si>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</si>
  <si>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</si>
  <si>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</si>
  <si>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</si>
  <si>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</si>
  <si>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</si>
  <si>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</si>
  <si>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</si>
  <si>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</si>
  <si>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</si>
  <si>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</si>
  <si>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</si>
  <si>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</si>
  <si>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</si>
  <si>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</si>
  <si>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</si>
  <si>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</si>
  <si>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</si>
  <si>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</si>
  <si>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</si>
  <si>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</si>
  <si>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</si>
  <si>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</si>
  <si>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</si>
  <si>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</si>
  <si>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</si>
  <si>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</si>
  <si>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</si>
  <si>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</si>
  <si>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</si>
  <si>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</si>
  <si>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</si>
  <si>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</si>
  <si>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</si>
  <si>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</si>
  <si>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</si>
  <si>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</si>
  <si>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</si>
  <si>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</si>
  <si>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</si>
  <si>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</si>
  <si>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</si>
  <si>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</si>
  <si>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</si>
  <si>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</si>
  <si>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</si>
  <si>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</si>
  <si>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</si>
  <si>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</si>
  <si>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</si>
  <si>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</si>
  <si>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</si>
  <si>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</si>
  <si>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</si>
  <si>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</si>
  <si>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</si>
  <si>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</si>
  <si>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</si>
  <si>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</si>
  <si>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</si>
  <si>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</si>
  <si>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</si>
  <si>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</si>
  <si>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</si>
  <si>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</si>
  <si>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</si>
  <si>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</si>
  <si>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</si>
  <si>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</si>
  <si>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</si>
  <si>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</si>
  <si>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</si>
  <si>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</si>
  <si>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</si>
  <si>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</si>
  <si>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</si>
  <si>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</si>
  <si>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</si>
  <si>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</si>
  <si>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</si>
  <si>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</si>
  <si>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</si>
  <si>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</si>
  <si>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</si>
  <si>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</si>
  <si>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</si>
  <si>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</si>
  <si>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</si>
  <si>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</si>
  <si>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</si>
  <si>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</si>
  <si>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</si>
  <si>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</si>
  <si>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</si>
  <si>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</si>
  <si>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</si>
  <si>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</si>
  <si>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</si>
  <si>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</si>
  <si>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</si>
  <si>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</si>
  <si>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</si>
  <si>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</si>
  <si>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</si>
  <si>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</si>
  <si>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</si>
  <si>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</si>
  <si>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</si>
  <si>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</si>
  <si>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</si>
  <si>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</si>
  <si>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</si>
  <si>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</si>
  <si>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</si>
  <si>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</si>
  <si>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</si>
  <si>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</si>
  <si>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</si>
  <si>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</si>
  <si>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</si>
  <si>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</si>
  <si>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</si>
  <si>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</si>
  <si>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</si>
  <si>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</si>
  <si>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</si>
  <si>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</si>
  <si>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</si>
  <si>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</si>
  <si>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</si>
  <si>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</si>
  <si>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</si>
  <si>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</si>
  <si>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</si>
  <si>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</si>
  <si>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</si>
  <si>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</si>
  <si>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</si>
  <si>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</si>
  <si>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</si>
  <si>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</si>
  <si>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</si>
  <si>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</si>
  <si>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</si>
  <si>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</si>
  <si>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</si>
  <si>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</si>
  <si>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</si>
  <si>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</si>
  <si>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</si>
  <si>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</si>
  <si>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</si>
  <si>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</si>
  <si>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</si>
  <si>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</si>
  <si>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</si>
  <si>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</si>
  <si>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</si>
  <si>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</si>
  <si>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</si>
  <si>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</si>
  <si>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</si>
  <si>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</si>
  <si>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</si>
  <si>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</si>
  <si>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</si>
  <si>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</si>
  <si>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</si>
  <si>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</si>
  <si>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</si>
  <si>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</si>
  <si>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</si>
  <si>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</si>
  <si>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</si>
  <si>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</si>
  <si>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</si>
  <si>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</si>
  <si>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</si>
  <si>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</si>
  <si>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</si>
  <si>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</si>
  <si>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</si>
  <si>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</si>
  <si>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</si>
  <si>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</si>
  <si>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</si>
  <si>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</si>
  <si>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</si>
  <si>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</si>
  <si>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</si>
  <si>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</si>
  <si>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</si>
  <si>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</si>
  <si>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</si>
  <si>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</si>
  <si>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</si>
  <si>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</si>
  <si>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</si>
  <si>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</si>
  <si>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</si>
  <si>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</si>
  <si>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</si>
  <si>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</si>
  <si>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</si>
  <si>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</si>
  <si>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</si>
  <si>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</si>
  <si>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</si>
  <si>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</si>
  <si>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</si>
  <si>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</si>
  <si>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</si>
  <si>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</si>
  <si>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</si>
  <si>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</si>
  <si>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</si>
  <si>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</si>
  <si>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</si>
  <si>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</si>
  <si>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</si>
  <si>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</si>
  <si>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</si>
  <si>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</si>
  <si>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</si>
  <si>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</si>
  <si>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</si>
  <si>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</si>
  <si>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</si>
  <si>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</si>
  <si>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</si>
  <si>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</si>
  <si>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</si>
  <si>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</si>
  <si>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</si>
  <si>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</si>
  <si>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</si>
  <si>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</si>
  <si>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</si>
  <si>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</si>
  <si>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</si>
  <si>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</si>
  <si>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</si>
  <si>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</si>
  <si>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</si>
  <si>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</si>
  <si>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</si>
  <si>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</si>
  <si>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</si>
  <si>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</si>
  <si>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</si>
  <si>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</si>
  <si>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</si>
  <si>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</si>
  <si>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</si>
  <si>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</si>
  <si>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</si>
  <si>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</si>
  <si>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</si>
  <si>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</si>
  <si>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</si>
  <si>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</si>
  <si>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</si>
  <si>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</si>
  <si>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</si>
  <si>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</si>
  <si>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</si>
  <si>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</si>
  <si>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</si>
  <si>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</si>
  <si>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</si>
  <si>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</si>
  <si>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</si>
  <si>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</si>
  <si>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</si>
  <si>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</si>
  <si>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</si>
  <si>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</si>
  <si>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</si>
  <si>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</si>
  <si>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</si>
  <si>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</si>
  <si>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</si>
  <si>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</si>
  <si>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</si>
  <si>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</si>
  <si>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</si>
  <si>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</si>
  <si>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</si>
  <si>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</si>
  <si>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</si>
  <si>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</si>
  <si>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</si>
  <si>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</si>
  <si>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</si>
  <si>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</si>
  <si>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</si>
  <si>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</si>
  <si>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</si>
  <si>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</si>
  <si>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</si>
  <si>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</si>
  <si>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</si>
  <si>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</si>
  <si>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</si>
  <si>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</si>
  <si>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</si>
  <si>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</si>
  <si>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</si>
  <si>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</si>
  <si>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</si>
  <si>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</si>
  <si>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</si>
  <si>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</si>
  <si>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</si>
  <si>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</si>
  <si>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</si>
  <si>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</si>
  <si>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</si>
  <si>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</si>
  <si>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</si>
  <si>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</si>
  <si>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</si>
  <si>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</si>
  <si>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</si>
  <si>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</si>
  <si>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</si>
  <si>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</si>
  <si>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</si>
  <si>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</si>
  <si>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</si>
  <si>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</si>
  <si>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</si>
  <si>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</si>
  <si>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</si>
  <si>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</si>
  <si>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</si>
  <si>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</si>
  <si>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</si>
  <si>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</si>
  <si>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</si>
  <si>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</si>
  <si>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</si>
  <si>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</si>
  <si>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</si>
  <si>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</si>
  <si>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</si>
  <si>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</si>
  <si>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</si>
  <si>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</si>
  <si>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</si>
  <si>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</si>
  <si>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</si>
  <si>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</si>
  <si>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</si>
  <si>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</si>
  <si>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</si>
  <si>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</si>
  <si>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</si>
  <si>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</si>
  <si>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</si>
  <si>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</si>
  <si>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</si>
  <si>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</si>
  <si>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</si>
  <si>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</si>
  <si>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</si>
  <si>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</si>
  <si>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</si>
  <si>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</si>
  <si>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</si>
  <si>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</si>
  <si>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</si>
  <si>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</si>
  <si>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</si>
  <si>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</si>
  <si>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</si>
  <si>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</si>
  <si>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</si>
  <si>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</si>
  <si>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</si>
  <si>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</si>
  <si>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</si>
  <si>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</si>
  <si>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</si>
  <si>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</si>
  <si>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</si>
  <si>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</si>
  <si>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</si>
  <si>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</si>
  <si>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</si>
  <si>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</si>
  <si>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</si>
  <si>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</si>
  <si>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</si>
  <si>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</si>
  <si>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</si>
  <si>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</si>
  <si>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</si>
  <si>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</si>
  <si>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</si>
  <si>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</si>
  <si>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</si>
  <si>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</si>
  <si>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</si>
  <si>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</si>
  <si>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</si>
  <si>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</si>
  <si>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</si>
  <si>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</si>
  <si>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</si>
  <si>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</si>
  <si>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</si>
  <si>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</si>
  <si>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</si>
  <si>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</si>
  <si>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</si>
  <si>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</si>
  <si>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</si>
  <si>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</si>
  <si>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</si>
  <si>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</si>
  <si>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</si>
  <si>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</si>
  <si>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</si>
  <si>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</si>
  <si>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</si>
  <si>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</si>
  <si>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</si>
  <si>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</si>
  <si>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</si>
  <si>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</si>
  <si>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</si>
  <si>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</si>
  <si>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</si>
  <si>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</si>
  <si>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</si>
  <si>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</si>
  <si>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</si>
  <si>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</si>
  <si>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</si>
  <si>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</si>
  <si>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</si>
  <si>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</si>
  <si>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</si>
  <si>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</si>
  <si>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</si>
  <si>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</si>
  <si>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</si>
  <si>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</si>
  <si>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</si>
  <si>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</si>
  <si>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</si>
  <si>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</si>
  <si>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</si>
  <si>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</si>
  <si>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</si>
  <si>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</si>
  <si>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</si>
  <si>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</si>
  <si>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</si>
  <si>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</si>
  <si>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</si>
  <si>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</si>
  <si>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</si>
  <si>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</si>
  <si>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</si>
  <si>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</si>
  <si>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</si>
  <si>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</si>
  <si>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</si>
  <si>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</si>
  <si>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</si>
  <si>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</si>
  <si>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</si>
  <si>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</si>
  <si>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</si>
  <si>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</si>
  <si>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</si>
  <si>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</si>
  <si>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</si>
  <si>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</si>
  <si>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</si>
  <si>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</si>
  <si>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</si>
  <si>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</si>
  <si>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</si>
  <si>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</si>
  <si>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</si>
  <si>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</si>
  <si>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</si>
  <si>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</si>
  <si>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</si>
  <si>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</si>
  <si>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</si>
  <si>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</si>
  <si>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</si>
  <si>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</si>
  <si>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</si>
  <si>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</si>
  <si>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</si>
  <si>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</si>
  <si>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</si>
  <si>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</si>
  <si>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</si>
  <si>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</si>
  <si>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</si>
  <si>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</si>
  <si>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</si>
  <si>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</si>
  <si>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</si>
  <si>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</si>
  <si>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</si>
  <si>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</si>
  <si>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</si>
  <si>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</si>
  <si>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</si>
  <si>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</si>
  <si>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</si>
  <si>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</si>
  <si>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</si>
  <si>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</si>
  <si>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</si>
  <si>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</si>
  <si>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</si>
  <si>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</si>
  <si>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</si>
  <si>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</si>
  <si>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</si>
  <si>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</si>
  <si>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</si>
  <si>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</si>
  <si>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</si>
  <si>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</si>
  <si>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</si>
  <si>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</si>
  <si>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</si>
  <si>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</si>
  <si>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</si>
  <si>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</si>
  <si>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</si>
  <si>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</si>
  <si>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</si>
  <si>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</si>
  <si>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</si>
  <si>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</si>
  <si>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</si>
  <si>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</si>
  <si>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</si>
  <si>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</si>
  <si>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</si>
  <si>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</si>
  <si>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</si>
  <si>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</si>
  <si>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</si>
  <si>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</si>
  <si>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</si>
  <si>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</si>
  <si>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</si>
  <si>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</si>
  <si>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</si>
  <si>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</si>
  <si>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</si>
  <si>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</si>
  <si>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</si>
  <si>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</si>
  <si>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</si>
  <si>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</si>
  <si>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</si>
  <si>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</si>
  <si>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</si>
  <si>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</si>
  <si>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</si>
  <si>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</si>
  <si>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</si>
  <si>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</si>
  <si>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</si>
  <si>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</si>
  <si>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</si>
  <si>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</si>
  <si>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</si>
  <si>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</si>
  <si>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</si>
  <si>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</si>
  <si>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</si>
  <si>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</si>
  <si>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</si>
  <si>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</si>
  <si>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</si>
  <si>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</si>
  <si>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</si>
  <si>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</si>
  <si>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</si>
  <si>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</si>
  <si>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</si>
  <si>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</si>
  <si>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</si>
  <si>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</si>
  <si>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</si>
  <si>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</si>
  <si>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</si>
  <si>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</si>
  <si>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</si>
  <si>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</si>
  <si>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</si>
  <si>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</si>
  <si>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</si>
  <si>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</si>
  <si>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</si>
  <si>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</si>
  <si>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</si>
  <si>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</si>
  <si>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</si>
  <si>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</si>
  <si>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</si>
  <si>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</si>
  <si>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</si>
  <si>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</si>
  <si>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</si>
  <si>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</si>
  <si>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</si>
  <si>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</si>
  <si>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</si>
  <si>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</si>
  <si>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</si>
  <si>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</si>
  <si>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</si>
  <si>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</si>
  <si>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</si>
  <si>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</si>
  <si>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</si>
  <si>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</si>
  <si>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</si>
  <si>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</si>
  <si>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</si>
  <si>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</si>
  <si>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</si>
  <si>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</si>
  <si>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</si>
  <si>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</si>
  <si>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</si>
  <si>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</si>
  <si>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</si>
  <si>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</si>
  <si>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</si>
  <si>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</si>
  <si>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</si>
  <si>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</si>
  <si>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</si>
  <si>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</si>
  <si>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</si>
  <si>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</si>
  <si>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</si>
  <si>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</si>
  <si>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</si>
  <si>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</si>
  <si>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</si>
  <si>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</si>
  <si>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</si>
  <si>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</si>
  <si>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</si>
  <si>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</si>
  <si>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</si>
  <si>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</si>
  <si>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</si>
  <si>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</si>
  <si>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</si>
  <si>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</si>
  <si>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</si>
  <si>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</si>
  <si>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</si>
  <si>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</si>
  <si>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</si>
  <si>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</si>
  <si>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</si>
  <si>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</si>
  <si>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</si>
  <si>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</si>
  <si>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</si>
  <si>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</si>
  <si>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</si>
  <si>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</si>
  <si>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</si>
  <si>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</si>
  <si>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</si>
  <si>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</si>
  <si>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</si>
  <si>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</si>
  <si>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</si>
  <si>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</si>
  <si>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</si>
  <si>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</si>
  <si>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</si>
  <si>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</si>
  <si>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</si>
  <si>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</si>
  <si>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</si>
  <si>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</si>
  <si>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</si>
  <si>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</si>
  <si>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</si>
  <si>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</si>
  <si>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</si>
  <si>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</si>
  <si>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</si>
  <si>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</si>
  <si>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</si>
  <si>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</si>
  <si>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</si>
  <si>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</si>
  <si>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</si>
  <si>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</si>
  <si>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</si>
  <si>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</si>
  <si>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</si>
  <si>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</si>
  <si>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</si>
  <si>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</si>
  <si>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</si>
  <si>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</si>
  <si>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</si>
  <si>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</si>
  <si>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</si>
  <si>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</si>
  <si>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</si>
  <si>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</si>
  <si>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</si>
  <si>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</si>
  <si>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</si>
  <si>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</si>
  <si>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</si>
  <si>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</si>
  <si>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</si>
  <si>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</si>
  <si>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</si>
  <si>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</si>
  <si>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</si>
  <si>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</si>
  <si>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</si>
  <si>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</si>
  <si>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</si>
  <si>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</si>
  <si>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</si>
  <si>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</si>
  <si>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</si>
  <si>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</si>
  <si>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</si>
  <si>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</si>
  <si>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</si>
  <si>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</si>
  <si>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</si>
  <si>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</si>
  <si>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</si>
  <si>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</si>
  <si>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</si>
  <si>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</si>
  <si>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</si>
  <si>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</si>
  <si>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</si>
  <si>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</si>
  <si>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</si>
  <si>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</si>
  <si>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</si>
  <si>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</si>
  <si>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</si>
  <si>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</si>
  <si>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</si>
  <si>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</si>
  <si>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</si>
  <si>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</si>
  <si>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</si>
  <si>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</si>
  <si>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</si>
  <si>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</si>
  <si>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</si>
  <si>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</si>
  <si>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</si>
  <si>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</si>
  <si>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</si>
  <si>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</si>
  <si>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</si>
  <si>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</si>
  <si>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</si>
  <si>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</si>
  <si>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</si>
  <si>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</si>
  <si>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</si>
  <si>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</si>
  <si>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</si>
  <si>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</si>
  <si>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</si>
  <si>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</si>
  <si>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</si>
  <si>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</si>
  <si>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</si>
  <si>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</si>
  <si>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</si>
  <si>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</si>
  <si>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</si>
  <si>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</si>
  <si>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</si>
  <si>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</si>
  <si>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</si>
  <si>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</si>
  <si>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</si>
  <si>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</si>
  <si>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</si>
  <si>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</si>
  <si>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</si>
  <si>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</si>
  <si>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</si>
  <si>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</si>
  <si>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</si>
  <si>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</si>
  <si>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</si>
  <si>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</si>
  <si>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</si>
  <si>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</si>
  <si>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</si>
  <si>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</si>
  <si>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</si>
  <si>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</si>
  <si>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</si>
  <si>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</si>
  <si>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</si>
  <si>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</si>
  <si>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</si>
  <si>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</si>
  <si>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</si>
  <si>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</si>
  <si>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</si>
  <si>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</si>
  <si>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</si>
  <si>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</si>
  <si>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</si>
  <si>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</si>
  <si>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</si>
  <si>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</si>
  <si>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</si>
  <si>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</si>
  <si>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</si>
  <si>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</si>
  <si>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</si>
  <si>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</si>
  <si>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</si>
  <si>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</si>
  <si>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</si>
  <si>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</si>
  <si>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</si>
  <si>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</si>
  <si>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</si>
  <si>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</si>
  <si>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</si>
  <si>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</si>
  <si>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</si>
  <si>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</si>
  <si>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</si>
  <si>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</si>
  <si>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</si>
  <si>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</si>
  <si>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</si>
  <si>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</si>
  <si>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</si>
  <si>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</si>
  <si>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</si>
  <si>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</si>
  <si>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</si>
  <si>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</si>
  <si>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</si>
  <si>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</si>
  <si>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</si>
  <si>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</si>
  <si>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</si>
  <si>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</si>
  <si>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</si>
  <si>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</si>
  <si>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</si>
  <si>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</si>
  <si>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</si>
  <si>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</si>
  <si>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</si>
  <si>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</si>
  <si>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</si>
  <si>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</si>
  <si>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</si>
  <si>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</si>
  <si>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</si>
  <si>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</si>
  <si>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</si>
  <si>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</si>
  <si>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</si>
  <si>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</si>
  <si>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</si>
  <si>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</si>
  <si>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</si>
  <si>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</si>
  <si>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</si>
  <si>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</si>
  <si>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</si>
  <si>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</si>
  <si>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</si>
  <si>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</si>
  <si>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</si>
  <si>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</si>
  <si>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</si>
  <si>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</si>
  <si>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</si>
  <si>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</si>
  <si>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</si>
  <si>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</si>
  <si>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</si>
  <si>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</si>
  <si>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</si>
  <si>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</si>
  <si>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</si>
  <si>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</si>
  <si>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</si>
  <si>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</si>
  <si>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</si>
  <si>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</si>
  <si>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</si>
  <si>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</si>
  <si>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</si>
  <si>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</si>
  <si>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</si>
  <si>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</si>
  <si>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</si>
  <si>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</si>
  <si>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</si>
  <si>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</si>
  <si>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</si>
  <si>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</si>
  <si>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</si>
  <si>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</si>
  <si>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</si>
  <si>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</si>
  <si>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</si>
  <si>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</si>
  <si>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</si>
  <si>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</si>
  <si>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</si>
  <si>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</si>
  <si>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</si>
  <si>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</si>
  <si>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</si>
  <si>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</si>
  <si>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</si>
  <si>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</si>
  <si>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</si>
  <si>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</si>
  <si>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</si>
  <si>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</si>
  <si>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</si>
  <si>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</si>
  <si>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</si>
  <si>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</si>
  <si>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</si>
  <si>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</si>
  <si>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</si>
  <si>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</si>
  <si>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</si>
  <si>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</si>
  <si>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</si>
  <si>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</si>
  <si>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</si>
  <si>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</si>
  <si>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</si>
  <si>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</si>
  <si>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</si>
  <si>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</si>
  <si>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</si>
  <si>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</si>
  <si>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</si>
  <si>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</si>
  <si>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</si>
  <si>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</si>
  <si>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</si>
  <si>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</si>
  <si>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</si>
  <si>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</si>
  <si>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</si>
  <si>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</si>
  <si>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</si>
  <si>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</si>
  <si>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</si>
  <si>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</si>
  <si>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</si>
  <si>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</si>
  <si>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</si>
  <si>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</si>
  <si>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</si>
  <si>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</si>
  <si>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</si>
  <si>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</si>
  <si>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</si>
  <si>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</si>
  <si>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</si>
  <si>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</si>
  <si>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</si>
  <si>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</si>
  <si>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</si>
  <si>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</si>
  <si>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</si>
  <si>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</si>
  <si>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</si>
  <si>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</si>
  <si>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</si>
  <si>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</si>
  <si>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</si>
  <si>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</si>
  <si>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</si>
  <si>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</si>
  <si>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</si>
  <si>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</si>
  <si>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</si>
  <si>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</si>
  <si>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</si>
  <si>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</si>
  <si>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</si>
  <si>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</si>
  <si>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</si>
  <si>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</si>
  <si>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</si>
  <si>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</si>
  <si>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</si>
  <si>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</si>
  <si>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</si>
  <si>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</si>
  <si>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</si>
  <si>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</si>
  <si>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</si>
  <si>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</si>
  <si>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</si>
  <si>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</si>
  <si>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</si>
  <si>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</si>
  <si>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</si>
  <si>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</si>
  <si>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</si>
  <si>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</si>
  <si>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</si>
  <si>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</si>
  <si>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</si>
  <si>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</si>
  <si>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</si>
  <si>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</si>
  <si>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</si>
  <si>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</si>
  <si>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</si>
  <si>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</si>
  <si>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</si>
  <si>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</si>
  <si>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</si>
  <si>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</si>
  <si>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</si>
  <si>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</si>
  <si>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</si>
  <si>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Cancelado / Condições climáticas (chuva)</t>
  </si>
  <si>
    <t>ZBV-ZFH</t>
  </si>
  <si>
    <t>7683/9295/9298</t>
  </si>
  <si>
    <t xml:space="preserve">MC1 11h13 / autorizado entrada na via 11h20 / </t>
  </si>
  <si>
    <t xml:space="preserve">MC1 10h14 / </t>
  </si>
  <si>
    <t>TP pronto 10h24 / Sem oportunidade de faixa</t>
  </si>
  <si>
    <t>TP pronto 09h49 / devido condições climáticas (forte chuva) sem possibilidade de  realizar intervalo</t>
  </si>
  <si>
    <t>TP pronto 09h49 / porém forte chuvas no local</t>
  </si>
  <si>
    <t>MC1 10h33 / Sem oportunidade de faixa</t>
  </si>
  <si>
    <t>ZKEZGA-1</t>
  </si>
  <si>
    <t>ZKEZGA-ZQBZBV</t>
  </si>
  <si>
    <t>ZKEZGAZQBZBV</t>
  </si>
  <si>
    <t>Em inspeção R7D</t>
  </si>
  <si>
    <t>102ZKW-2</t>
  </si>
  <si>
    <t>Cazonatto</t>
  </si>
  <si>
    <t>Sem acesso no local, devido chuva</t>
  </si>
  <si>
    <t>Em intervalo bloco das 09h20 até 17h20</t>
  </si>
  <si>
    <t>ZBVZQB</t>
  </si>
  <si>
    <t>ZEM-ZQBZBV</t>
  </si>
  <si>
    <t>ZEMZQBZBV</t>
  </si>
  <si>
    <t>Vanderley</t>
  </si>
  <si>
    <t>Recolhimento de dormentes km156+000 ao km 158+000 via 2 (40min), e recolhimento de dormentes km148+000 ao km145+900 via 1 (40min).</t>
  </si>
  <si>
    <t>Alterado a programação para posicionamento de dormentes km128+000 via 2 / Em intervalo bloco das 09h20 até 17h20</t>
  </si>
  <si>
    <t>Em intervalo das 09h20 até 17h20</t>
  </si>
  <si>
    <t>ZPG2</t>
  </si>
  <si>
    <t>ZEV-ZPG</t>
  </si>
  <si>
    <t>ZEVZPG</t>
  </si>
  <si>
    <t xml:space="preserve">MC1  07h38 / Em inspeção / </t>
  </si>
  <si>
    <t>K73K221</t>
  </si>
  <si>
    <t>Alterado programação para via1 / TP pronto 09h27 / confirmar cauda do i29 para analise de faixa</t>
  </si>
  <si>
    <t>TP pronto 09h03 / Sem oportundiade de faixa</t>
  </si>
  <si>
    <t>TP pronto 09h02 / Confirma a cauda do L48 e me informe.</t>
  </si>
  <si>
    <t>TP pronto 08h10 / Em intervalo das 09h24 até 10h24</t>
  </si>
  <si>
    <t>Saulo</t>
  </si>
  <si>
    <t xml:space="preserve">MC1 10h00 / previsão de faixa após L48 / </t>
  </si>
  <si>
    <t>Em deslocamento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</si>
  <si>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</si>
  <si>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</si>
  <si>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</si>
  <si>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</si>
  <si>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</si>
  <si>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</si>
  <si>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</si>
  <si>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</si>
  <si>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</si>
  <si>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</si>
  <si>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</si>
  <si>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</si>
  <si>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</si>
  <si>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</si>
  <si>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</si>
  <si>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</si>
  <si>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</si>
  <si>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</si>
  <si>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</si>
  <si>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</si>
  <si>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</si>
  <si>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</si>
  <si>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</si>
  <si>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</si>
  <si>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</si>
  <si>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</si>
  <si>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</si>
  <si>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</si>
  <si>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</si>
  <si>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</si>
  <si>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</si>
  <si>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</si>
  <si>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</si>
  <si>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</si>
  <si>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</si>
  <si>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</si>
  <si>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</si>
  <si>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</si>
  <si>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</si>
  <si>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</si>
  <si>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</si>
  <si>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</si>
  <si>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</si>
  <si>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</si>
  <si>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</si>
  <si>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</si>
  <si>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</si>
  <si>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</si>
  <si>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</si>
  <si>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Anexado no T52 9227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</si>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</sst>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0" fontId="24" fillId="14" borderId="2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4" topLeftCell="E345" activePane="topRight" state="frozen"/>
      <selection pane="topRight" activeCell="I360" sqref="I36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hidden="1" customWidth="1"/>
    <col min="58" max="58" width="8.42578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22" t="s">
        <v>919</v>
      </c>
      <c r="C1" s="223"/>
      <c r="D1" s="223"/>
      <c r="E1" s="3"/>
      <c r="F1" s="222" t="s">
        <v>920</v>
      </c>
      <c r="G1" s="223"/>
      <c r="H1" s="224"/>
      <c r="I1" s="223"/>
      <c r="J1" s="223"/>
      <c r="K1" s="223"/>
      <c r="L1" s="223"/>
      <c r="M1" s="223"/>
      <c r="N1" s="223"/>
      <c r="O1" s="223"/>
      <c r="P1" s="223"/>
      <c r="Q1" s="223"/>
      <c r="R1" s="223"/>
      <c r="S1" s="223"/>
      <c r="T1" s="223"/>
      <c r="U1" s="223"/>
      <c r="V1" s="223"/>
      <c r="W1" s="223"/>
      <c r="X1" s="223"/>
      <c r="Y1" s="223"/>
      <c r="Z1" s="223"/>
      <c r="AA1" s="223"/>
      <c r="AB1" s="223"/>
      <c r="AC1" s="223"/>
      <c r="AD1" s="223"/>
      <c r="AE1" s="223"/>
      <c r="AF1" s="223"/>
      <c r="AG1" s="225"/>
      <c r="AH1" s="5"/>
      <c r="AI1" s="199" t="s">
        <v>921</v>
      </c>
      <c r="AJ1" s="200"/>
      <c r="AK1" s="200"/>
      <c r="AL1" s="200"/>
      <c r="AM1" s="201"/>
      <c r="AN1" s="202"/>
      <c r="AO1" s="200"/>
      <c r="AP1" s="200"/>
      <c r="AQ1" s="200"/>
      <c r="AR1" s="200"/>
      <c r="AS1" s="200"/>
      <c r="AT1" s="200"/>
      <c r="AU1" s="200"/>
      <c r="AV1" s="200"/>
      <c r="AW1" s="200"/>
      <c r="AX1" s="200"/>
      <c r="AY1" s="200"/>
      <c r="AZ1" s="200"/>
      <c r="BA1" s="200"/>
      <c r="BB1" s="200"/>
      <c r="BC1" s="200"/>
      <c r="BD1" s="200"/>
      <c r="BE1" s="200"/>
      <c r="BF1" s="203"/>
      <c r="BG1" s="5"/>
      <c r="BH1" s="204" t="s">
        <v>922</v>
      </c>
      <c r="BI1" s="205"/>
      <c r="BJ1" s="205"/>
      <c r="BK1" s="206"/>
      <c r="BL1" s="5"/>
      <c r="BM1" s="196" t="s">
        <v>923</v>
      </c>
      <c r="BN1" s="197"/>
      <c r="BO1" s="197"/>
      <c r="BP1" s="197"/>
      <c r="BQ1" s="197"/>
      <c r="BR1" s="197"/>
      <c r="BS1" s="198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199" t="s">
        <v>924</v>
      </c>
      <c r="AJ2" s="200"/>
      <c r="AK2" s="200"/>
      <c r="AL2" s="200"/>
      <c r="AM2" s="201"/>
      <c r="AN2" s="202"/>
      <c r="AO2" s="200"/>
      <c r="AP2" s="200"/>
      <c r="AQ2" s="203"/>
      <c r="AR2" s="6"/>
      <c r="AS2" s="199" t="s">
        <v>927</v>
      </c>
      <c r="AT2" s="200"/>
      <c r="AU2" s="200"/>
      <c r="AV2" s="200"/>
      <c r="AW2" s="200"/>
      <c r="AX2" s="200"/>
      <c r="AY2" s="203"/>
      <c r="AZ2" s="6"/>
      <c r="BA2" s="213" t="s">
        <v>928</v>
      </c>
      <c r="BB2" s="214"/>
      <c r="BC2" s="199" t="s">
        <v>925</v>
      </c>
      <c r="BD2" s="200"/>
      <c r="BE2" s="200"/>
      <c r="BF2" s="203"/>
      <c r="BG2" s="5"/>
      <c r="BH2" s="207"/>
      <c r="BI2" s="208"/>
      <c r="BJ2" s="208"/>
      <c r="BK2" s="209"/>
      <c r="BL2" s="5"/>
      <c r="BM2" s="210"/>
      <c r="BN2" s="211"/>
      <c r="BO2" s="211"/>
      <c r="BP2" s="211"/>
      <c r="BQ2" s="211"/>
      <c r="BR2" s="211"/>
      <c r="BS2" s="212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213" t="s">
        <v>929</v>
      </c>
      <c r="AJ3" s="214"/>
      <c r="AK3" s="213" t="s">
        <v>930</v>
      </c>
      <c r="AL3" s="219"/>
      <c r="AM3" s="220"/>
      <c r="AN3" s="221"/>
      <c r="AO3" s="219"/>
      <c r="AP3" s="219"/>
      <c r="AQ3" s="214"/>
      <c r="AR3" s="63"/>
      <c r="AS3" s="217" t="s">
        <v>936</v>
      </c>
      <c r="AT3" s="218"/>
      <c r="AU3" s="217" t="s">
        <v>937</v>
      </c>
      <c r="AV3" s="218"/>
      <c r="AW3" s="217" t="s">
        <v>938</v>
      </c>
      <c r="AX3" s="218"/>
      <c r="AY3" s="63" t="s">
        <v>939</v>
      </c>
      <c r="AZ3" s="63"/>
      <c r="BA3" s="215"/>
      <c r="BB3" s="216"/>
      <c r="BC3" s="213" t="s">
        <v>932</v>
      </c>
      <c r="BD3" s="219"/>
      <c r="BE3" s="219"/>
      <c r="BF3" s="214"/>
      <c r="BG3" s="62"/>
      <c r="BH3" s="207"/>
      <c r="BI3" s="208"/>
      <c r="BJ3" s="208"/>
      <c r="BK3" s="209"/>
      <c r="BL3" s="62"/>
      <c r="BM3" s="196" t="s">
        <v>940</v>
      </c>
      <c r="BN3" s="197"/>
      <c r="BO3" s="197"/>
      <c r="BP3" s="198"/>
      <c r="BQ3" s="196" t="s">
        <v>707</v>
      </c>
      <c r="BR3" s="197"/>
      <c r="BS3" s="198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hidden="1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1338</v>
      </c>
      <c r="BG228" s="16"/>
      <c r="BH228" s="17">
        <v>0</v>
      </c>
      <c r="BI228" s="17"/>
      <c r="BJ228" s="17" t="s">
        <v>1339</v>
      </c>
      <c r="BK228" s="17" t="s">
        <v>1339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1338</v>
      </c>
      <c r="BG229" s="16"/>
      <c r="BH229" s="17">
        <v>2</v>
      </c>
      <c r="BI229" s="17"/>
      <c r="BJ229" s="17" t="s">
        <v>1340</v>
      </c>
      <c r="BK229" s="17" t="s">
        <v>1341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1342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1338</v>
      </c>
      <c r="BG230" s="16"/>
      <c r="BH230" s="17">
        <v>0</v>
      </c>
      <c r="BI230" s="17"/>
      <c r="BJ230" s="17" t="s">
        <v>1343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1338</v>
      </c>
      <c r="BG231" s="16"/>
      <c r="BH231" s="17">
        <v>2</v>
      </c>
      <c r="BI231" s="17"/>
      <c r="BJ231" s="17" t="s">
        <v>1344</v>
      </c>
      <c r="BK231" s="17" t="s">
        <v>1345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1338</v>
      </c>
      <c r="BG232" s="16"/>
      <c r="BH232" s="17">
        <v>2</v>
      </c>
      <c r="BI232" s="17"/>
      <c r="BJ232" s="17" t="s">
        <v>1346</v>
      </c>
      <c r="BK232" s="17" t="s">
        <v>1347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1338</v>
      </c>
      <c r="BG234" s="16"/>
      <c r="BH234" s="17">
        <v>0</v>
      </c>
      <c r="BI234" s="17"/>
      <c r="BJ234" s="17" t="s">
        <v>1348</v>
      </c>
      <c r="BK234" s="17" t="s">
        <v>1348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1338</v>
      </c>
      <c r="BG235" s="16"/>
      <c r="BH235" s="17">
        <v>0</v>
      </c>
      <c r="BI235" s="17"/>
      <c r="BJ235" s="17" t="s">
        <v>1343</v>
      </c>
      <c r="BK235" s="17" t="s">
        <v>1343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1338</v>
      </c>
      <c r="BG236" s="16"/>
      <c r="BH236" s="17">
        <v>0</v>
      </c>
      <c r="BI236" s="17"/>
      <c r="BJ236" s="17" t="s">
        <v>1343</v>
      </c>
      <c r="BK236" s="17" t="s">
        <v>1343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1338</v>
      </c>
      <c r="BG237" s="16"/>
      <c r="BH237" s="17">
        <v>0</v>
      </c>
      <c r="BI237" s="17"/>
      <c r="BJ237" s="17" t="s">
        <v>1343</v>
      </c>
      <c r="BK237" s="17" t="s">
        <v>1343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1349</v>
      </c>
      <c r="I238" s="106" t="s">
        <v>1349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1338</v>
      </c>
      <c r="BG238" s="16"/>
      <c r="BH238" s="17">
        <v>0</v>
      </c>
      <c r="BI238" s="17"/>
      <c r="BJ238" s="17" t="s">
        <v>1350</v>
      </c>
      <c r="BK238" s="17" t="s">
        <v>1350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1350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1338</v>
      </c>
      <c r="BG240" s="16"/>
      <c r="BH240" s="17">
        <v>0</v>
      </c>
      <c r="BI240" s="17"/>
      <c r="BJ240" s="17" t="s">
        <v>1343</v>
      </c>
      <c r="BK240" s="17" t="s">
        <v>1343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1338</v>
      </c>
      <c r="BG241" s="16"/>
      <c r="BH241" s="17">
        <v>0</v>
      </c>
      <c r="BI241" s="17"/>
      <c r="BJ241" s="17" t="s">
        <v>1343</v>
      </c>
      <c r="BK241" s="17" t="s">
        <v>1343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1338</v>
      </c>
      <c r="BG242" s="16"/>
      <c r="BH242" s="17">
        <v>0</v>
      </c>
      <c r="BI242" s="17"/>
      <c r="BJ242" s="17" t="s">
        <v>1343</v>
      </c>
      <c r="BK242" s="17" t="s">
        <v>1343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1338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1338</v>
      </c>
      <c r="BG245" s="16"/>
      <c r="BH245" s="17">
        <v>2</v>
      </c>
      <c r="BI245" s="17"/>
      <c r="BJ245" s="17" t="s">
        <v>1351</v>
      </c>
      <c r="BK245" s="17" t="s">
        <v>1351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1338</v>
      </c>
      <c r="BG246" s="16"/>
      <c r="BH246" s="17">
        <v>0</v>
      </c>
      <c r="BI246" s="17"/>
      <c r="BJ246" s="17" t="s">
        <v>1352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1338</v>
      </c>
      <c r="BG247" s="16"/>
      <c r="BH247" s="17">
        <v>0</v>
      </c>
      <c r="BI247" s="17"/>
      <c r="BJ247" s="17" t="s">
        <v>1353</v>
      </c>
      <c r="BK247" s="18" t="s">
        <v>1354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1338</v>
      </c>
      <c r="BG248" s="16"/>
      <c r="BH248" s="17">
        <v>0</v>
      </c>
      <c r="BI248" s="17"/>
      <c r="BJ248" s="17" t="s">
        <v>1355</v>
      </c>
      <c r="BK248" s="17" t="s">
        <v>1355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1338</v>
      </c>
      <c r="BG249" s="16"/>
      <c r="BH249" s="17">
        <v>0</v>
      </c>
      <c r="BI249" s="17"/>
      <c r="BJ249" s="17" t="s">
        <v>1343</v>
      </c>
      <c r="BK249" s="18" t="s">
        <v>1339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1338</v>
      </c>
      <c r="BG250" s="16"/>
      <c r="BH250" s="17">
        <v>2</v>
      </c>
      <c r="BI250" s="17"/>
      <c r="BJ250" s="17" t="s">
        <v>1356</v>
      </c>
      <c r="BK250" s="17" t="s">
        <v>1357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1358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1359</v>
      </c>
      <c r="BK253" s="17" t="s">
        <v>1360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1361</v>
      </c>
      <c r="N254" s="127" t="s">
        <v>1362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1363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1364</v>
      </c>
      <c r="BK254" s="17" t="s">
        <v>1364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1365</v>
      </c>
      <c r="BK255" s="17" t="s">
        <v>1365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1366</v>
      </c>
      <c r="BG256" s="16"/>
      <c r="BH256" s="17">
        <v>0</v>
      </c>
      <c r="BI256" s="17"/>
      <c r="BJ256" s="17" t="s">
        <v>1367</v>
      </c>
      <c r="BK256" s="17" t="s">
        <v>1367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1368</v>
      </c>
      <c r="BK259" s="17" t="s">
        <v>1368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1369</v>
      </c>
      <c r="I260" s="106" t="s">
        <v>1369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1370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1371</v>
      </c>
      <c r="BK260" s="18" t="s">
        <v>1372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1373</v>
      </c>
      <c r="BK261" s="17" t="s">
        <v>1373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1373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1374</v>
      </c>
      <c r="BK262" s="17" t="s">
        <v>1374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1374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1375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1376</v>
      </c>
      <c r="BK263" s="176" t="s">
        <v>1377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1377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1378</v>
      </c>
      <c r="BK264" s="176" t="s">
        <v>1379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1379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1380</v>
      </c>
      <c r="BK265" s="17" t="s">
        <v>1380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1380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1381</v>
      </c>
      <c r="BK266" s="176" t="s">
        <v>1382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1368</v>
      </c>
      <c r="BK267" s="17" t="s">
        <v>1368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1368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1368</v>
      </c>
      <c r="BK268" s="17" t="s">
        <v>1368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1368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1383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1384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1385</v>
      </c>
      <c r="BK270" s="176" t="s">
        <v>1385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1368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1368</v>
      </c>
      <c r="BK272" s="17" t="s">
        <v>1368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1368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1386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1387</v>
      </c>
      <c r="BK273" s="176" t="s">
        <v>1388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1389</v>
      </c>
      <c r="BK274" s="18" t="s">
        <v>1368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1368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1389</v>
      </c>
      <c r="BK275" s="18" t="s">
        <v>1368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1368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1390</v>
      </c>
      <c r="BK276" s="17" t="s">
        <v>1391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1391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1392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1393</v>
      </c>
      <c r="BK278" s="17" t="s">
        <v>1393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1393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1392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1393</v>
      </c>
      <c r="BK279" s="17" t="s">
        <v>1393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1393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1392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1393</v>
      </c>
      <c r="BK280" s="17" t="s">
        <v>1393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1393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1392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1393</v>
      </c>
      <c r="BK281" s="17" t="s">
        <v>1393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1393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1368</v>
      </c>
      <c r="BK284" s="17" t="s">
        <v>1368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1368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1394</v>
      </c>
      <c r="BK285" s="176" t="s">
        <v>1394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1395</v>
      </c>
      <c r="BK286" s="176" t="s">
        <v>1395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1368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1368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1368</v>
      </c>
      <c r="BK288" s="17" t="s">
        <v>1368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1368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1396</v>
      </c>
      <c r="N289" s="127" t="s">
        <v>1397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1398</v>
      </c>
      <c r="BK289" s="176" t="s">
        <v>1398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1399</v>
      </c>
      <c r="N290" s="127" t="s">
        <v>1400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1401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1402</v>
      </c>
      <c r="BK290" s="18" t="s">
        <v>1403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1404</v>
      </c>
      <c r="BK291" s="18" t="s">
        <v>1405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1405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1368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1368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1406</v>
      </c>
      <c r="BK294" s="17" t="s">
        <v>1407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1407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1408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1409</v>
      </c>
      <c r="BK295" s="17" t="s">
        <v>1409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1409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1410</v>
      </c>
      <c r="BK296" s="17" t="s">
        <v>1411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1411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1412</v>
      </c>
      <c r="BK297" s="17" t="s">
        <v>1413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1413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1414</v>
      </c>
      <c r="BK298" s="17" t="s">
        <v>1414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1414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hidden="1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1415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1416</v>
      </c>
      <c r="BK299" s="17" t="s">
        <v>1417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1417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 hidden="1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1418</v>
      </c>
      <c r="BK300" s="17" t="s">
        <v>1419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1419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1420</v>
      </c>
      <c r="BK301" s="17" t="s">
        <v>1421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1421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1407</v>
      </c>
      <c r="BK302" s="17" t="s">
        <v>1407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1407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1422</v>
      </c>
      <c r="I303" s="106" t="s">
        <v>1423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>
        <v>40</v>
      </c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1424</v>
      </c>
      <c r="BK303" s="17" t="s">
        <v>1424</v>
      </c>
      <c r="BL303" s="16"/>
      <c r="BM303" s="130" t="s">
        <v>410</v>
      </c>
      <c r="BN303" s="130" t="s">
        <v>410</v>
      </c>
      <c r="BO303" s="130" t="s">
        <v>410</v>
      </c>
      <c r="BP303" s="18" t="s">
        <v>558</v>
      </c>
      <c r="BQ303" s="12" t="str">
        <f>IF(AND(BR303&lt;1,BS303&lt;1),"Produção e Intervalo",IF(BR303&lt;1,"Intervalo",IF(BS303&lt;1,"Produção","Aderente")))</f>
        <v>Aderente</v>
      </c>
      <c r="BR303" s="19">
        <f>IF(OR(B303="",F303=""),"*",AY303/P303)</f>
        <v>1.0000000000000004</v>
      </c>
      <c r="BS303" s="19">
        <f>IF(OR(B303="",F303=""),"*",BA303/Q303)</f>
        <v>1</v>
      </c>
      <c r="BT303" s="8" t="str">
        <f t="shared" si="6"/>
        <v>OKOK</v>
      </c>
    </row>
    <row r="304" spans="1:72" hidden="1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1425</v>
      </c>
      <c r="BK304" s="17" t="s">
        <v>1426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1426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1427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1425</v>
      </c>
      <c r="BK305" s="18" t="s">
        <v>1428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1428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1427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1425</v>
      </c>
      <c r="BK306" s="18" t="s">
        <v>1428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1428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1429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1425</v>
      </c>
      <c r="BK307" s="18" t="s">
        <v>1430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1430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1425</v>
      </c>
      <c r="BK308" s="18" t="s">
        <v>1430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1430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1431</v>
      </c>
      <c r="BK309" s="18" t="s">
        <v>1432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1432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 hidden="1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1074</v>
      </c>
      <c r="W310" s="151" t="s">
        <v>1433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1118</v>
      </c>
      <c r="BG310" s="16"/>
      <c r="BH310" s="17">
        <v>2</v>
      </c>
      <c r="BI310" s="17"/>
      <c r="BJ310" s="17"/>
      <c r="BK310" s="18" t="s">
        <v>1434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hidden="1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1435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1436</v>
      </c>
      <c r="BK311" s="17" t="s">
        <v>1436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1437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1438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1439</v>
      </c>
      <c r="BK312" s="17" t="s">
        <v>1439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1439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1440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1441</v>
      </c>
      <c r="BK313" s="17" t="s">
        <v>1441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1439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1442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1443</v>
      </c>
      <c r="BK314" s="17" t="s">
        <v>1443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1443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1392</v>
      </c>
      <c r="W315" s="151" t="s">
        <v>1444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1445</v>
      </c>
      <c r="BK315" s="17" t="s">
        <v>1445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1445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1392</v>
      </c>
      <c r="W316" s="151" t="s">
        <v>1444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1446</v>
      </c>
      <c r="BK316" s="17" t="s">
        <v>1446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1446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hidden="1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1447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1448</v>
      </c>
      <c r="BK318" s="17" t="s">
        <v>1449</v>
      </c>
      <c r="BL318" s="16"/>
      <c r="BM318" s="130" t="s">
        <v>410</v>
      </c>
      <c r="BN318" s="130" t="s">
        <v>410</v>
      </c>
      <c r="BO318" s="130" t="s">
        <v>410</v>
      </c>
      <c r="BP318" s="18" t="s">
        <v>558</v>
      </c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>OKOK</v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700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1450</v>
      </c>
      <c r="BK319" s="17" t="s">
        <v>1451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1.75</v>
      </c>
      <c r="BT319" s="8" t="str">
        <f t="shared" si="6"/>
        <v>OKOK</v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1860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>
        <v>1860</v>
      </c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1452</v>
      </c>
      <c r="BK320" s="17" t="s">
        <v>1453</v>
      </c>
      <c r="BL320" s="16"/>
      <c r="BM320" s="130" t="s">
        <v>410</v>
      </c>
      <c r="BN320" s="130" t="s">
        <v>410</v>
      </c>
      <c r="BO320" s="130" t="s">
        <v>410</v>
      </c>
      <c r="BP320" s="18" t="s">
        <v>558</v>
      </c>
      <c r="BQ320" s="12" t="str">
        <f>IF(AND(BR320&lt;1,BS320&lt;1),"Produção e Intervalo",IF(BR320&lt;1,"Intervalo",IF(BS320&lt;1,"Produção","Aderente")))</f>
        <v>Aderente</v>
      </c>
      <c r="BR320" s="19">
        <f>IF(OR(B320="",F320=""),"*",AY320/P320)</f>
        <v>1</v>
      </c>
      <c r="BS320" s="19">
        <f>IF(OR(B320="",F320=""),"*",BA320/Q320)</f>
        <v>1</v>
      </c>
      <c r="BT320" s="8" t="str">
        <f t="shared" si="6"/>
        <v>OKOK</v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1454</v>
      </c>
      <c r="BK322" s="176" t="s">
        <v>1454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1454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hidden="1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1455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1456</v>
      </c>
      <c r="BK323" s="17" t="s">
        <v>1457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1458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1459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>
        <v>1</v>
      </c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1460</v>
      </c>
      <c r="BK324" s="17" t="s">
        <v>1461</v>
      </c>
      <c r="BL324" s="16"/>
      <c r="BM324" s="130" t="s">
        <v>410</v>
      </c>
      <c r="BN324" s="130" t="s">
        <v>410</v>
      </c>
      <c r="BO324" s="130" t="s">
        <v>410</v>
      </c>
      <c r="BP324" s="18"/>
      <c r="BQ324" s="12" t="e">
        <f>IF(AND(BR324&lt;1,BS324&lt;1),"Produção e Intervalo",IF(BR324&lt;1,"Intervalo",IF(BS324&lt;1,"Produção","Aderente")))</f>
        <v>#DIV/0!</v>
      </c>
      <c r="BR324" s="19" t="e">
        <f t="shared" ref="BR324:BR325" si="7">IF(OR(B324="",F324=""),"*",AY324/P324)</f>
        <v>#DIV/0!</v>
      </c>
      <c r="BS324" s="19">
        <f>IF(OR(B324="",F324=""),"*",BA324/Q324)</f>
        <v>1</v>
      </c>
      <c r="BT324" s="8" t="str">
        <f t="shared" si="6"/>
        <v>OKOK</v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1458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1401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1403</v>
      </c>
      <c r="BK325" s="17" t="s">
        <v>1462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 t="shared" si="7"/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1407</v>
      </c>
      <c r="BK326" s="17" t="s">
        <v>1407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1407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1407</v>
      </c>
      <c r="BK327" s="17" t="s">
        <v>1407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1407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 hidden="1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1284</v>
      </c>
      <c r="W328" s="151" t="s">
        <v>1088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1463</v>
      </c>
      <c r="BK328" s="17" t="s">
        <v>1464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8">IF(BN328="","",SUBSTITUTE(BM328," ","")&amp;SUBSTITUTE(BN328," ",""))</f>
        <v>OKOK</v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1058</v>
      </c>
      <c r="W330" s="151" t="s">
        <v>1025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>
        <v>0</v>
      </c>
      <c r="AS330" s="108">
        <v>0</v>
      </c>
      <c r="AT330" s="108">
        <v>0</v>
      </c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/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>
        <v>0</v>
      </c>
      <c r="BI330" s="17"/>
      <c r="BJ330" s="17" t="s">
        <v>1465</v>
      </c>
      <c r="BK330" s="17" t="s">
        <v>1465</v>
      </c>
      <c r="BL330" s="16"/>
      <c r="BM330" s="130" t="s">
        <v>412</v>
      </c>
      <c r="BN330" s="130" t="s">
        <v>436</v>
      </c>
      <c r="BO330" s="130" t="s">
        <v>436</v>
      </c>
      <c r="BP330" s="17" t="s">
        <v>1465</v>
      </c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8"/>
        <v>CondiçõesClimáticaChuva</v>
      </c>
    </row>
    <row r="331" spans="1:72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1466</v>
      </c>
      <c r="N331" s="127" t="s">
        <v>1466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1058</v>
      </c>
      <c r="W331" s="151" t="s">
        <v>1085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1467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>
        <v>0.46736111111111112</v>
      </c>
      <c r="AS331" s="108"/>
      <c r="AT331" s="108"/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0</v>
      </c>
      <c r="AZ331" s="153"/>
      <c r="BA331" s="109"/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/>
      <c r="BI331" s="17"/>
      <c r="BJ331" s="17" t="s">
        <v>1468</v>
      </c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Produção e Intervalo</v>
      </c>
      <c r="BR331" s="19">
        <f>IF(OR(B331="",F331=""),"*",AY331/P331)</f>
        <v>0</v>
      </c>
      <c r="BS331" s="19">
        <f>IF(OR(B331="",F331=""),"*",BA331/Q331)</f>
        <v>0</v>
      </c>
      <c r="BT331" s="8" t="str">
        <f t="shared" si="8"/>
        <v/>
      </c>
    </row>
    <row r="332" spans="1:72" hidden="1">
      <c r="A332" s="47" t="str">
        <f>D332&amp;B332</f>
        <v>V9246092</v>
      </c>
      <c r="B332" s="102">
        <v>46092</v>
      </c>
      <c r="C332" s="135">
        <f>IF(BS_CONTROLE[[#This Row],[DATA]]="","",WEEKNUM(BS_CONTROLE[[#This Row],[DATA]]))</f>
        <v>11</v>
      </c>
      <c r="D332" s="104" t="s">
        <v>772</v>
      </c>
      <c r="E332" s="159">
        <v>174</v>
      </c>
      <c r="F332" s="126" t="s">
        <v>663</v>
      </c>
      <c r="G332" s="142" t="str">
        <f>IF(D332="","*",VLOOKUP(F332,BS_ATIVIDADE[],3,FALSE))</f>
        <v>MECANIZAÇÃO - SOCADORA</v>
      </c>
      <c r="H332" s="106" t="s">
        <v>1057</v>
      </c>
      <c r="I332" s="106" t="s">
        <v>1057</v>
      </c>
      <c r="J332" s="105">
        <v>70</v>
      </c>
      <c r="K332" s="105">
        <v>86.5</v>
      </c>
      <c r="L332" s="105">
        <v>86.9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32" s="106">
        <v>0.375</v>
      </c>
      <c r="P332" s="106">
        <v>8.3333333333333329E-2</v>
      </c>
      <c r="Q332" s="105">
        <v>200</v>
      </c>
      <c r="R332" s="10" t="str">
        <f>IFERROR(_xlfn.XLOOKUP(F332, BS_ATIVIDADE[ATIVIDADE],BS_ATIVIDADE[UNIDADE] ), "*")</f>
        <v>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1058</v>
      </c>
      <c r="W332" s="151" t="s">
        <v>1013</v>
      </c>
      <c r="X332" s="104" t="s">
        <v>386</v>
      </c>
      <c r="Y332" s="129" t="s">
        <v>389</v>
      </c>
      <c r="Z332" s="104"/>
      <c r="AA332" s="105" t="s">
        <v>1408</v>
      </c>
      <c r="AB332" s="103" t="s">
        <v>377</v>
      </c>
      <c r="AC332" s="152" t="s">
        <v>371</v>
      </c>
      <c r="AD332" s="107">
        <v>0.35416666666666669</v>
      </c>
      <c r="AE332" s="105" t="s">
        <v>558</v>
      </c>
      <c r="AF332" s="105" t="s">
        <v>558</v>
      </c>
      <c r="AG332" s="105"/>
      <c r="AH332" s="15"/>
      <c r="AI332" s="126" t="str">
        <f>IF(BS_CONTROLE[[#This Row],[Atividade]]=0, "-", BS_CONTROLE[[#This Row],[Atividade]])</f>
        <v>MECANIZAÇÃO - SOCADORA</v>
      </c>
      <c r="AJ332" s="9" t="str">
        <f>IF(BS_CONTROLE[[#This Row],[Atividade]]=0, "-", BS_CONTROLE[[#This Row],[Atividade]])</f>
        <v>MECANIZAÇÃO - SOCADORA</v>
      </c>
      <c r="AK332" s="31" t="str">
        <f>BS_CONTROLE[[#This Row],[Local - Partida]]</f>
        <v>ZAC-2</v>
      </c>
      <c r="AL332" s="31" t="str">
        <f>BS_CONTROLE[[#This Row],[Local - Encerramento]]</f>
        <v>ZAC-2</v>
      </c>
      <c r="AM332" s="105" t="str">
        <f>IF(BS_CONTROLE[[#This Row],[Entre - Estações]]=0, "-", BS_CONTROLE[[#This Row],[Entre - Estações]])</f>
        <v>ZAC-ZSW</v>
      </c>
      <c r="AN332" s="105" t="str">
        <f>IF(BS_CONTROLE[[#This Row],[SB]]=0, "-", BS_CONTROLE[[#This Row],[SB]])</f>
        <v>ZACZSW</v>
      </c>
      <c r="AO332" s="105">
        <f>IF(BS_CONTROLE[[#This Row],[SUB]]=0, "-", BS_CONTROLE[[#This Row],[SUB]])</f>
        <v>70</v>
      </c>
      <c r="AP332" s="105">
        <f>BS_CONTROLE[[#This Row],[KM - Inicio]]</f>
        <v>86.5</v>
      </c>
      <c r="AQ332" s="105">
        <f>BS_CONTROLE[[#This Row],[KM - Inicio]]</f>
        <v>86.5</v>
      </c>
      <c r="AR332" s="108">
        <v>0.42638888888888887</v>
      </c>
      <c r="AS332" s="108"/>
      <c r="AT332" s="108"/>
      <c r="AU332" s="136"/>
      <c r="AV332" s="136"/>
      <c r="AW332" s="14"/>
      <c r="AX332" s="14"/>
      <c r="AY332" s="164">
        <f>IF(D332="","*",IFERROR(IF(ISODD(COUNT(AS332:AX332)),"ERRO",SUM((AT332-AS332),(AV332-AU332),(AX332-AW332))),"ERRO"))</f>
        <v>0</v>
      </c>
      <c r="AZ332" s="153"/>
      <c r="BA332" s="109"/>
      <c r="BB332" s="10" t="str">
        <f>IFERROR(_xlfn.XLOOKUP(AI332, BS_ATIVIDADE[ATIVIDADE],BS_ATIVIDADE[UNIDADE] ), "*")</f>
        <v>M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/>
      <c r="BG332" s="16"/>
      <c r="BH332" s="17"/>
      <c r="BI332" s="17"/>
      <c r="BJ332" s="17" t="s">
        <v>1469</v>
      </c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Produção e Intervalo</v>
      </c>
      <c r="BR332" s="19">
        <f>IF(OR(B332="",F332=""),"*",AY332/P332)</f>
        <v>0</v>
      </c>
      <c r="BS332" s="19">
        <f>IF(OR(B332="",F332=""),"*",BA332/Q332)</f>
        <v>0</v>
      </c>
      <c r="BT332" s="8" t="str">
        <f t="shared" si="8"/>
        <v/>
      </c>
    </row>
    <row r="333" spans="1:72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1284</v>
      </c>
      <c r="W333" s="151" t="s">
        <v>1054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>
        <v>0.43333333333333335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>
        <v>0</v>
      </c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>
        <v>0</v>
      </c>
      <c r="BI333" s="17"/>
      <c r="BJ333" s="17" t="s">
        <v>1470</v>
      </c>
      <c r="BK333" s="17" t="s">
        <v>1470</v>
      </c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8"/>
        <v/>
      </c>
    </row>
    <row r="334" spans="1:72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1284</v>
      </c>
      <c r="W334" s="151" t="s">
        <v>1092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>
        <v>0.40902777777777777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>
        <v>0</v>
      </c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/>
      <c r="BI334" s="17"/>
      <c r="BJ334" s="17" t="s">
        <v>1471</v>
      </c>
      <c r="BK334" s="17" t="s">
        <v>1471</v>
      </c>
      <c r="BL334" s="16"/>
      <c r="BM334" s="130" t="s">
        <v>412</v>
      </c>
      <c r="BN334" s="130" t="s">
        <v>436</v>
      </c>
      <c r="BO334" s="130" t="s">
        <v>436</v>
      </c>
      <c r="BP334" s="17" t="s">
        <v>1471</v>
      </c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8"/>
        <v>CondiçõesClimáticaChuva</v>
      </c>
    </row>
    <row r="335" spans="1:72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1284</v>
      </c>
      <c r="W335" s="151" t="s">
        <v>1092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>
        <v>0.40902777777777777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>
        <v>0</v>
      </c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>
        <v>0</v>
      </c>
      <c r="BI335" s="17"/>
      <c r="BJ335" s="17" t="s">
        <v>1472</v>
      </c>
      <c r="BK335" s="17" t="s">
        <v>1472</v>
      </c>
      <c r="BL335" s="16"/>
      <c r="BM335" s="130" t="s">
        <v>412</v>
      </c>
      <c r="BN335" s="130" t="s">
        <v>436</v>
      </c>
      <c r="BO335" s="130" t="s">
        <v>436</v>
      </c>
      <c r="BP335" s="17" t="s">
        <v>1472</v>
      </c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8"/>
        <v>CondiçõesClimáticaChuva</v>
      </c>
    </row>
    <row r="336" spans="1:72" ht="128.25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1284</v>
      </c>
      <c r="W336" s="151" t="s">
        <v>1415</v>
      </c>
      <c r="X336" s="104" t="s">
        <v>386</v>
      </c>
      <c r="Y336" s="129" t="s">
        <v>389</v>
      </c>
      <c r="Z336" s="104"/>
      <c r="AA336" s="105" t="s">
        <v>1176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>
        <v>0.43958333333333333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>
        <v>0</v>
      </c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>
        <v>0</v>
      </c>
      <c r="BI336" s="17"/>
      <c r="BJ336" s="17" t="s">
        <v>1473</v>
      </c>
      <c r="BK336" s="17" t="s">
        <v>1473</v>
      </c>
      <c r="BL336" s="16"/>
      <c r="BM336" s="130" t="s">
        <v>405</v>
      </c>
      <c r="BN336" s="130" t="s">
        <v>434</v>
      </c>
      <c r="BO336" s="130" t="s">
        <v>495</v>
      </c>
      <c r="BP336" s="17" t="s">
        <v>1473</v>
      </c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8"/>
        <v>CCOCirculaçãoIntervaloOportunidade</v>
      </c>
    </row>
    <row r="337" spans="1:72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1284</v>
      </c>
      <c r="W337" s="151" t="s">
        <v>1295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>
        <v>0</v>
      </c>
      <c r="AS337" s="108">
        <v>0</v>
      </c>
      <c r="AT337" s="108">
        <v>0</v>
      </c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>
        <v>0</v>
      </c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>
        <v>0</v>
      </c>
      <c r="BI337" s="17"/>
      <c r="BJ337" s="17" t="s">
        <v>1465</v>
      </c>
      <c r="BK337" s="17" t="s">
        <v>1465</v>
      </c>
      <c r="BL337" s="16"/>
      <c r="BM337" s="130" t="s">
        <v>412</v>
      </c>
      <c r="BN337" s="130" t="s">
        <v>436</v>
      </c>
      <c r="BO337" s="130" t="s">
        <v>436</v>
      </c>
      <c r="BP337" s="17" t="s">
        <v>1465</v>
      </c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8"/>
        <v>CondiçõesClimáticaChuva</v>
      </c>
    </row>
    <row r="338" spans="1:72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1284</v>
      </c>
      <c r="W338" s="151" t="s">
        <v>1025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>
        <v>0</v>
      </c>
      <c r="AS338" s="108">
        <v>0</v>
      </c>
      <c r="AT338" s="108">
        <v>0</v>
      </c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>
        <v>0</v>
      </c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>
        <v>0</v>
      </c>
      <c r="BI338" s="17"/>
      <c r="BJ338" s="17" t="s">
        <v>1465</v>
      </c>
      <c r="BK338" s="17" t="s">
        <v>1465</v>
      </c>
      <c r="BL338" s="16"/>
      <c r="BM338" s="130" t="s">
        <v>412</v>
      </c>
      <c r="BN338" s="130" t="s">
        <v>436</v>
      </c>
      <c r="BO338" s="130" t="s">
        <v>436</v>
      </c>
      <c r="BP338" s="17" t="s">
        <v>1465</v>
      </c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8"/>
        <v>CondiçõesClimáticaChuva</v>
      </c>
    </row>
    <row r="339" spans="1:72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1474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1475</v>
      </c>
      <c r="N339" s="127" t="s">
        <v>1476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1017</v>
      </c>
      <c r="W339" s="151" t="s">
        <v>1243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>
        <v>0.31666666666666665</v>
      </c>
      <c r="AS339" s="108">
        <v>0.33750000000000002</v>
      </c>
      <c r="AT339" s="108">
        <v>0.37916666666666665</v>
      </c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4.166666666666663E-2</v>
      </c>
      <c r="AZ339" s="153"/>
      <c r="BA339" s="109"/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>
        <v>1</v>
      </c>
      <c r="BI339" s="17"/>
      <c r="BJ339" s="17" t="s">
        <v>1477</v>
      </c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Produção e Intervalo</v>
      </c>
      <c r="BR339" s="19">
        <f>IF(OR(B339="",F339=""),"*",AY339/P339)</f>
        <v>0.99999999999999911</v>
      </c>
      <c r="BS339" s="19">
        <f>IF(OR(B339="",F339=""),"*",BA339/Q339)</f>
        <v>0</v>
      </c>
      <c r="BT339" s="8" t="str">
        <f t="shared" si="8"/>
        <v/>
      </c>
    </row>
    <row r="340" spans="1:72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1478</v>
      </c>
      <c r="I340" s="106" t="s">
        <v>1478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1479</v>
      </c>
      <c r="W340" s="151" t="s">
        <v>1021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/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>
        <v>0</v>
      </c>
      <c r="BI340" s="17"/>
      <c r="BJ340" s="17" t="s">
        <v>1480</v>
      </c>
      <c r="BK340" s="17" t="s">
        <v>1480</v>
      </c>
      <c r="BL340" s="16"/>
      <c r="BM340" s="130" t="s">
        <v>412</v>
      </c>
      <c r="BN340" s="130" t="s">
        <v>436</v>
      </c>
      <c r="BO340" s="130" t="s">
        <v>436</v>
      </c>
      <c r="BP340" s="17" t="s">
        <v>1480</v>
      </c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8"/>
        <v>CondiçõesClimáticaChuva</v>
      </c>
    </row>
    <row r="341" spans="1:72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1184</v>
      </c>
      <c r="W341" s="151" t="s">
        <v>1025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>
        <v>0.375</v>
      </c>
      <c r="AS341" s="108">
        <v>0.3888888888888889</v>
      </c>
      <c r="AT341" s="108">
        <v>0.72222222222222221</v>
      </c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0.33333333333333331</v>
      </c>
      <c r="AZ341" s="153"/>
      <c r="BA341" s="109"/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>
        <v>1</v>
      </c>
      <c r="BI341" s="17"/>
      <c r="BJ341" s="17" t="s">
        <v>1481</v>
      </c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Produção</v>
      </c>
      <c r="BR341" s="19">
        <f>IF(OR(B341="",F341=""),"*",AY341/P341)</f>
        <v>5.333333333333333</v>
      </c>
      <c r="BS341" s="19">
        <f>IF(OR(B341="",F341=""),"*",BA341/Q341)</f>
        <v>0</v>
      </c>
      <c r="BT341" s="8" t="str">
        <f t="shared" si="8"/>
        <v/>
      </c>
    </row>
    <row r="342" spans="1:72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1184</v>
      </c>
      <c r="W342" s="151" t="s">
        <v>1025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>
        <v>0.375</v>
      </c>
      <c r="AS342" s="108">
        <v>0.3888888888888889</v>
      </c>
      <c r="AT342" s="108">
        <v>0.72222222222222221</v>
      </c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0.33333333333333331</v>
      </c>
      <c r="AZ342" s="153"/>
      <c r="BA342" s="109"/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>
        <v>1</v>
      </c>
      <c r="BI342" s="17"/>
      <c r="BJ342" s="17" t="s">
        <v>1481</v>
      </c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Produção</v>
      </c>
      <c r="BR342" s="19">
        <f>IF(OR(B342="",F342=""),"*",AY342/P342)</f>
        <v>5.333333333333333</v>
      </c>
      <c r="BS342" s="19">
        <f>IF(OR(B342="",F342=""),"*",BA342/Q342)</f>
        <v>0</v>
      </c>
      <c r="BT342" s="8" t="str">
        <f t="shared" si="8"/>
        <v/>
      </c>
    </row>
    <row r="343" spans="1:72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1302</v>
      </c>
      <c r="I343" s="106" t="s">
        <v>1068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1072</v>
      </c>
      <c r="W343" s="151" t="s">
        <v>1013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>
        <v>0.375</v>
      </c>
      <c r="AS343" s="108">
        <v>0.3888888888888889</v>
      </c>
      <c r="AT343" s="108">
        <v>0.72222222222222221</v>
      </c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0.33333333333333331</v>
      </c>
      <c r="AZ343" s="153"/>
      <c r="BA343" s="109"/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>
        <v>1</v>
      </c>
      <c r="BI343" s="17"/>
      <c r="BJ343" s="17" t="s">
        <v>1481</v>
      </c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Produção</v>
      </c>
      <c r="BR343" s="19">
        <f>IF(OR(B343="",F343=""),"*",AY343/P343)</f>
        <v>4</v>
      </c>
      <c r="BS343" s="19">
        <f>IF(OR(B343="",F343=""),"*",BA343/Q343)</f>
        <v>0</v>
      </c>
      <c r="BT343" s="8" t="str">
        <f t="shared" si="8"/>
        <v/>
      </c>
    </row>
    <row r="344" spans="1:72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1302</v>
      </c>
      <c r="I344" s="106" t="s">
        <v>1482</v>
      </c>
      <c r="J344" s="105">
        <v>48</v>
      </c>
      <c r="K344" s="105">
        <v>135</v>
      </c>
      <c r="L344" s="105"/>
      <c r="M344" s="127" t="s">
        <v>1483</v>
      </c>
      <c r="N344" s="127" t="s">
        <v>1484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1485</v>
      </c>
      <c r="W344" s="151" t="s">
        <v>1401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>
        <v>0.40694444444444444</v>
      </c>
      <c r="AS344" s="108">
        <v>0.40763888888888888</v>
      </c>
      <c r="AT344" s="108">
        <v>0.44930555555555557</v>
      </c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4.1666666666666685E-2</v>
      </c>
      <c r="AZ344" s="153"/>
      <c r="BA344" s="109"/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>
        <v>1</v>
      </c>
      <c r="BI344" s="17"/>
      <c r="BJ344" s="17" t="s">
        <v>1431</v>
      </c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Produção</v>
      </c>
      <c r="BR344" s="19">
        <f>IF(OR(B344="",F344=""),"*",AY344/P344)</f>
        <v>1.0000000000000004</v>
      </c>
      <c r="BS344" s="19">
        <f>IF(OR(B344="",F344=""),"*",BA344/Q344)</f>
        <v>0</v>
      </c>
      <c r="BT344" s="8" t="str">
        <f t="shared" si="8"/>
        <v/>
      </c>
    </row>
    <row r="345" spans="1:72" ht="23.25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1068</v>
      </c>
      <c r="I345" s="106" t="s">
        <v>1068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1184</v>
      </c>
      <c r="W345" s="151" t="s">
        <v>1486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tr">
        <f>IF(BS_CONTROLE[[#This Row],[Atividade]]=0, "-", BS_CONTROLE[[#This Row],[Atividade]])</f>
        <v>RECOLHIMENTO DE DORMENTE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tr">
        <f>IF(BS_CONTROLE[[#This Row],[Entre - Estações]]=0, "-", BS_CONTROLE[[#This Row],[Entre - Estações]])</f>
        <v>ZEJ-ZEV</v>
      </c>
      <c r="AN345" s="105">
        <f>IF(BS_CONTROLE[[#This Row],[SB]]=0, "-", BS_CONTROLE[[#This Row],[SB]])</f>
        <v>1561552</v>
      </c>
      <c r="AO345" s="105">
        <f>IF(BS_CONTROLE[[#This Row],[SUB]]=0, "-", BS_CONTROLE[[#This Row],[SUB]])</f>
        <v>55</v>
      </c>
      <c r="AP345" s="105">
        <f>BS_CONTROLE[[#This Row],[KM - Inicio]]</f>
        <v>156</v>
      </c>
      <c r="AQ345" s="105">
        <f>BS_CONTROLE[[#This Row],[KM - Inicio]]</f>
        <v>156</v>
      </c>
      <c r="AR345" s="108">
        <v>0.375</v>
      </c>
      <c r="AS345" s="108">
        <v>0.3888888888888889</v>
      </c>
      <c r="AT345" s="108">
        <v>0.72222222222222221</v>
      </c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0.33333333333333331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>
        <v>1</v>
      </c>
      <c r="BI345" s="17"/>
      <c r="BJ345" s="17" t="s">
        <v>1487</v>
      </c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Produção</v>
      </c>
      <c r="BR345" s="19">
        <f>IF(OR(B345="",F345=""),"*",AY345/P345)</f>
        <v>6</v>
      </c>
      <c r="BS345" s="19">
        <f>IF(OR(B345="",F345=""),"*",BA345/Q345)</f>
        <v>0</v>
      </c>
      <c r="BT345" s="8" t="str">
        <f t="shared" si="8"/>
        <v/>
      </c>
    </row>
    <row r="346" spans="1:72" hidden="1">
      <c r="A346" s="47" t="str">
        <f>D346&amp;B346</f>
        <v>SUPER ZEM46092</v>
      </c>
      <c r="B346" s="102">
        <v>46092</v>
      </c>
      <c r="C346" s="135">
        <f>IF(BS_CONTROLE[[#This Row],[DATA]]="","",WEEKNUM(BS_CONTROLE[[#This Row],[DATA]]))</f>
        <v>11</v>
      </c>
      <c r="D346" s="104" t="s">
        <v>612</v>
      </c>
      <c r="E346" s="159"/>
      <c r="F346" s="126" t="s">
        <v>548</v>
      </c>
      <c r="G346" s="142" t="str">
        <f>IF(D346="","*",VLOOKUP(F346,BS_ATIVIDADE[],3,FALSE))</f>
        <v>OUTROS</v>
      </c>
      <c r="H346" s="106" t="s">
        <v>558</v>
      </c>
      <c r="I346" s="106" t="s">
        <v>558</v>
      </c>
      <c r="J346" s="105">
        <v>55</v>
      </c>
      <c r="K346" s="105">
        <v>127.676</v>
      </c>
      <c r="L346" s="105">
        <v>137.33199999999999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6" s="106">
        <v>0.41666666666666669</v>
      </c>
      <c r="P346" s="106">
        <v>0.33333333333333331</v>
      </c>
      <c r="Q346" s="105">
        <v>1</v>
      </c>
      <c r="R346" s="10" t="str">
        <f>IFERROR(_xlfn.XLOOKUP(F346, BS_ATIVIDADE[ATIVIDADE],BS_ATIVIDADE[UNIDADE] ), "*")</f>
        <v>BINÁRIO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1184</v>
      </c>
      <c r="W346" s="151" t="s">
        <v>1299</v>
      </c>
      <c r="X346" s="104" t="s">
        <v>386</v>
      </c>
      <c r="Y346" s="129" t="s">
        <v>380</v>
      </c>
      <c r="Z346" s="104"/>
      <c r="AA346" s="105" t="s">
        <v>558</v>
      </c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BLOCO</v>
      </c>
      <c r="AJ346" s="9" t="str">
        <f>IF(BS_CONTROLE[[#This Row],[Atividade]]=0, "-", BS_CONTROLE[[#This Row],[Atividade]])</f>
        <v>BLOCO</v>
      </c>
      <c r="AK346" s="31" t="str">
        <f>BS_CONTROLE[[#This Row],[Local - Partida]]</f>
        <v>-</v>
      </c>
      <c r="AL346" s="31" t="str">
        <f>BS_CONTROLE[[#This Row],[Local - Encerramento]]</f>
        <v>-</v>
      </c>
      <c r="AM346" s="105" t="str">
        <f>IF(BS_CONTROLE[[#This Row],[Entre - Estações]]=0, "-", BS_CONTROLE[[#This Row],[Entre - Estações]])</f>
        <v>ZYQ-ZEM</v>
      </c>
      <c r="AN346" s="105" t="str">
        <f>IF(BS_CONTROLE[[#This Row],[SB]]=0, "-", BS_CONTROLE[[#This Row],[SB]])</f>
        <v>130ZYQ2</v>
      </c>
      <c r="AO346" s="105">
        <f>IF(BS_CONTROLE[[#This Row],[SUB]]=0, "-", BS_CONTROLE[[#This Row],[SUB]])</f>
        <v>55</v>
      </c>
      <c r="AP346" s="105">
        <f>BS_CONTROLE[[#This Row],[KM - Inicio]]</f>
        <v>127.676</v>
      </c>
      <c r="AQ346" s="105">
        <f>BS_CONTROLE[[#This Row],[KM - Inicio]]</f>
        <v>127.676</v>
      </c>
      <c r="AR346" s="108">
        <v>0.375</v>
      </c>
      <c r="AS346" s="108">
        <v>0.3888888888888889</v>
      </c>
      <c r="AT346" s="108">
        <v>0.72222222222222221</v>
      </c>
      <c r="AU346" s="136"/>
      <c r="AV346" s="136"/>
      <c r="AW346" s="14"/>
      <c r="AX346" s="14"/>
      <c r="AY346" s="164">
        <f>IF(D346="","*",IFERROR(IF(ISODD(COUNT(AS346:AX346)),"ERRO",SUM((AT346-AS346),(AV346-AU346),(AX346-AW346))),"ERRO"))</f>
        <v>0.33333333333333331</v>
      </c>
      <c r="AZ346" s="153"/>
      <c r="BA346" s="109"/>
      <c r="BB346" s="10" t="str">
        <f>IFERROR(_xlfn.XLOOKUP(AI346, BS_ATIVIDADE[ATIVIDADE],BS_ATIVIDADE[UNIDADE] ), "*")</f>
        <v>BINÁRIO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1</v>
      </c>
      <c r="BI346" s="17"/>
      <c r="BJ346" s="17" t="s">
        <v>1488</v>
      </c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Produção</v>
      </c>
      <c r="BR346" s="19">
        <f>IF(OR(B346="",F346=""),"*",AY346/P346)</f>
        <v>1</v>
      </c>
      <c r="BS346" s="19">
        <f>IF(OR(B346="",F346=""),"*",BA346/Q346)</f>
        <v>0</v>
      </c>
      <c r="BT346" s="8" t="str">
        <f t="shared" si="8"/>
        <v/>
      </c>
    </row>
    <row r="347" spans="1:72">
      <c r="A347" s="47" t="str">
        <f>D347&amp;B347</f>
        <v>EDSON (TP-719)46092</v>
      </c>
      <c r="B347" s="102">
        <v>46092</v>
      </c>
      <c r="C347" s="135"/>
      <c r="D347" s="104" t="s">
        <v>840</v>
      </c>
      <c r="E347" s="159">
        <v>188</v>
      </c>
      <c r="F347" s="126" t="s">
        <v>721</v>
      </c>
      <c r="G347" s="142" t="str">
        <f>IF(D347="","*",VLOOKUP(F347,BS_ATIVIDADE[],3,FALSE))</f>
        <v>DORMENTE - DESCARGA</v>
      </c>
      <c r="H347" s="106"/>
      <c r="I347" s="106"/>
      <c r="J347" s="105">
        <v>55</v>
      </c>
      <c r="K347" s="105">
        <v>129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7" s="106">
        <v>0.41666666666666669</v>
      </c>
      <c r="P347" s="106">
        <v>0</v>
      </c>
      <c r="Q347" s="105">
        <v>70</v>
      </c>
      <c r="R347" s="10" t="str">
        <f>IFERROR(_xlfn.XLOOKUP(F347, BS_ATIVIDADE[ATIVIDADE],BS_ATIVIDADE[UNIDADE] ), "*")</f>
        <v>Nº DE DORMENTES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1184</v>
      </c>
      <c r="W347" s="151" t="s">
        <v>1054</v>
      </c>
      <c r="X347" s="104" t="s">
        <v>386</v>
      </c>
      <c r="Y347" s="129" t="s">
        <v>389</v>
      </c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DESCARGA - DORMENTE</v>
      </c>
      <c r="AJ347" s="9" t="str">
        <f>IF(BS_CONTROLE[[#This Row],[Atividade]]=0, "-", BS_CONTROLE[[#This Row],[Atividade]])</f>
        <v>PDM - DESCARGA - DORMENTE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ZYQ-ZEM</v>
      </c>
      <c r="AN347" s="105" t="str">
        <f>IF(BS_CONTROLE[[#This Row],[SB]]=0, "-", BS_CONTROLE[[#This Row],[SB]])</f>
        <v>130ZYQ2</v>
      </c>
      <c r="AO347" s="105">
        <f>IF(BS_CONTROLE[[#This Row],[SUB]]=0, "-", BS_CONTROLE[[#This Row],[SUB]])</f>
        <v>55</v>
      </c>
      <c r="AP347" s="105">
        <f>BS_CONTROLE[[#This Row],[KM - Inicio]]</f>
        <v>129</v>
      </c>
      <c r="AQ347" s="105">
        <f>BS_CONTROLE[[#This Row],[KM - Inicio]]</f>
        <v>129</v>
      </c>
      <c r="AR347" s="108">
        <v>0.375</v>
      </c>
      <c r="AS347" s="108">
        <v>0.3888888888888889</v>
      </c>
      <c r="AT347" s="108">
        <v>0.72222222222222221</v>
      </c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0.33333333333333331</v>
      </c>
      <c r="AZ347" s="153"/>
      <c r="BA347" s="109"/>
      <c r="BB347" s="10" t="str">
        <f>IFERROR(_xlfn.XLOOKUP(AI347, BS_ATIVIDADE[ATIVIDADE],BS_ATIVIDADE[UNIDADE] ), "*")</f>
        <v>Nº DE DORMENTES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1</v>
      </c>
      <c r="BI347" s="17"/>
      <c r="BJ347" s="17" t="s">
        <v>1481</v>
      </c>
      <c r="BK347" s="18"/>
      <c r="BL347" s="16"/>
      <c r="BM347" s="130"/>
      <c r="BN347" s="130"/>
      <c r="BO347" s="130"/>
      <c r="BP347" s="18"/>
      <c r="BQ347" s="12" t="e">
        <f>IF(AND(BR347&lt;1,BS347&lt;1),"Produção e Intervalo",IF(BR347&lt;1,"Intervalo",IF(BS347&lt;1,"Produção","Aderente")))</f>
        <v>#DIV/0!</v>
      </c>
      <c r="BR347" s="19" t="e">
        <f>IF(OR(B347="",F347=""),"*",AY347/P347)</f>
        <v>#DIV/0!</v>
      </c>
      <c r="BS347" s="19">
        <f>IF(OR(B347="",F347=""),"*",BA347/Q347)</f>
        <v>0</v>
      </c>
      <c r="BT347" s="8" t="str">
        <f t="shared" si="8"/>
        <v/>
      </c>
    </row>
    <row r="348" spans="1:72">
      <c r="A348" s="47" t="str">
        <f>D348&amp;B348</f>
        <v>EDSON (TP-719)46092</v>
      </c>
      <c r="B348" s="102">
        <v>46092</v>
      </c>
      <c r="C348" s="135">
        <f>IF(BS_CONTROLE[[#This Row],[DATA]]="","",WEEKNUM(BS_CONTROLE[[#This Row],[DATA]]))</f>
        <v>11</v>
      </c>
      <c r="D348" s="104" t="s">
        <v>840</v>
      </c>
      <c r="E348" s="159">
        <v>189</v>
      </c>
      <c r="F348" s="126" t="s">
        <v>721</v>
      </c>
      <c r="G348" s="142" t="str">
        <f>IF(D348="","*",VLOOKUP(F348,BS_ATIVIDADE[],3,FALSE))</f>
        <v>DORMENTE - DESCARGA</v>
      </c>
      <c r="H348" s="106"/>
      <c r="I348" s="106"/>
      <c r="J348" s="105">
        <v>55</v>
      </c>
      <c r="K348" s="105">
        <v>129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8" s="106">
        <v>0.41666666666666669</v>
      </c>
      <c r="P348" s="106">
        <v>0</v>
      </c>
      <c r="Q348" s="105">
        <v>70</v>
      </c>
      <c r="R348" s="10" t="str">
        <f>IFERROR(_xlfn.XLOOKUP(F348, BS_ATIVIDADE[ATIVIDADE],BS_ATIVIDADE[UNIDADE] ), "*")</f>
        <v>Nº DE DORMENTES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8" s="105" t="s">
        <v>1184</v>
      </c>
      <c r="W348" s="151" t="s">
        <v>1054</v>
      </c>
      <c r="X348" s="104" t="s">
        <v>386</v>
      </c>
      <c r="Y348" s="129" t="s">
        <v>389</v>
      </c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PDM - DESCARGA - DORMENTE</v>
      </c>
      <c r="AJ348" s="9" t="str">
        <f>IF(BS_CONTROLE[[#This Row],[Atividade]]=0, "-", BS_CONTROLE[[#This Row],[Atividade]])</f>
        <v>PDM - DESCARGA - DORMENTE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ZYQ-ZEM</v>
      </c>
      <c r="AN348" s="105" t="str">
        <f>IF(BS_CONTROLE[[#This Row],[SB]]=0, "-", BS_CONTROLE[[#This Row],[SB]])</f>
        <v>130ZYQ2</v>
      </c>
      <c r="AO348" s="105">
        <f>IF(BS_CONTROLE[[#This Row],[SUB]]=0, "-", BS_CONTROLE[[#This Row],[SUB]])</f>
        <v>55</v>
      </c>
      <c r="AP348" s="105">
        <f>BS_CONTROLE[[#This Row],[KM - Inicio]]</f>
        <v>129</v>
      </c>
      <c r="AQ348" s="105">
        <f>BS_CONTROLE[[#This Row],[KM - Inicio]]</f>
        <v>129</v>
      </c>
      <c r="AR348" s="108">
        <v>0.375</v>
      </c>
      <c r="AS348" s="108">
        <v>0.3888888888888889</v>
      </c>
      <c r="AT348" s="108">
        <v>0.72222222222222221</v>
      </c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0.33333333333333331</v>
      </c>
      <c r="AZ348" s="153"/>
      <c r="BA348" s="109"/>
      <c r="BB348" s="10" t="str">
        <f>IFERROR(_xlfn.XLOOKUP(AI348, BS_ATIVIDADE[ATIVIDADE],BS_ATIVIDADE[UNIDADE] ), "*")</f>
        <v>Nº DE DORMENTES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8" s="150"/>
      <c r="BG348" s="16"/>
      <c r="BH348" s="17">
        <v>1</v>
      </c>
      <c r="BI348" s="17"/>
      <c r="BJ348" s="17" t="s">
        <v>1481</v>
      </c>
      <c r="BK348" s="18"/>
      <c r="BL348" s="16"/>
      <c r="BM348" s="130"/>
      <c r="BN348" s="130"/>
      <c r="BO348" s="130"/>
      <c r="BP348" s="18"/>
      <c r="BQ348" s="12" t="e">
        <f>IF(AND(BR348&lt;1,BS348&lt;1),"Produção e Intervalo",IF(BR348&lt;1,"Intervalo",IF(BS348&lt;1,"Produção","Aderente")))</f>
        <v>#DIV/0!</v>
      </c>
      <c r="BR348" s="19" t="e">
        <f>IF(OR(B348="",F348=""),"*",AY348/P348)</f>
        <v>#DIV/0!</v>
      </c>
      <c r="BS348" s="19">
        <f>IF(OR(B348="",F348=""),"*",BA348/Q348)</f>
        <v>0</v>
      </c>
      <c r="BT348" s="8" t="str">
        <f t="shared" si="8"/>
        <v/>
      </c>
    </row>
    <row r="349" spans="1:72">
      <c r="A349" s="47" t="str">
        <f>D349&amp;B349</f>
        <v>CAIQUE (TP-869)46092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825</v>
      </c>
      <c r="E349" s="159">
        <v>341</v>
      </c>
      <c r="F349" s="126" t="s">
        <v>691</v>
      </c>
      <c r="G349" s="142" t="str">
        <f>IF(D349="","*",VLOOKUP(F349,BS_ATIVIDADE[],3,FALSE))</f>
        <v>MODERNIZAÇÃO</v>
      </c>
      <c r="H349" s="106" t="s">
        <v>558</v>
      </c>
      <c r="I349" s="106" t="s">
        <v>558</v>
      </c>
      <c r="J349" s="105">
        <v>48</v>
      </c>
      <c r="K349" s="105">
        <v>155.61000000000001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1074</v>
      </c>
      <c r="W349" s="151" t="s">
        <v>1025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 t="str">
        <f>BS_CONTROLE[[#This Row],[Local - Partida]]</f>
        <v>-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1561551</v>
      </c>
      <c r="AO349" s="105">
        <f>IF(BS_CONTROLE[[#This Row],[SUB]]=0, "-", BS_CONTROLE[[#This Row],[SUB]])</f>
        <v>48</v>
      </c>
      <c r="AP349" s="105">
        <f>BS_CONTROLE[[#This Row],[KM - Inicio]]</f>
        <v>155.61000000000001</v>
      </c>
      <c r="AQ349" s="105">
        <f>BS_CONTROLE[[#This Row],[KM - Inicio]]</f>
        <v>155.61000000000001</v>
      </c>
      <c r="AR349" s="108">
        <v>0</v>
      </c>
      <c r="AS349" s="108">
        <v>0</v>
      </c>
      <c r="AT349" s="108">
        <v>0</v>
      </c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/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>
        <v>0</v>
      </c>
      <c r="BI349" s="17"/>
      <c r="BJ349" s="17" t="s">
        <v>1465</v>
      </c>
      <c r="BK349" s="17" t="s">
        <v>1465</v>
      </c>
      <c r="BL349" s="16"/>
      <c r="BM349" s="130" t="s">
        <v>412</v>
      </c>
      <c r="BN349" s="130" t="s">
        <v>436</v>
      </c>
      <c r="BO349" s="130" t="s">
        <v>436</v>
      </c>
      <c r="BP349" s="17" t="s">
        <v>1465</v>
      </c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8"/>
        <v>CondiçõesClimáticaChuva</v>
      </c>
    </row>
    <row r="350" spans="1:72" hidden="1">
      <c r="A350" s="47" t="str">
        <f>D350&amp;B350</f>
        <v>WALTER (TP-810)46092</v>
      </c>
      <c r="B350" s="102">
        <v>46092</v>
      </c>
      <c r="C350" s="135">
        <f>IF(BS_CONTROLE[[#This Row],[DATA]]="","",WEEKNUM(BS_CONTROLE[[#This Row],[DATA]]))</f>
        <v>11</v>
      </c>
      <c r="D350" s="104" t="s">
        <v>910</v>
      </c>
      <c r="E350" s="159">
        <v>342</v>
      </c>
      <c r="F350" s="126" t="s">
        <v>691</v>
      </c>
      <c r="G350" s="142" t="str">
        <f>IF(D350="","*",VLOOKUP(F350,BS_ATIVIDADE[],3,FALSE))</f>
        <v>MODERNIZAÇÃO</v>
      </c>
      <c r="H350" s="106" t="s">
        <v>558</v>
      </c>
      <c r="I350" s="106" t="s">
        <v>558</v>
      </c>
      <c r="J350" s="105">
        <v>48</v>
      </c>
      <c r="K350" s="105">
        <v>155.691</v>
      </c>
      <c r="L350" s="105" t="s">
        <v>558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0" s="127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0" s="105" t="s">
        <v>1074</v>
      </c>
      <c r="W350" s="151" t="s">
        <v>1025</v>
      </c>
      <c r="X350" s="104" t="s">
        <v>386</v>
      </c>
      <c r="Y350" s="129" t="s">
        <v>389</v>
      </c>
      <c r="Z350" s="104"/>
      <c r="AA350" s="105" t="s">
        <v>558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MODERNIZAÇÃO - SOLDA</v>
      </c>
      <c r="AJ350" s="9" t="str">
        <f>IF(BS_CONTROLE[[#This Row],[Atividade]]=0, "-", BS_CONTROLE[[#This Row],[Atividade]])</f>
        <v>MODERNIZAÇÃO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ZEJ-ZEV</v>
      </c>
      <c r="AN350" s="105">
        <f>IF(BS_CONTROLE[[#This Row],[SB]]=0, "-", BS_CONTROLE[[#This Row],[SB]])</f>
        <v>1561551</v>
      </c>
      <c r="AO350" s="105">
        <f>IF(BS_CONTROLE[[#This Row],[SUB]]=0, "-", BS_CONTROLE[[#This Row],[SUB]])</f>
        <v>48</v>
      </c>
      <c r="AP350" s="105">
        <f>BS_CONTROLE[[#This Row],[KM - Inicio]]</f>
        <v>155.691</v>
      </c>
      <c r="AQ350" s="105">
        <f>BS_CONTROLE[[#This Row],[KM - Inicio]]</f>
        <v>155.691</v>
      </c>
      <c r="AR350" s="108">
        <v>0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>IF(D350="","*",IFERROR(IF(ISODD(COUNT(AS350:AX350)),"ERRO",SUM((AT350-AS350),(AV350-AU350),(AX350-AW350))),"ERRO"))</f>
        <v>0</v>
      </c>
      <c r="AZ350" s="153"/>
      <c r="BA350" s="109"/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0" s="150"/>
      <c r="BG350" s="16"/>
      <c r="BH350" s="17">
        <v>0</v>
      </c>
      <c r="BI350" s="17"/>
      <c r="BJ350" s="17" t="s">
        <v>1465</v>
      </c>
      <c r="BK350" s="17" t="s">
        <v>1465</v>
      </c>
      <c r="BL350" s="16"/>
      <c r="BM350" s="130" t="s">
        <v>412</v>
      </c>
      <c r="BN350" s="130" t="s">
        <v>436</v>
      </c>
      <c r="BO350" s="130" t="s">
        <v>436</v>
      </c>
      <c r="BP350" s="17" t="s">
        <v>1465</v>
      </c>
      <c r="BQ350" s="12" t="str">
        <f>IF(AND(BR350&lt;1,BS350&lt;1),"Produção e Intervalo",IF(BR350&lt;1,"Intervalo",IF(BS350&lt;1,"Produção","Aderente")))</f>
        <v>Produção e Intervalo</v>
      </c>
      <c r="BR350" s="19">
        <f>IF(OR(B350="",F350=""),"*",AY350/P350)</f>
        <v>0</v>
      </c>
      <c r="BS350" s="19">
        <f>IF(OR(B350="",F350=""),"*",BA350/Q350)</f>
        <v>0</v>
      </c>
      <c r="BT350" s="8" t="str">
        <f t="shared" si="8"/>
        <v>CondiçõesClimáticaChuva</v>
      </c>
    </row>
    <row r="351" spans="1:72">
      <c r="A351" s="47" t="str">
        <f>D351&amp;B351</f>
        <v>MATEUS (TP-809)46092</v>
      </c>
      <c r="B351" s="102">
        <v>46092</v>
      </c>
      <c r="C351" s="135">
        <f>IF(BS_CONTROLE[[#This Row],[DATA]]="","",WEEKNUM(BS_CONTROLE[[#This Row],[DATA]]))</f>
        <v>11</v>
      </c>
      <c r="D351" s="104" t="s">
        <v>884</v>
      </c>
      <c r="E351" s="159">
        <v>343</v>
      </c>
      <c r="F351" s="126" t="s">
        <v>691</v>
      </c>
      <c r="G351" s="142" t="str">
        <f>IF(D351="","*",VLOOKUP(F351,BS_ATIVIDADE[],3,FALSE))</f>
        <v>MODERNIZAÇÃO</v>
      </c>
      <c r="H351" s="106"/>
      <c r="I351" s="106"/>
      <c r="J351" s="105">
        <v>48</v>
      </c>
      <c r="K351" s="105">
        <v>156.33199999999999</v>
      </c>
      <c r="L351" s="105" t="s">
        <v>558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1" s="127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51" s="106">
        <v>0.35416666666666669</v>
      </c>
      <c r="P351" s="106">
        <v>6.25E-2</v>
      </c>
      <c r="Q351" s="105">
        <v>1</v>
      </c>
      <c r="R351" s="10" t="str">
        <f>IFERROR(_xlfn.XLOOKUP(F351, BS_ATIVIDADE[ATIVIDADE],BS_ATIVIDADE[UNIDADE] ), "*")</f>
        <v>Nº DE SOLDA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1" s="105" t="s">
        <v>1074</v>
      </c>
      <c r="W351" s="151" t="s">
        <v>1025</v>
      </c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MODERNIZAÇÃO - SOLDA</v>
      </c>
      <c r="AJ351" s="9" t="str">
        <f>IF(BS_CONTROLE[[#This Row],[Atividade]]=0, "-", BS_CONTROLE[[#This Row],[Atividade]])</f>
        <v>MODERNIZAÇÃO - SOLDA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ZEJ-ZEV</v>
      </c>
      <c r="AN351" s="105">
        <f>IF(BS_CONTROLE[[#This Row],[SB]]=0, "-", BS_CONTROLE[[#This Row],[SB]])</f>
        <v>1571561</v>
      </c>
      <c r="AO351" s="105">
        <f>IF(BS_CONTROLE[[#This Row],[SUB]]=0, "-", BS_CONTROLE[[#This Row],[SUB]])</f>
        <v>48</v>
      </c>
      <c r="AP351" s="105">
        <f>BS_CONTROLE[[#This Row],[KM - Inicio]]</f>
        <v>156.33199999999999</v>
      </c>
      <c r="AQ351" s="105">
        <f>BS_CONTROLE[[#This Row],[KM - Inicio]]</f>
        <v>156.33199999999999</v>
      </c>
      <c r="AR351" s="108">
        <v>0</v>
      </c>
      <c r="AS351" s="108">
        <v>0</v>
      </c>
      <c r="AT351" s="108">
        <v>0</v>
      </c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/>
      <c r="BB351" s="10" t="str">
        <f>IFERROR(_xlfn.XLOOKUP(AI351, BS_ATIVIDADE[ATIVIDADE],BS_ATIVIDADE[UNIDADE] ), "*")</f>
        <v>Nº DE SOLDA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1" s="150"/>
      <c r="BG351" s="16"/>
      <c r="BH351" s="17">
        <v>0</v>
      </c>
      <c r="BI351" s="17"/>
      <c r="BJ351" s="17" t="s">
        <v>1465</v>
      </c>
      <c r="BK351" s="17" t="s">
        <v>1465</v>
      </c>
      <c r="BL351" s="16"/>
      <c r="BM351" s="130" t="s">
        <v>412</v>
      </c>
      <c r="BN351" s="130" t="s">
        <v>436</v>
      </c>
      <c r="BO351" s="130" t="s">
        <v>436</v>
      </c>
      <c r="BP351" s="17" t="s">
        <v>1465</v>
      </c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8"/>
        <v>CondiçõesClimáticaChuva</v>
      </c>
    </row>
    <row r="352" spans="1:72">
      <c r="A352" s="47" t="str">
        <f>D352&amp;B352</f>
        <v>A8446092</v>
      </c>
      <c r="B352" s="102">
        <v>46092</v>
      </c>
      <c r="C352" s="135">
        <f>IF(BS_CONTROLE[[#This Row],[DATA]]="","",WEEKNUM(BS_CONTROLE[[#This Row],[DATA]]))</f>
        <v>11</v>
      </c>
      <c r="D352" s="104" t="s">
        <v>688</v>
      </c>
      <c r="E352" s="159">
        <v>345</v>
      </c>
      <c r="F352" s="126" t="s">
        <v>579</v>
      </c>
      <c r="G352" s="142" t="str">
        <f>IF(D352="","*",VLOOKUP(F352,BS_ATIVIDADE[],3,FALSE))</f>
        <v>DETECÇÃO</v>
      </c>
      <c r="H352" s="106" t="s">
        <v>1015</v>
      </c>
      <c r="I352" s="106" t="s">
        <v>1489</v>
      </c>
      <c r="J352" s="105">
        <v>92</v>
      </c>
      <c r="K352" s="105">
        <v>65.3</v>
      </c>
      <c r="L352" s="105" t="s">
        <v>558</v>
      </c>
      <c r="M352" s="127" t="s">
        <v>1490</v>
      </c>
      <c r="N352" s="127" t="s">
        <v>1491</v>
      </c>
      <c r="O352" s="106">
        <v>0.3125</v>
      </c>
      <c r="P352" s="106">
        <v>4.1666666666666664E-2</v>
      </c>
      <c r="Q352" s="105">
        <v>60</v>
      </c>
      <c r="R352" s="10" t="str">
        <f>IFERROR(_xlfn.XLOOKUP(F352, BS_ATIVIDADE[ATIVIDADE],BS_ATIVIDADE[UNIDADE] ), "*")</f>
        <v>KM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1017</v>
      </c>
      <c r="W352" s="151" t="s">
        <v>1243</v>
      </c>
      <c r="X352" s="104" t="s">
        <v>386</v>
      </c>
      <c r="Y352" s="129" t="s">
        <v>389</v>
      </c>
      <c r="Z352" s="104"/>
      <c r="AA352" s="105">
        <v>1</v>
      </c>
      <c r="AB352" s="103" t="s">
        <v>377</v>
      </c>
      <c r="AC352" s="152" t="s">
        <v>371</v>
      </c>
      <c r="AD352" s="107">
        <v>0.29166666666666669</v>
      </c>
      <c r="AE352" s="105" t="s">
        <v>558</v>
      </c>
      <c r="AF352" s="105"/>
      <c r="AG352" s="105"/>
      <c r="AH352" s="15"/>
      <c r="AI352" s="126" t="str">
        <f>IF(BS_CONTROLE[[#This Row],[Atividade]]=0, "-", BS_CONTROLE[[#This Row],[Atividade]])</f>
        <v>DETECÇÃO - RONDA 7 DIAS</v>
      </c>
      <c r="AJ352" s="9" t="str">
        <f>IF(BS_CONTROLE[[#This Row],[Atividade]]=0, "-", BS_CONTROLE[[#This Row],[Atividade]])</f>
        <v>DETECÇÃO - RONDA 7 DIAS</v>
      </c>
      <c r="AK352" s="31" t="str">
        <f>BS_CONTROLE[[#This Row],[Local - Partida]]</f>
        <v>ZEV-2</v>
      </c>
      <c r="AL352" s="31" t="str">
        <f>BS_CONTROLE[[#This Row],[Local - Encerramento]]</f>
        <v>ZPG2</v>
      </c>
      <c r="AM352" s="105" t="str">
        <f>IF(BS_CONTROLE[[#This Row],[Entre - Estações]]=0, "-", BS_CONTROLE[[#This Row],[Entre - Estações]])</f>
        <v>ZEV-ZPG</v>
      </c>
      <c r="AN352" s="105" t="str">
        <f>IF(BS_CONTROLE[[#This Row],[SB]]=0, "-", BS_CONTROLE[[#This Row],[SB]])</f>
        <v>ZEVZPG</v>
      </c>
      <c r="AO352" s="105">
        <f>IF(BS_CONTROLE[[#This Row],[SUB]]=0, "-", BS_CONTROLE[[#This Row],[SUB]])</f>
        <v>92</v>
      </c>
      <c r="AP352" s="105">
        <f>BS_CONTROLE[[#This Row],[KM - Inicio]]</f>
        <v>65.3</v>
      </c>
      <c r="AQ352" s="105">
        <f>BS_CONTROLE[[#This Row],[KM - Inicio]]</f>
        <v>65.3</v>
      </c>
      <c r="AR352" s="108">
        <v>0.31805555555555554</v>
      </c>
      <c r="AS352" s="108">
        <v>0.33541666666666664</v>
      </c>
      <c r="AT352" s="108">
        <v>0.37708333333333333</v>
      </c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4.1666666666666685E-2</v>
      </c>
      <c r="AZ352" s="153"/>
      <c r="BA352" s="109"/>
      <c r="BB352" s="10" t="str">
        <f>IFERROR(_xlfn.XLOOKUP(AI352, BS_ATIVIDADE[ATIVIDADE],BS_ATIVIDADE[UNIDADE] ), "*")</f>
        <v>KM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>
        <v>1</v>
      </c>
      <c r="BI352" s="17"/>
      <c r="BJ352" s="17" t="s">
        <v>1492</v>
      </c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Produção</v>
      </c>
      <c r="BR352" s="19">
        <f>IF(OR(B352="",F352=""),"*",AY352/P352)</f>
        <v>1.0000000000000004</v>
      </c>
      <c r="BS352" s="19">
        <f>IF(OR(B352="",F352=""),"*",BA352/Q352)</f>
        <v>0</v>
      </c>
      <c r="BT352" s="8" t="str">
        <f t="shared" si="8"/>
        <v/>
      </c>
    </row>
    <row r="353" spans="1:72">
      <c r="A353" s="47" t="str">
        <f>D353&amp;B353</f>
        <v>JACIANO (TF-674)46092</v>
      </c>
      <c r="B353" s="102">
        <v>46092</v>
      </c>
      <c r="C353" s="135">
        <f>IF(BS_CONTROLE[[#This Row],[DATA]]="","",WEEKNUM(BS_CONTROLE[[#This Row],[DATA]]))</f>
        <v>11</v>
      </c>
      <c r="D353" s="104" t="s">
        <v>858</v>
      </c>
      <c r="E353" s="159">
        <v>346</v>
      </c>
      <c r="F353" s="126" t="s">
        <v>744</v>
      </c>
      <c r="G353" s="142" t="str">
        <f>IF(D353="","*",VLOOKUP(F353,BS_ATIVIDADE[],3,FALSE))</f>
        <v>DORMENTE - SUBSTITUIÇÂO</v>
      </c>
      <c r="H353" s="106" t="s">
        <v>558</v>
      </c>
      <c r="I353" s="106" t="s">
        <v>558</v>
      </c>
      <c r="J353" s="105">
        <v>92</v>
      </c>
      <c r="K353" s="105">
        <v>72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3" s="106">
        <v>0.41666666666666669</v>
      </c>
      <c r="P353" s="106">
        <v>8.3333333333333329E-2</v>
      </c>
      <c r="Q353" s="105">
        <v>30</v>
      </c>
      <c r="R353" s="10" t="str">
        <f>IFERROR(_xlfn.XLOOKUP(F353, BS_ATIVIDADE[ATIVIDADE],BS_ATIVIDADE[UNIDADE] ), "*")</f>
        <v>Nº DE DORMENTES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1029</v>
      </c>
      <c r="W353" s="151" t="s">
        <v>1054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PDM - SUBSTITUIÇÃO - DORMENTE</v>
      </c>
      <c r="AJ353" s="9" t="str">
        <f>IF(BS_CONTROLE[[#This Row],[Atividade]]=0, "-", BS_CONTROLE[[#This Row],[Atividade]])</f>
        <v>PDM - SUBSTITUIÇÃO - DORMENTE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ZEZ-069</v>
      </c>
      <c r="AN353" s="105" t="s">
        <v>1493</v>
      </c>
      <c r="AO353" s="105">
        <v>54</v>
      </c>
      <c r="AP353" s="105">
        <f>BS_CONTROLE[[#This Row],[KM - Inicio]]</f>
        <v>72</v>
      </c>
      <c r="AQ353" s="105">
        <f>BS_CONTROLE[[#This Row],[KM - Inicio]]</f>
        <v>72</v>
      </c>
      <c r="AR353" s="108">
        <v>0.39374999999999999</v>
      </c>
      <c r="AS353" s="108"/>
      <c r="AT353" s="108"/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/>
      <c r="BB353" s="10" t="str">
        <f>IFERROR(_xlfn.XLOOKUP(AI353, BS_ATIVIDADE[ATIVIDADE],BS_ATIVIDADE[UNIDADE] ), "*")</f>
        <v>Nº DE DORMENTES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53" s="150"/>
      <c r="BG353" s="16"/>
      <c r="BH353" s="17"/>
      <c r="BI353" s="17"/>
      <c r="BJ353" s="17" t="s">
        <v>1494</v>
      </c>
      <c r="BK353" s="110" t="s">
        <v>1465</v>
      </c>
      <c r="BL353" s="16"/>
      <c r="BM353" s="130" t="s">
        <v>412</v>
      </c>
      <c r="BN353" s="130" t="s">
        <v>436</v>
      </c>
      <c r="BO353" s="130" t="s">
        <v>436</v>
      </c>
      <c r="BP353" s="195" t="s">
        <v>1465</v>
      </c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8"/>
        <v>CondiçõesClimáticaChuva</v>
      </c>
    </row>
    <row r="354" spans="1:72">
      <c r="A354" s="47" t="str">
        <f>D354&amp;B354</f>
        <v>MODERNIZAÇÃO TURMA 246092</v>
      </c>
      <c r="B354" s="102">
        <v>46092</v>
      </c>
      <c r="C354" s="135">
        <f>IF(BS_CONTROLE[[#This Row],[DATA]]="","",WEEKNUM(BS_CONTROLE[[#This Row],[DATA]]))</f>
        <v>11</v>
      </c>
      <c r="D354" s="104" t="s">
        <v>596</v>
      </c>
      <c r="E354" s="159">
        <v>347</v>
      </c>
      <c r="F354" s="126" t="s">
        <v>691</v>
      </c>
      <c r="G354" s="142" t="str">
        <f>IF(D354="","*",VLOOKUP(F354,BS_ATIVIDADE[],3,FALSE))</f>
        <v>MODERNIZAÇÃO</v>
      </c>
      <c r="H354" s="106" t="s">
        <v>558</v>
      </c>
      <c r="I354" s="106" t="s">
        <v>558</v>
      </c>
      <c r="J354" s="105">
        <v>92</v>
      </c>
      <c r="K354" s="105">
        <v>80.040000000000006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4" s="106">
        <v>0.34375</v>
      </c>
      <c r="P354" s="106">
        <v>6.25E-2</v>
      </c>
      <c r="Q354" s="105">
        <v>1</v>
      </c>
      <c r="R354" s="10" t="str">
        <f>IFERROR(_xlfn.XLOOKUP(F354, BS_ATIVIDADE[ATIVIDADE],BS_ATIVIDADE[UNIDADE] ), "*")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1012</v>
      </c>
      <c r="W354" s="151" t="s">
        <v>1025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MODERNIZAÇÃO - SOLDA</v>
      </c>
      <c r="AJ354" s="9" t="str">
        <f>IF(BS_CONTROLE[[#This Row],[Atividade]]=0, "-", BS_CONTROLE[[#This Row],[Atividade]])</f>
        <v>MODERNIZAÇÃO - SOLDA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ZXW-ZEZ</v>
      </c>
      <c r="AN354" s="105" t="str">
        <f>IF(BS_CONTROLE[[#This Row],[SB]]=0, "-", BS_CONTROLE[[#This Row],[SB]])</f>
        <v>ZXWK792</v>
      </c>
      <c r="AO354" s="105">
        <f>IF(BS_CONTROLE[[#This Row],[SUB]]=0, "-", BS_CONTROLE[[#This Row],[SUB]])</f>
        <v>92</v>
      </c>
      <c r="AP354" s="105">
        <f>BS_CONTROLE[[#This Row],[KM - Inicio]]</f>
        <v>80.040000000000006</v>
      </c>
      <c r="AQ354" s="105">
        <f>BS_CONTROLE[[#This Row],[KM - Inicio]]</f>
        <v>80.040000000000006</v>
      </c>
      <c r="AR354" s="108">
        <v>0.37708333333333333</v>
      </c>
      <c r="AS354" s="108">
        <v>0</v>
      </c>
      <c r="AT354" s="108">
        <v>0</v>
      </c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>
        <v>0</v>
      </c>
      <c r="BB354" s="10" t="str">
        <f>IFERROR(_xlfn.XLOOKUP(AI354, BS_ATIVIDADE[ATIVIDADE],BS_ATIVIDADE[UNIDADE] ), "*")</f>
        <v>Nº DE SOLDA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>
        <v>0</v>
      </c>
      <c r="BI354" s="17"/>
      <c r="BJ354" s="17" t="s">
        <v>1495</v>
      </c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8"/>
        <v/>
      </c>
    </row>
    <row r="355" spans="1:72">
      <c r="A355" s="47" t="str">
        <f>D355&amp;B355</f>
        <v>CARLOS (TP-722)46092</v>
      </c>
      <c r="B355" s="102">
        <v>46092</v>
      </c>
      <c r="C355" s="135">
        <f>IF(BS_CONTROLE[[#This Row],[DATA]]="","",WEEKNUM(BS_CONTROLE[[#This Row],[DATA]]))</f>
        <v>11</v>
      </c>
      <c r="D355" s="104" t="s">
        <v>826</v>
      </c>
      <c r="E355" s="159">
        <v>348</v>
      </c>
      <c r="F355" s="126" t="s">
        <v>744</v>
      </c>
      <c r="G355" s="142" t="str">
        <f>IF(D355="","*",VLOOKUP(F355,BS_ATIVIDADE[],3,FALSE))</f>
        <v>DORMENTE - SUBSTITUIÇÂO</v>
      </c>
      <c r="H355" s="106" t="s">
        <v>558</v>
      </c>
      <c r="I355" s="106" t="s">
        <v>558</v>
      </c>
      <c r="J355" s="105">
        <v>92</v>
      </c>
      <c r="K355" s="105">
        <v>82</v>
      </c>
      <c r="L355" s="105" t="s">
        <v>558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5" s="106">
        <v>0.41666666666666669</v>
      </c>
      <c r="P355" s="106">
        <v>8.3333333333333329E-2</v>
      </c>
      <c r="Q355" s="105">
        <v>30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5" s="105" t="s">
        <v>1029</v>
      </c>
      <c r="W355" s="151" t="s">
        <v>1054</v>
      </c>
      <c r="X355" s="104" t="s">
        <v>386</v>
      </c>
      <c r="Y355" s="129" t="s">
        <v>389</v>
      </c>
      <c r="Z355" s="104"/>
      <c r="AA355" s="105" t="s">
        <v>558</v>
      </c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ZXW</v>
      </c>
      <c r="AN355" s="105" t="str">
        <f>IF(BS_CONTROLE[[#This Row],[SB]]=0, "-", BS_CONTROLE[[#This Row],[SB]])</f>
        <v>ZXW2</v>
      </c>
      <c r="AO355" s="105">
        <f>IF(BS_CONTROLE[[#This Row],[SUB]]=0, "-", BS_CONTROLE[[#This Row],[SUB]])</f>
        <v>92</v>
      </c>
      <c r="AP355" s="105">
        <f>BS_CONTROLE[[#This Row],[KM - Inicio]]</f>
        <v>82</v>
      </c>
      <c r="AQ355" s="105">
        <f>BS_CONTROLE[[#This Row],[KM - Inicio]]</f>
        <v>82</v>
      </c>
      <c r="AR355" s="108">
        <v>0.37638888888888888</v>
      </c>
      <c r="AS355" s="108"/>
      <c r="AT355" s="108"/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>
        <v>0</v>
      </c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5" s="150"/>
      <c r="BG355" s="16"/>
      <c r="BH355" s="17"/>
      <c r="BI355" s="17"/>
      <c r="BJ355" s="17" t="s">
        <v>1496</v>
      </c>
      <c r="BK355" s="110"/>
      <c r="BL355" s="16"/>
      <c r="BM355" s="130"/>
      <c r="BN355" s="130"/>
      <c r="BO355" s="130"/>
      <c r="BP355" s="195"/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8"/>
        <v/>
      </c>
    </row>
    <row r="356" spans="1:72">
      <c r="A356" s="47" t="str">
        <f>D356&amp;B356</f>
        <v>EXPANSÃO TURMA 146092</v>
      </c>
      <c r="B356" s="102">
        <v>46092</v>
      </c>
      <c r="C356" s="135">
        <f>IF(BS_CONTROLE[[#This Row],[DATA]]="","",WEEKNUM(BS_CONTROLE[[#This Row],[DATA]]))</f>
        <v>11</v>
      </c>
      <c r="D356" s="104" t="s">
        <v>559</v>
      </c>
      <c r="E356" s="159">
        <v>285</v>
      </c>
      <c r="F356" s="126" t="s">
        <v>619</v>
      </c>
      <c r="G356" s="142" t="str">
        <f>IF(D356="","*",VLOOKUP(F356,BS_ATIVIDADE[],3,FALSE))</f>
        <v>EXPANSÃO</v>
      </c>
      <c r="H356" s="106" t="s">
        <v>558</v>
      </c>
      <c r="I356" s="106" t="s">
        <v>558</v>
      </c>
      <c r="J356" s="105">
        <v>30</v>
      </c>
      <c r="K356" s="105">
        <v>111.5</v>
      </c>
      <c r="L356" s="105">
        <v>112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6" s="106">
        <v>0.41666666666666669</v>
      </c>
      <c r="P356" s="106">
        <v>6.25E-2</v>
      </c>
      <c r="Q356" s="105">
        <v>1</v>
      </c>
      <c r="R356" s="10" t="str">
        <f>IFERROR(_xlfn.XLOOKUP(F356, BS_ATIVIDADE[ATIVIDADE],BS_ATIVIDADE[UNIDADE] ), "*")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1047</v>
      </c>
      <c r="W356" s="151" t="s">
        <v>1025</v>
      </c>
      <c r="X356" s="104" t="s">
        <v>386</v>
      </c>
      <c r="Y356" s="129" t="s">
        <v>389</v>
      </c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EXPANSÃO - SOLDA</v>
      </c>
      <c r="AJ356" s="9" t="str">
        <f>IF(BS_CONTROLE[[#This Row],[Atividade]]=0, "-", BS_CONTROLE[[#This Row],[Atividade]])</f>
        <v>EXPANSÃO - SOLDA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1121111</v>
      </c>
      <c r="AO356" s="105">
        <f>IF(BS_CONTROLE[[#This Row],[SUB]]=0, "-", BS_CONTROLE[[#This Row],[SUB]])</f>
        <v>30</v>
      </c>
      <c r="AP356" s="105">
        <f>BS_CONTROLE[[#This Row],[KM - Inicio]]</f>
        <v>111.5</v>
      </c>
      <c r="AQ356" s="105">
        <f>BS_CONTROLE[[#This Row],[KM - Inicio]]</f>
        <v>111.5</v>
      </c>
      <c r="AR356" s="108">
        <v>0</v>
      </c>
      <c r="AS356" s="108">
        <v>0</v>
      </c>
      <c r="AT356" s="108">
        <v>0</v>
      </c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>
        <v>0</v>
      </c>
      <c r="BB356" s="10" t="str">
        <f>IFERROR(_xlfn.XLOOKUP(AI356, BS_ATIVIDADE[ATIVIDADE],BS_ATIVIDADE[UNIDADE] ), "*")</f>
        <v>Nº DE SOLDA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>
        <v>0</v>
      </c>
      <c r="BI356" s="17"/>
      <c r="BJ356" s="17" t="s">
        <v>1465</v>
      </c>
      <c r="BK356" s="176" t="s">
        <v>1465</v>
      </c>
      <c r="BL356" s="16"/>
      <c r="BM356" s="130" t="s">
        <v>412</v>
      </c>
      <c r="BN356" s="130" t="s">
        <v>436</v>
      </c>
      <c r="BO356" s="130" t="s">
        <v>436</v>
      </c>
      <c r="BP356" s="195" t="s">
        <v>1465</v>
      </c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8"/>
        <v>CondiçõesClimáticaChuva</v>
      </c>
    </row>
    <row r="357" spans="1:72" hidden="1">
      <c r="A357" s="47" t="str">
        <f>D357&amp;B357</f>
        <v>DIEGO (TF-42)46092</v>
      </c>
      <c r="B357" s="102">
        <v>46092</v>
      </c>
      <c r="C357" s="135">
        <f>IF(BS_CONTROLE[[#This Row],[DATA]]="","",WEEKNUM(BS_CONTROLE[[#This Row],[DATA]]))</f>
        <v>11</v>
      </c>
      <c r="D357" s="104" t="s">
        <v>835</v>
      </c>
      <c r="E357" s="159">
        <v>286</v>
      </c>
      <c r="F357" s="126" t="s">
        <v>636</v>
      </c>
      <c r="G357" s="142" t="str">
        <f>IF(D357="","*",VLOOKUP(F357,BS_ATIVIDADE[],3,FALSE))</f>
        <v>LIMPEZA LASTRO</v>
      </c>
      <c r="H357" s="106" t="s">
        <v>558</v>
      </c>
      <c r="I357" s="106" t="s">
        <v>558</v>
      </c>
      <c r="J357" s="105">
        <v>30</v>
      </c>
      <c r="K357" s="105">
        <v>113</v>
      </c>
      <c r="L357" s="105" t="s">
        <v>558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7" s="127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7" s="106">
        <v>0.41666666666666669</v>
      </c>
      <c r="P357" s="106">
        <v>6.25E-2</v>
      </c>
      <c r="Q357" s="105">
        <v>30</v>
      </c>
      <c r="R357" s="10" t="str">
        <f>IFERROR(_xlfn.XLOOKUP(F357, BS_ATIVIDADE[ATIVIDADE],BS_ATIVIDADE[UNIDADE] ), "*")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7" s="105" t="s">
        <v>1029</v>
      </c>
      <c r="W357" s="151" t="s">
        <v>1295</v>
      </c>
      <c r="X357" s="104" t="s">
        <v>386</v>
      </c>
      <c r="Y357" s="129" t="s">
        <v>389</v>
      </c>
      <c r="Z357" s="104"/>
      <c r="AA357" s="105" t="s">
        <v>558</v>
      </c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LIMPEZA LASTRO</v>
      </c>
      <c r="AJ357" s="9" t="str">
        <f>IF(BS_CONTROLE[[#This Row],[Atividade]]=0, "-", BS_CONTROLE[[#This Row],[Atividade]])</f>
        <v>LIMPEZA LASTRO</v>
      </c>
      <c r="AK357" s="31" t="str">
        <f>BS_CONTROLE[[#This Row],[Local - Partida]]</f>
        <v>-</v>
      </c>
      <c r="AL357" s="31" t="str">
        <f>BS_CONTROLE[[#This Row],[Local - Encerramento]]</f>
        <v>-</v>
      </c>
      <c r="AM357" s="105" t="str">
        <f>IF(BS_CONTROLE[[#This Row],[Entre - Estações]]=0, "-", BS_CONTROLE[[#This Row],[Entre - Estações]])</f>
        <v>ZGM-109</v>
      </c>
      <c r="AN357" s="105">
        <f>IF(BS_CONTROLE[[#This Row],[SB]]=0, "-", BS_CONTROLE[[#This Row],[SB]])</f>
        <v>1131121</v>
      </c>
      <c r="AO357" s="105">
        <f>IF(BS_CONTROLE[[#This Row],[SUB]]=0, "-", BS_CONTROLE[[#This Row],[SUB]])</f>
        <v>30</v>
      </c>
      <c r="AP357" s="105">
        <f>BS_CONTROLE[[#This Row],[KM - Inicio]]</f>
        <v>113</v>
      </c>
      <c r="AQ357" s="105">
        <f>BS_CONTROLE[[#This Row],[KM - Inicio]]</f>
        <v>113</v>
      </c>
      <c r="AR357" s="108">
        <v>0.34027777777777779</v>
      </c>
      <c r="AS357" s="108">
        <v>0.39166666666666666</v>
      </c>
      <c r="AT357" s="108">
        <v>0.43333333333333335</v>
      </c>
      <c r="AU357" s="136"/>
      <c r="AV357" s="136"/>
      <c r="AW357" s="14"/>
      <c r="AX357" s="14"/>
      <c r="AY357" s="164">
        <f>IF(D357="","*",IFERROR(IF(ISODD(COUNT(AS357:AX357)),"ERRO",SUM((AT357-AS357),(AV357-AU357),(AX357-AW357))),"ERRO"))</f>
        <v>4.1666666666666685E-2</v>
      </c>
      <c r="AZ357" s="153"/>
      <c r="BA357" s="109"/>
      <c r="BB357" s="10" t="str">
        <f>IFERROR(_xlfn.XLOOKUP(AI357, BS_ATIVIDADE[ATIVIDADE],BS_ATIVIDADE[UNIDADE] ), "*")</f>
        <v>M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7" s="150"/>
      <c r="BG357" s="16"/>
      <c r="BH357" s="17">
        <v>1</v>
      </c>
      <c r="BI357" s="17"/>
      <c r="BJ357" s="17" t="s">
        <v>1497</v>
      </c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Produção e Intervalo</v>
      </c>
      <c r="BR357" s="19">
        <f>IF(OR(B357="",F357=""),"*",AY357/P357)</f>
        <v>0.66666666666666696</v>
      </c>
      <c r="BS357" s="19">
        <f>IF(OR(B357="",F357=""),"*",BA357/Q357)</f>
        <v>0</v>
      </c>
      <c r="BT357" s="8" t="str">
        <f t="shared" si="8"/>
        <v/>
      </c>
    </row>
    <row r="358" spans="1:72" hidden="1">
      <c r="A358" s="47" t="str">
        <f>D358&amp;B358</f>
        <v>V8546092</v>
      </c>
      <c r="B358" s="102">
        <v>46092</v>
      </c>
      <c r="C358" s="135">
        <f>IF(BS_CONTROLE[[#This Row],[DATA]]="","",WEEKNUM(BS_CONTROLE[[#This Row],[DATA]]))</f>
        <v>11</v>
      </c>
      <c r="D358" s="104" t="s">
        <v>759</v>
      </c>
      <c r="E358" s="159">
        <v>352</v>
      </c>
      <c r="F358" s="126" t="s">
        <v>572</v>
      </c>
      <c r="G358" s="142" t="str">
        <f>IF(D358="","*",VLOOKUP(F358,BS_ATIVIDADE[],3,FALSE))</f>
        <v>OUTROS</v>
      </c>
      <c r="H358" s="106" t="s">
        <v>1015</v>
      </c>
      <c r="I358" s="106" t="s">
        <v>1050</v>
      </c>
      <c r="J358" s="105">
        <v>92</v>
      </c>
      <c r="K358" s="105">
        <v>66</v>
      </c>
      <c r="L358" s="105" t="s">
        <v>558</v>
      </c>
      <c r="M358" s="127" t="s">
        <v>11</v>
      </c>
      <c r="N358" s="127" t="s">
        <v>1016</v>
      </c>
      <c r="O358" s="106">
        <v>0.375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8" s="105" t="s">
        <v>1498</v>
      </c>
      <c r="W358" s="151" t="s">
        <v>1085</v>
      </c>
      <c r="X358" s="104" t="s">
        <v>386</v>
      </c>
      <c r="Y358" s="129"/>
      <c r="Z358" s="104"/>
      <c r="AA358" s="105" t="s">
        <v>558</v>
      </c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DESLOCAMENTO</v>
      </c>
      <c r="AJ358" s="9" t="str">
        <f>IF(BS_CONTROLE[[#This Row],[Atividade]]=0, "-", BS_CONTROLE[[#This Row],[Atividade]])</f>
        <v>DESLOCAMENTO</v>
      </c>
      <c r="AK358" s="31" t="str">
        <f>BS_CONTROLE[[#This Row],[Local - Partida]]</f>
        <v>ZEV-2</v>
      </c>
      <c r="AL358" s="31" t="str">
        <f>BS_CONTROLE[[#This Row],[Local - Encerramento]]</f>
        <v>ZPTZDR</v>
      </c>
      <c r="AM358" s="105" t="str">
        <f>IF(BS_CONTROLE[[#This Row],[Entre - Estações]]=0, "-", BS_CONTROLE[[#This Row],[Entre - Estações]])</f>
        <v>ZEV-ZPT</v>
      </c>
      <c r="AN358" s="105" t="str">
        <f>IF(BS_CONTROLE[[#This Row],[SB]]=0, "-", BS_CONTROLE[[#This Row],[SB]])</f>
        <v>ZEVZPT</v>
      </c>
      <c r="AO358" s="105">
        <f>IF(BS_CONTROLE[[#This Row],[SUB]]=0, "-", BS_CONTROLE[[#This Row],[SUB]])</f>
        <v>92</v>
      </c>
      <c r="AP358" s="105">
        <f>BS_CONTROLE[[#This Row],[KM - Inicio]]</f>
        <v>66</v>
      </c>
      <c r="AQ358" s="105">
        <f>BS_CONTROLE[[#This Row],[KM - Inicio]]</f>
        <v>66</v>
      </c>
      <c r="AR358" s="108">
        <v>0.41666666666666669</v>
      </c>
      <c r="AS358" s="108">
        <v>0.51180555555555551</v>
      </c>
      <c r="AT358" s="108">
        <v>0.55347222222222225</v>
      </c>
      <c r="AU358" s="136"/>
      <c r="AV358" s="136"/>
      <c r="AW358" s="14"/>
      <c r="AX358" s="14"/>
      <c r="AY358" s="164">
        <f>IF(D358="","*",IFERROR(IF(ISODD(COUNT(AS358:AX358)),"ERRO",SUM((AT358-AS358),(AV358-AU358),(AX358-AW358))),"ERRO"))</f>
        <v>4.1666666666666741E-2</v>
      </c>
      <c r="AZ358" s="153"/>
      <c r="BA358" s="109"/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8" s="150"/>
      <c r="BG358" s="16"/>
      <c r="BH358" s="17">
        <v>1</v>
      </c>
      <c r="BI358" s="17"/>
      <c r="BJ358" s="17" t="s">
        <v>1499</v>
      </c>
      <c r="BK358" s="18" t="s">
        <v>1500</v>
      </c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Produção</v>
      </c>
      <c r="BR358" s="19">
        <f>IF(OR(B358="",F358=""),"*",AY358/P358)</f>
        <v>1.0000000000000018</v>
      </c>
      <c r="BS358" s="19">
        <f>IF(OR(B358="",F358=""),"*",BA358/Q358)</f>
        <v>0</v>
      </c>
      <c r="BT358" s="8" t="str">
        <f t="shared" si="8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 hidden="1">
      <c r="A360" s="47" t="str">
        <f>D360&amp;B360</f>
        <v>KLECIO (TP-699)46093</v>
      </c>
      <c r="B360" s="102">
        <v>46093</v>
      </c>
      <c r="C360" s="135">
        <f>IF(BS_CONTROLE[[#This Row],[DATA]]="","",WEEKNUM(BS_CONTROLE[[#This Row],[DATA]]))</f>
        <v>11</v>
      </c>
      <c r="D360" s="104" t="s">
        <v>876</v>
      </c>
      <c r="E360" s="159">
        <v>354</v>
      </c>
      <c r="F360" s="126" t="s">
        <v>740</v>
      </c>
      <c r="G360" s="142" t="str">
        <f>IF(D360="","*",VLOOKUP(F360,BS_ATIVIDADE[],3,FALSE))</f>
        <v>SOLDA</v>
      </c>
      <c r="H360" s="106" t="s">
        <v>558</v>
      </c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PDM - SOLDA</v>
      </c>
      <c r="AJ360" s="9" t="str">
        <f>IF(BS_CONTROLE[[#This Row],[Atividade]]=0, "-", BS_CONTROLE[[#This Row],[Atividade]])</f>
        <v>PDM - SOLDA</v>
      </c>
      <c r="AK360" s="31" t="str">
        <f>BS_CONTROLE[[#This Row],[Local - Partida]]</f>
        <v>-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>
        <f>IF(D360="","*",IFERROR(IF(ISODD(COUNT(AS360:AX360)),"ERRO",SUM((AT360-AS360),(AV360-AU360),(AX360-AW360))),"ERRO"))</f>
        <v>0</v>
      </c>
      <c r="AZ360" s="153"/>
      <c r="BA360" s="109"/>
      <c r="BB360" s="10" t="str">
        <f>IFERROR(_xlfn.XLOOKUP(AI360, BS_ATIVIDADE[ATIVIDADE],BS_ATIVIDADE[UNIDADE] ), "*")</f>
        <v>Nº DE SOLDA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e">
        <f>IF(AND(BR360&lt;1,BS360&lt;1),"Produção e Intervalo",IF(BR360&lt;1,"Intervalo",IF(BS360&lt;1,"Produção","Aderente")))</f>
        <v>#DIV/0!</v>
      </c>
      <c r="BR360" s="19" t="e">
        <f>IF(OR(B360="",F360=""),"*",AY360/P360)</f>
        <v>#DIV/0!</v>
      </c>
      <c r="BS360" s="19" t="e">
        <f>IF(OR(B360="",F360=""),"*",BA360/Q360)</f>
        <v>#DIV/0!</v>
      </c>
      <c r="BT360" s="8" t="str">
        <f t="shared" si="8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8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8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8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8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8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8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8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8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8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8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8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8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8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8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8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8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8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8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8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8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8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8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8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8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8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9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9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9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9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9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9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9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9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9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9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9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9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9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9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9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9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9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9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9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9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9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9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9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9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9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9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9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9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9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9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9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9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9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1501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1502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1502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03" spans="1:72">
      <c r="P1003" s="194"/>
    </row>
    <row r="1011" spans="9:10">
      <c r="I1011" s="190"/>
      <c r="J1011" s="118"/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27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813" operator="equal">
      <formula>"NÃO"</formula>
    </cfRule>
    <cfRule type="cellIs" dxfId="220" priority="11814" operator="equal">
      <formula>"SIM"</formula>
    </cfRule>
  </conditionalFormatting>
  <conditionalFormatting sqref="AZ6:AZ1001">
    <cfRule type="expression" dxfId="219" priority="54269">
      <formula>#REF!=1</formula>
    </cfRule>
  </conditionalFormatting>
  <conditionalFormatting sqref="BE6:BE1001 AY6:AY1001 U6:U1001">
    <cfRule type="cellIs" dxfId="218" priority="54253" operator="equal">
      <formula>"ERRO"</formula>
    </cfRule>
  </conditionalFormatting>
  <conditionalFormatting sqref="BQ6:BQ1001">
    <cfRule type="cellIs" dxfId="217" priority="54248" operator="equal">
      <formula>"Produção e Intervalo"</formula>
    </cfRule>
    <cfRule type="cellIs" dxfId="216" priority="54249" operator="equal">
      <formula>"Aderente"</formula>
    </cfRule>
    <cfRule type="cellIs" dxfId="215" priority="54250" operator="equal">
      <formula>"Intervalo"</formula>
    </cfRule>
    <cfRule type="cellIs" dxfId="214" priority="54251" operator="equal">
      <formula>"Produção"</formula>
    </cfRule>
    <cfRule type="cellIs" dxfId="213" priority="54252" operator="equal">
      <formula>"ERRO"</formula>
    </cfRule>
  </conditionalFormatting>
  <conditionalFormatting sqref="BR6:BS1001">
    <cfRule type="cellIs" dxfId="212" priority="54230" operator="equal">
      <formula>"*"</formula>
    </cfRule>
    <cfRule type="cellIs" dxfId="211" priority="54231" operator="greaterThanOrEqual">
      <formula>1</formula>
    </cfRule>
    <cfRule type="cellIs" dxfId="210" priority="54232" operator="lessThan">
      <formula>1</formula>
    </cfRule>
  </conditionalFormatting>
  <conditionalFormatting sqref="BK949 BK81 BK83:BK84 BK101 BK67 BK69 BK72:BK73 BJ9:BJ1001">
    <cfRule type="iconSet" priority="61017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 BK317 BK305:BK310 BK321 BK354 BK357:BK948 BK331:BK332 BK339 BK352 BK341:BK348">
    <cfRule type="iconSet" priority="61019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356" operator="equal">
      <formula>"OPORTUNIDADE"</formula>
    </cfRule>
  </conditionalFormatting>
  <conditionalFormatting sqref="Y6:Z39">
    <cfRule type="cellIs" dxfId="208" priority="354" operator="equal">
      <formula>"NÃO"</formula>
    </cfRule>
    <cfRule type="cellIs" dxfId="207" priority="355" operator="equal">
      <formula>"SIM"</formula>
    </cfRule>
  </conditionalFormatting>
  <conditionalFormatting sqref="BH6:BH8">
    <cfRule type="iconSet" priority="352">
      <iconSet showValue="0">
        <cfvo type="percent" val="0"/>
        <cfvo type="num" val="1"/>
        <cfvo type="num" val="1" gte="0"/>
      </iconSet>
    </cfRule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24" operator="equal">
      <formula>"OPORTUNIDADE"</formula>
    </cfRule>
  </conditionalFormatting>
  <conditionalFormatting sqref="Y44:Z44">
    <cfRule type="cellIs" dxfId="205" priority="322" operator="equal">
      <formula>"NÃO"</formula>
    </cfRule>
    <cfRule type="cellIs" dxfId="204" priority="323" operator="equal">
      <formula>"SIM"</formula>
    </cfRule>
  </conditionalFormatting>
  <conditionalFormatting sqref="Y48:Z52">
    <cfRule type="cellIs" dxfId="203" priority="321" operator="equal">
      <formula>"OPORTUNIDADE"</formula>
    </cfRule>
  </conditionalFormatting>
  <conditionalFormatting sqref="Y48:Z52">
    <cfRule type="cellIs" dxfId="202" priority="319" operator="equal">
      <formula>"NÃO"</formula>
    </cfRule>
    <cfRule type="cellIs" dxfId="201" priority="320" operator="equal">
      <formula>"SIM"</formula>
    </cfRule>
  </conditionalFormatting>
  <conditionalFormatting sqref="Y68:Z68">
    <cfRule type="cellIs" dxfId="200" priority="315" operator="equal">
      <formula>"OPORTUNIDADE"</formula>
    </cfRule>
  </conditionalFormatting>
  <conditionalFormatting sqref="Y68:Z68">
    <cfRule type="cellIs" dxfId="199" priority="313" operator="equal">
      <formula>"NÃO"</formula>
    </cfRule>
    <cfRule type="cellIs" dxfId="198" priority="314" operator="equal">
      <formula>"SIM"</formula>
    </cfRule>
  </conditionalFormatting>
  <conditionalFormatting sqref="Y75:Z75">
    <cfRule type="cellIs" dxfId="197" priority="312" operator="equal">
      <formula>"OPORTUNIDADE"</formula>
    </cfRule>
  </conditionalFormatting>
  <conditionalFormatting sqref="Y75:Z75">
    <cfRule type="cellIs" dxfId="196" priority="310" operator="equal">
      <formula>"NÃO"</formula>
    </cfRule>
    <cfRule type="cellIs" dxfId="195" priority="311" operator="equal">
      <formula>"SIM"</formula>
    </cfRule>
  </conditionalFormatting>
  <conditionalFormatting sqref="Y77:Z78">
    <cfRule type="cellIs" dxfId="194" priority="309" operator="equal">
      <formula>"OPORTUNIDADE"</formula>
    </cfRule>
  </conditionalFormatting>
  <conditionalFormatting sqref="Y77:Z78">
    <cfRule type="cellIs" dxfId="193" priority="307" operator="equal">
      <formula>"NÃO"</formula>
    </cfRule>
    <cfRule type="cellIs" dxfId="192" priority="308" operator="equal">
      <formula>"SIM"</formula>
    </cfRule>
  </conditionalFormatting>
  <conditionalFormatting sqref="Y81:Z81">
    <cfRule type="cellIs" dxfId="191" priority="306" operator="equal">
      <formula>"OPORTUNIDADE"</formula>
    </cfRule>
  </conditionalFormatting>
  <conditionalFormatting sqref="Y81:Z81">
    <cfRule type="cellIs" dxfId="190" priority="304" operator="equal">
      <formula>"NÃO"</formula>
    </cfRule>
    <cfRule type="cellIs" dxfId="189" priority="305" operator="equal">
      <formula>"SIM"</formula>
    </cfRule>
  </conditionalFormatting>
  <conditionalFormatting sqref="Y82:Z82">
    <cfRule type="cellIs" dxfId="188" priority="303" operator="equal">
      <formula>"OPORTUNIDADE"</formula>
    </cfRule>
  </conditionalFormatting>
  <conditionalFormatting sqref="Y82:Z82">
    <cfRule type="cellIs" dxfId="187" priority="301" operator="equal">
      <formula>"NÃO"</formula>
    </cfRule>
    <cfRule type="cellIs" dxfId="186" priority="302" operator="equal">
      <formula>"SIM"</formula>
    </cfRule>
  </conditionalFormatting>
  <conditionalFormatting sqref="Y91:Z91">
    <cfRule type="cellIs" dxfId="185" priority="300" operator="equal">
      <formula>"OPORTUNIDADE"</formula>
    </cfRule>
  </conditionalFormatting>
  <conditionalFormatting sqref="Y91:Z91">
    <cfRule type="cellIs" dxfId="184" priority="298" operator="equal">
      <formula>"NÃO"</formula>
    </cfRule>
    <cfRule type="cellIs" dxfId="183" priority="299" operator="equal">
      <formula>"SIM"</formula>
    </cfRule>
  </conditionalFormatting>
  <conditionalFormatting sqref="Y93:Z93">
    <cfRule type="cellIs" dxfId="182" priority="297" operator="equal">
      <formula>"OPORTUNIDADE"</formula>
    </cfRule>
  </conditionalFormatting>
  <conditionalFormatting sqref="Y93:Z93">
    <cfRule type="cellIs" dxfId="181" priority="295" operator="equal">
      <formula>"NÃO"</formula>
    </cfRule>
    <cfRule type="cellIs" dxfId="180" priority="296" operator="equal">
      <formula>"SIM"</formula>
    </cfRule>
  </conditionalFormatting>
  <conditionalFormatting sqref="Y95:Z95">
    <cfRule type="cellIs" dxfId="179" priority="294" operator="equal">
      <formula>"OPORTUNIDADE"</formula>
    </cfRule>
  </conditionalFormatting>
  <conditionalFormatting sqref="Y95:Z95">
    <cfRule type="cellIs" dxfId="178" priority="292" operator="equal">
      <formula>"NÃO"</formula>
    </cfRule>
    <cfRule type="cellIs" dxfId="177" priority="293" operator="equal">
      <formula>"SIM"</formula>
    </cfRule>
  </conditionalFormatting>
  <conditionalFormatting sqref="Y96:Z97">
    <cfRule type="cellIs" dxfId="176" priority="291" operator="equal">
      <formula>"OPORTUNIDADE"</formula>
    </cfRule>
  </conditionalFormatting>
  <conditionalFormatting sqref="Y96:Z97">
    <cfRule type="cellIs" dxfId="175" priority="289" operator="equal">
      <formula>"NÃO"</formula>
    </cfRule>
    <cfRule type="cellIs" dxfId="174" priority="290" operator="equal">
      <formula>"SIM"</formula>
    </cfRule>
  </conditionalFormatting>
  <conditionalFormatting sqref="BK95:BK99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120">
      <iconSet showValue="0">
        <cfvo type="percent" val="0"/>
        <cfvo type="num" val="1"/>
        <cfvo type="num" val="1" gte="0"/>
      </iconSet>
    </cfRule>
    <cfRule type="iconSet" priority="61121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24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329 BP317:BP321 BP357:BP1001 BP354 BP339 BP331:BP333 BP352 BP341:BP348">
    <cfRule type="iconSet" priority="6112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34" operator="equal">
      <formula>"OPORTUNIDADE"</formula>
    </cfRule>
  </conditionalFormatting>
  <conditionalFormatting sqref="Z173">
    <cfRule type="cellIs" dxfId="172" priority="232" operator="equal">
      <formula>"NÃO"</formula>
    </cfRule>
    <cfRule type="cellIs" dxfId="171" priority="233" operator="equal">
      <formula>"SIM"</formula>
    </cfRule>
  </conditionalFormatting>
  <conditionalFormatting sqref="BP13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191" operator="equal">
      <formula>"OPORTUNIDADE"</formula>
    </cfRule>
  </conditionalFormatting>
  <conditionalFormatting sqref="Z201">
    <cfRule type="cellIs" dxfId="169" priority="189" operator="equal">
      <formula>"NÃO"</formula>
    </cfRule>
    <cfRule type="cellIs" dxfId="168" priority="190" operator="equal">
      <formula>"SIM"</formula>
    </cfRule>
  </conditionalFormatting>
  <conditionalFormatting sqref="Z202">
    <cfRule type="cellIs" dxfId="167" priority="188" operator="equal">
      <formula>"OPORTUNIDADE"</formula>
    </cfRule>
  </conditionalFormatting>
  <conditionalFormatting sqref="Z202">
    <cfRule type="cellIs" dxfId="166" priority="186" operator="equal">
      <formula>"NÃO"</formula>
    </cfRule>
    <cfRule type="cellIs" dxfId="165" priority="187" operator="equal">
      <formula>"SIM"</formula>
    </cfRule>
  </conditionalFormatting>
  <conditionalFormatting sqref="BP14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80" operator="equal">
      <formula>"OPORTUNIDADE"</formula>
    </cfRule>
  </conditionalFormatting>
  <conditionalFormatting sqref="Y201">
    <cfRule type="cellIs" dxfId="163" priority="178" operator="equal">
      <formula>"NÃO"</formula>
    </cfRule>
    <cfRule type="cellIs" dxfId="162" priority="179" operator="equal">
      <formula>"SIM"</formula>
    </cfRule>
  </conditionalFormatting>
  <conditionalFormatting sqref="BK19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158" operator="equal">
      <formula>"OPORTUNIDADE"</formula>
    </cfRule>
  </conditionalFormatting>
  <conditionalFormatting sqref="Z245">
    <cfRule type="cellIs" dxfId="160" priority="156" operator="equal">
      <formula>"NÃO"</formula>
    </cfRule>
    <cfRule type="cellIs" dxfId="159" priority="157" operator="equal">
      <formula>"SIM"</formula>
    </cfRule>
  </conditionalFormatting>
  <conditionalFormatting sqref="BP18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32" operator="equal">
      <formula>"OPORTUNIDADE"</formula>
    </cfRule>
  </conditionalFormatting>
  <conditionalFormatting sqref="Z285">
    <cfRule type="cellIs" dxfId="157" priority="130" operator="equal">
      <formula>"NÃO"</formula>
    </cfRule>
    <cfRule type="cellIs" dxfId="156" priority="131" operator="equal">
      <formula>"SIM"</formula>
    </cfRule>
  </conditionalFormatting>
  <conditionalFormatting sqref="Z286">
    <cfRule type="cellIs" dxfId="155" priority="129" operator="equal">
      <formula>"OPORTUNIDADE"</formula>
    </cfRule>
  </conditionalFormatting>
  <conditionalFormatting sqref="Z286">
    <cfRule type="cellIs" dxfId="154" priority="127" operator="equal">
      <formula>"NÃO"</formula>
    </cfRule>
    <cfRule type="cellIs" dxfId="153" priority="128" operator="equal">
      <formula>"SIM"</formula>
    </cfRule>
  </conditionalFormatting>
  <conditionalFormatting sqref="BK25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355:BP35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3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49:BK35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49:BP35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3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3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N266 BN260 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6" t="s">
        <v>1503</v>
      </c>
      <c r="C2" s="226"/>
      <c r="D2" s="226"/>
      <c r="E2" s="226"/>
      <c r="F2" s="226"/>
      <c r="G2" s="226"/>
    </row>
    <row r="3" spans="2:7" ht="15" customHeight="1">
      <c r="B3" s="227"/>
      <c r="C3" s="227"/>
      <c r="D3" s="227"/>
      <c r="E3" s="227"/>
      <c r="F3" s="227"/>
      <c r="G3" s="227"/>
    </row>
    <row r="4" spans="2:7">
      <c r="B4" s="160" t="s">
        <v>1504</v>
      </c>
      <c r="C4" s="160" t="s">
        <v>1505</v>
      </c>
      <c r="D4" s="160" t="s">
        <v>1506</v>
      </c>
      <c r="E4" s="160" t="s">
        <v>1507</v>
      </c>
      <c r="F4" s="160" t="s">
        <v>4</v>
      </c>
      <c r="G4" s="160" t="s">
        <v>1508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1509</v>
      </c>
      <c r="C6" s="161">
        <v>407867</v>
      </c>
      <c r="D6" s="161" t="s">
        <v>1510</v>
      </c>
      <c r="E6" s="161" t="s">
        <v>789</v>
      </c>
      <c r="F6" s="161" t="s">
        <v>1511</v>
      </c>
      <c r="G6" s="162"/>
    </row>
    <row r="7" spans="2:7">
      <c r="B7" s="161" t="s">
        <v>1512</v>
      </c>
      <c r="C7" s="161">
        <v>293644</v>
      </c>
      <c r="D7" s="161" t="s">
        <v>1513</v>
      </c>
      <c r="E7" s="161" t="s">
        <v>789</v>
      </c>
      <c r="F7" s="161" t="s">
        <v>1511</v>
      </c>
      <c r="G7" s="162"/>
    </row>
    <row r="8" spans="2:7">
      <c r="B8" s="161" t="s">
        <v>1514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1515</v>
      </c>
      <c r="C9" s="161">
        <v>256790</v>
      </c>
      <c r="D9" s="161" t="s">
        <v>1516</v>
      </c>
      <c r="E9" s="161" t="s">
        <v>790</v>
      </c>
      <c r="F9" s="161" t="s">
        <v>1517</v>
      </c>
      <c r="G9" s="162">
        <v>46357</v>
      </c>
    </row>
    <row r="10" spans="2:7">
      <c r="B10" s="161" t="s">
        <v>1518</v>
      </c>
      <c r="C10" s="161">
        <v>265193</v>
      </c>
      <c r="D10" s="161" t="s">
        <v>1519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1520</v>
      </c>
      <c r="C11" s="161">
        <v>293716</v>
      </c>
      <c r="D11" s="161" t="s">
        <v>1521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1522</v>
      </c>
      <c r="C12" s="161">
        <v>257258</v>
      </c>
      <c r="D12" s="161" t="s">
        <v>1523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1524</v>
      </c>
      <c r="C13" s="161">
        <v>371147</v>
      </c>
      <c r="D13" s="161" t="s">
        <v>1525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1526</v>
      </c>
      <c r="C14" s="161">
        <v>259230</v>
      </c>
      <c r="D14" s="161" t="s">
        <v>1527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1528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1529</v>
      </c>
      <c r="C16" s="161">
        <v>258542</v>
      </c>
      <c r="D16" s="161" t="s">
        <v>1530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1531</v>
      </c>
      <c r="C17" s="161">
        <v>257050</v>
      </c>
      <c r="D17" s="161" t="s">
        <v>1532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C20" sqref="C20:C2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8" t="s">
        <v>1533</v>
      </c>
      <c r="C2" s="228"/>
      <c r="D2" s="228"/>
      <c r="E2" s="228"/>
      <c r="F2" s="228"/>
      <c r="G2" s="228"/>
    </row>
    <row r="3" spans="2:7" ht="15" customHeight="1">
      <c r="B3" s="228"/>
      <c r="C3" s="228"/>
      <c r="D3" s="228"/>
      <c r="E3" s="228"/>
      <c r="F3" s="228"/>
      <c r="G3" s="228"/>
    </row>
    <row r="4" spans="2:7" ht="15" customHeight="1">
      <c r="B4" s="163" t="s">
        <v>651</v>
      </c>
      <c r="C4" s="163" t="s">
        <v>1534</v>
      </c>
      <c r="D4" s="163" t="s">
        <v>1535</v>
      </c>
      <c r="E4" s="163" t="s">
        <v>1536</v>
      </c>
      <c r="F4" s="160" t="s">
        <v>1537</v>
      </c>
      <c r="G4" s="163" t="s">
        <v>1538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1539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1540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1539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1541</v>
      </c>
      <c r="G9" s="167" t="s">
        <v>1542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1539</v>
      </c>
      <c r="G10" s="167"/>
    </row>
    <row r="11" spans="2:7" hidden="1">
      <c r="B11" s="191" t="s">
        <v>1543</v>
      </c>
      <c r="C11" s="191">
        <v>9038</v>
      </c>
      <c r="D11" s="192">
        <v>46085</v>
      </c>
      <c r="E11" s="191">
        <v>10520</v>
      </c>
      <c r="F11" s="193" t="s">
        <v>1544</v>
      </c>
      <c r="G11" s="191"/>
    </row>
    <row r="12" spans="2:7">
      <c r="B12" s="167" t="s">
        <v>1543</v>
      </c>
      <c r="C12" s="167">
        <v>9059</v>
      </c>
      <c r="D12" s="168">
        <v>46091</v>
      </c>
      <c r="E12" s="167">
        <v>15600</v>
      </c>
      <c r="F12" s="169" t="s">
        <v>1539</v>
      </c>
      <c r="G12" s="167" t="s">
        <v>1545</v>
      </c>
    </row>
    <row r="13" spans="2:7">
      <c r="B13" s="167" t="s">
        <v>709</v>
      </c>
      <c r="C13" s="167" t="s">
        <v>1546</v>
      </c>
      <c r="D13" s="168">
        <v>46086</v>
      </c>
      <c r="E13" s="167">
        <v>8.5</v>
      </c>
      <c r="F13" s="169" t="s">
        <v>1547</v>
      </c>
      <c r="G13" s="167"/>
    </row>
    <row r="14" spans="2:7">
      <c r="B14" s="167" t="s">
        <v>709</v>
      </c>
      <c r="C14" s="167" t="s">
        <v>1548</v>
      </c>
      <c r="D14" s="168">
        <v>46086</v>
      </c>
      <c r="E14" s="167">
        <v>10000</v>
      </c>
      <c r="F14" s="169" t="s">
        <v>1547</v>
      </c>
      <c r="G14" s="167"/>
    </row>
    <row r="15" spans="2:7">
      <c r="B15" s="167" t="s">
        <v>709</v>
      </c>
      <c r="C15" s="167" t="s">
        <v>1549</v>
      </c>
      <c r="D15" s="168">
        <v>46086</v>
      </c>
      <c r="E15" s="167">
        <v>8000</v>
      </c>
      <c r="F15" s="169" t="s">
        <v>1547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91" t="s">
        <v>806</v>
      </c>
      <c r="C19" s="191"/>
      <c r="D19" s="191"/>
      <c r="E19" s="191"/>
      <c r="F19" s="191"/>
      <c r="G19" s="191" t="s">
        <v>1550</v>
      </c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9309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2" sqref="C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1551</v>
      </c>
      <c r="C2" s="121" t="s">
        <v>946</v>
      </c>
      <c r="D2" s="76" t="s">
        <v>948</v>
      </c>
      <c r="E2" s="76" t="s">
        <v>1552</v>
      </c>
      <c r="F2" s="99" t="s">
        <v>1553</v>
      </c>
      <c r="G2" s="76" t="s">
        <v>1554</v>
      </c>
      <c r="H2" s="76" t="s">
        <v>1555</v>
      </c>
      <c r="I2" s="76" t="s">
        <v>1556</v>
      </c>
      <c r="J2" s="76" t="s">
        <v>1557</v>
      </c>
      <c r="K2" s="78" t="s">
        <v>1558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OPORTUNIDADE</v>
      </c>
      <c r="C328" s="95">
        <f>IF(SP_SUL!B332="","*",SP_SUL!B332)</f>
        <v>46092</v>
      </c>
      <c r="D328" s="94" t="str">
        <f>IF(SP_SUL!D332="","*",SP_SUL!D332)</f>
        <v>V92</v>
      </c>
      <c r="E328" s="94" t="str">
        <f>IF(SP_SUL!H332="","*",SP_SUL!H332)</f>
        <v>ZAC-2</v>
      </c>
      <c r="F328" s="100" t="str">
        <f>IF(SP_SUL!M332="","*",SP_SUL!M332)</f>
        <v>ZAC-ZSW</v>
      </c>
      <c r="G328" s="95" t="str">
        <f>IF(SP_SUL!I332="","*",SP_SUL!I332)</f>
        <v>ZAC-2</v>
      </c>
      <c r="H328" s="95" t="str">
        <f>IF(SP_SUL!AB332="","*",SP_SUL!AB332)</f>
        <v>FIXO</v>
      </c>
      <c r="I328" s="95" t="str">
        <f>IF(SP_SUL!AC332="","*",SP_SUL!AC332)</f>
        <v>ACIONAMENTO</v>
      </c>
      <c r="J328" s="96" t="str">
        <f>IF(SP_SUL!AA332="","*",SP_SUL!AA332)</f>
        <v>1 Lucas</v>
      </c>
      <c r="K328" s="97">
        <f>IF(SP_SUL!AD332="","*",SP_SUL!AD332)</f>
        <v>0.35416666666666669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SIM</v>
      </c>
      <c r="C342" s="95">
        <f>IF(SP_SUL!B346="","*",SP_SUL!B346)</f>
        <v>46092</v>
      </c>
      <c r="D342" s="94" t="str">
        <f>IF(SP_SUL!D346="","*",SP_SUL!D346)</f>
        <v>SUPER ZEM</v>
      </c>
      <c r="E342" s="94" t="str">
        <f>IF(SP_SUL!H346="","*",SP_SUL!H346)</f>
        <v>-</v>
      </c>
      <c r="F342" s="100" t="str">
        <f>IF(SP_SUL!M346="","*",SP_SUL!M346)</f>
        <v>ZYQ-ZEM</v>
      </c>
      <c r="G342" s="95" t="str">
        <f>IF(SP_SUL!I346="","*",SP_SUL!I346)</f>
        <v>-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-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EDSON (TP-719)</v>
      </c>
      <c r="E343" s="94" t="str">
        <f>IF(SP_SUL!H347="","*",SP_SUL!H347)</f>
        <v>*</v>
      </c>
      <c r="F343" s="100" t="str">
        <f>IF(SP_SUL!M347="","*",SP_SUL!M347)</f>
        <v>ZYQ-ZEM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EDSON (TP-719)</v>
      </c>
      <c r="E344" s="94" t="str">
        <f>IF(SP_SUL!H348="","*",SP_SUL!H348)</f>
        <v>*</v>
      </c>
      <c r="F344" s="100" t="str">
        <f>IF(SP_SUL!M348="","*",SP_SUL!M348)</f>
        <v>ZYQ-ZEM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CAIQUE (TP-869)</v>
      </c>
      <c r="E345" s="94" t="str">
        <f>IF(SP_SUL!H349="","*",SP_SUL!H349)</f>
        <v>-</v>
      </c>
      <c r="F345" s="100" t="str">
        <f>IF(SP_SUL!M349="","*",SP_SUL!M349)</f>
        <v>ZEJ-ZEV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46092</v>
      </c>
      <c r="D346" s="94" t="str">
        <f>IF(SP_SUL!D350="","*",SP_SUL!D350)</f>
        <v>WALTER (TP-810)</v>
      </c>
      <c r="E346" s="94" t="str">
        <f>IF(SP_SUL!H350="","*",SP_SUL!H350)</f>
        <v>-</v>
      </c>
      <c r="F346" s="100" t="str">
        <f>IF(SP_SUL!M350="","*",SP_SUL!M350)</f>
        <v>ZEJ-ZEV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MATEUS (TP-809)</v>
      </c>
      <c r="E347" s="94" t="str">
        <f>IF(SP_SUL!H351="","*",SP_SUL!H351)</f>
        <v>*</v>
      </c>
      <c r="F347" s="100" t="str">
        <f>IF(SP_SUL!M351="","*",SP_SUL!M351)</f>
        <v>ZEJ-ZEV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A84</v>
      </c>
      <c r="E348" s="94" t="str">
        <f>IF(SP_SUL!H352="","*",SP_SUL!H352)</f>
        <v>ZEV-2</v>
      </c>
      <c r="F348" s="100" t="str">
        <f>IF(SP_SUL!M352="","*",SP_SUL!M352)</f>
        <v>ZEV-ZPG</v>
      </c>
      <c r="G348" s="95" t="str">
        <f>IF(SP_SUL!I352="","*",SP_SUL!I352)</f>
        <v>ZPG2</v>
      </c>
      <c r="H348" s="95" t="str">
        <f>IF(SP_SUL!AB352="","*",SP_SUL!AB352)</f>
        <v>FIXO</v>
      </c>
      <c r="I348" s="95" t="str">
        <f>IF(SP_SUL!AC352="","*",SP_SUL!AC352)</f>
        <v>ACIONAMENTO</v>
      </c>
      <c r="J348" s="96">
        <f>IF(SP_SUL!AA352="","*",SP_SUL!AA352)</f>
        <v>1</v>
      </c>
      <c r="K348" s="97">
        <f>IF(SP_SUL!AD352="","*",SP_SUL!AD352)</f>
        <v>0.29166666666666669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JACIANO (TF-674)</v>
      </c>
      <c r="E349" s="94" t="str">
        <f>IF(SP_SUL!H353="","*",SP_SUL!H353)</f>
        <v>-</v>
      </c>
      <c r="F349" s="100" t="str">
        <f>IF(SP_SUL!M353="","*",SP_SUL!M353)</f>
        <v>ZEZ-069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MODERNIZAÇÃO TURMA 2</v>
      </c>
      <c r="E350" s="94" t="str">
        <f>IF(SP_SUL!H354="","*",SP_SUL!H354)</f>
        <v>-</v>
      </c>
      <c r="F350" s="100" t="str">
        <f>IF(SP_SUL!M354="","*",SP_SUL!M354)</f>
        <v>ZXW-ZEZ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CARLOS (TP-722)</v>
      </c>
      <c r="E351" s="94" t="str">
        <f>IF(SP_SUL!H355="","*",SP_SUL!H355)</f>
        <v>-</v>
      </c>
      <c r="F351" s="100" t="str">
        <f>IF(SP_SUL!M355="","*",SP_SUL!M355)</f>
        <v>ZXW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-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EXPANSÃO TURMA 1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46092</v>
      </c>
      <c r="D353" s="94" t="str">
        <f>IF(SP_SUL!D357="","*",SP_SUL!D357)</f>
        <v>DIEGO (TF-42)</v>
      </c>
      <c r="E353" s="94" t="str">
        <f>IF(SP_SUL!H357="","*",SP_SUL!H357)</f>
        <v>-</v>
      </c>
      <c r="F353" s="100" t="str">
        <f>IF(SP_SUL!M357="","*",SP_SUL!M357)</f>
        <v>ZGM-109</v>
      </c>
      <c r="G353" s="95" t="str">
        <f>IF(SP_SUL!I357="","*",SP_SUL!I357)</f>
        <v>-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-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>
        <f>IF(SP_SUL!B358="","*",SP_SUL!B358)</f>
        <v>46092</v>
      </c>
      <c r="D354" s="94" t="str">
        <f>IF(SP_SUL!D358="","*",SP_SUL!D358)</f>
        <v>V85</v>
      </c>
      <c r="E354" s="94" t="str">
        <f>IF(SP_SUL!H358="","*",SP_SUL!H358)</f>
        <v>ZEV-2</v>
      </c>
      <c r="F354" s="100" t="str">
        <f>IF(SP_SUL!M358="","*",SP_SUL!M358)</f>
        <v>ZEV-ZPT</v>
      </c>
      <c r="G354" s="95" t="str">
        <f>IF(SP_SUL!I358="","*",SP_SUL!I358)</f>
        <v>ZPTZDR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-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>
        <f>IF(SP_SUL!B360="","*",SP_SUL!B360)</f>
        <v>46093</v>
      </c>
      <c r="D356" s="94" t="str">
        <f>IF(SP_SUL!D360="","*",SP_SUL!D360)</f>
        <v>KLECIO (TP-699)</v>
      </c>
      <c r="E356" s="94" t="str">
        <f>IF(SP_SUL!H360="","*",SP_SUL!H360)</f>
        <v>-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331" sqref="A331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9"/>
      <c r="B1" s="230"/>
      <c r="C1" s="23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2" t="s">
        <v>1009</v>
      </c>
      <c r="Q1" s="233"/>
      <c r="R1" s="111"/>
      <c r="S1" s="84"/>
      <c r="T1" s="86"/>
      <c r="U1" s="234" t="s">
        <v>1559</v>
      </c>
      <c r="V1" s="234"/>
      <c r="W1" s="234"/>
    </row>
    <row r="2" spans="1:23" ht="15" customHeight="1">
      <c r="A2" s="87" t="s">
        <v>1560</v>
      </c>
      <c r="B2" s="87" t="s">
        <v>1561</v>
      </c>
      <c r="C2" s="87" t="s">
        <v>376</v>
      </c>
      <c r="D2" s="88" t="s">
        <v>961</v>
      </c>
      <c r="E2" s="88" t="s">
        <v>4</v>
      </c>
      <c r="F2" s="88" t="s">
        <v>1562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1563</v>
      </c>
      <c r="T2" s="91" t="s">
        <v>964</v>
      </c>
      <c r="U2" s="138">
        <f ca="1">TODAY()-1</f>
        <v>46091</v>
      </c>
      <c r="V2" s="138">
        <f ca="1">U2-1</f>
        <v>46090</v>
      </c>
      <c r="W2" s="138">
        <f ca="1">V2-1</f>
        <v>46089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1860</v>
      </c>
      <c r="V3" s="137">
        <f ca="1">_xlfn.XLOOKUP(G3&amp;$V$2,BS_CONTROLE[CHAVE],BS_CONTROLE[Quantidade_11],"-")</f>
        <v>1</v>
      </c>
      <c r="W3" s="137">
        <f ca="1">_xlfn.XLOOKUP(G3&amp;$W$2,BS_CONTROLE[CHAVE],BS_CONTROLE[Quantidade_11],"-")</f>
        <v>266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40</v>
      </c>
      <c r="V4" s="137">
        <f ca="1">_xlfn.XLOOKUP(G4&amp;$V$2,BS_CONTROLE[CHAVE],BS_CONTROLE[Quantidade_11],"-")</f>
        <v>82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0</v>
      </c>
      <c r="V7" s="137">
        <f ca="1">_xlfn.XLOOKUP(G7&amp;$V$2,BS_CONTROLE[CHAVE],BS_CONTROLE[Quantidade_11],"-")</f>
        <v>940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>
        <f ca="1">_xlfn.XLOOKUP(G8&amp;$V$2,BS_CONTROLE[CHAVE],BS_CONTROLE[Quantidade_11],"-")</f>
        <v>0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1860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266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1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0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1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700</v>
      </c>
      <c r="V15" s="137">
        <f ca="1">_xlfn.XLOOKUP(G15&amp;$V$2,BS_CONTROLE[CHAVE],BS_CONTROLE[Quantidade_11],"-")</f>
        <v>1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0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23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1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40</v>
      </c>
      <c r="V27" s="137">
        <f ca="1">_xlfn.XLOOKUP(G27&amp;$V$2,BS_CONTROLE[CHAVE],BS_CONTROLE[Quantidade_11],"-")</f>
        <v>82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312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>
        <f ca="1">_xlfn.XLOOKUP(G29&amp;$V$2,BS_CONTROLE[CHAVE],BS_CONTROLE[Quantidade_11],"-")</f>
        <v>1</v>
      </c>
      <c r="W29" s="137">
        <f ca="1">_xlfn.XLOOKUP(G29&amp;$W$2,BS_CONTROLE[CHAVE],BS_CONTROLE[Quantidade_11],"-")</f>
        <v>1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>
        <f ca="1">_xlfn.XLOOKUP(G33&amp;$V$2,BS_CONTROLE[CHAVE],BS_CONTROLE[Quantidade_11],"-")</f>
        <v>0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0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0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40</v>
      </c>
      <c r="V43" s="137">
        <f ca="1">_xlfn.XLOOKUP(G43&amp;$V$2,BS_CONTROLE[CHAVE],BS_CONTROLE[Quantidade_11],"-")</f>
        <v>82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700</v>
      </c>
      <c r="V44" s="137">
        <f ca="1">_xlfn.XLOOKUP(G44&amp;$V$2,BS_CONTROLE[CHAVE],BS_CONTROLE[Quantidade_11],"-")</f>
        <v>1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0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1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1860</v>
      </c>
      <c r="V49" s="137">
        <f ca="1">_xlfn.XLOOKUP(G49&amp;$V$2,BS_CONTROLE[CHAVE],BS_CONTROLE[Quantidade_11],"-")</f>
        <v>1</v>
      </c>
      <c r="W49" s="137">
        <f ca="1">_xlfn.XLOOKUP(G49&amp;$W$2,BS_CONTROLE[CHAVE],BS_CONTROLE[Quantidade_11],"-")</f>
        <v>266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1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940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312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23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312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940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23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0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0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0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0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40</v>
      </c>
      <c r="V86" s="137">
        <f ca="1">_xlfn.XLOOKUP(G86&amp;$V$2,BS_CONTROLE[CHAVE],BS_CONTROLE[Quantidade_11],"-")</f>
        <v>82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700</v>
      </c>
      <c r="V89" s="137">
        <f ca="1">_xlfn.XLOOKUP(G89&amp;$V$2,BS_CONTROLE[CHAVE],BS_CONTROLE[Quantidade_11],"-")</f>
        <v>1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0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1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1860</v>
      </c>
      <c r="V94" s="137">
        <f ca="1">_xlfn.XLOOKUP(G94&amp;$V$2,BS_CONTROLE[CHAVE],BS_CONTROLE[Quantidade_11],"-")</f>
        <v>1</v>
      </c>
      <c r="W94" s="137">
        <f ca="1">_xlfn.XLOOKUP(G94&amp;$W$2,BS_CONTROLE[CHAVE],BS_CONTROLE[Quantidade_11],"-")</f>
        <v>266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1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312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1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940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23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>
        <f ca="1">_xlfn.XLOOKUP(G126&amp;$V$2,BS_CONTROLE[CHAVE],BS_CONTROLE[Quantidade_11],"-")</f>
        <v>0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0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40</v>
      </c>
      <c r="V132" s="137">
        <f ca="1">_xlfn.XLOOKUP(G132&amp;$V$2,BS_CONTROLE[CHAVE],BS_CONTROLE[Quantidade_11],"-")</f>
        <v>82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1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312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1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>
        <f ca="1">_xlfn.XLOOKUP(G138&amp;$V$2,BS_CONTROLE[CHAVE],BS_CONTROLE[Quantidade_11],"-")</f>
        <v>0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1860</v>
      </c>
      <c r="V140" s="137">
        <f ca="1">_xlfn.XLOOKUP(G140&amp;$V$2,BS_CONTROLE[CHAVE],BS_CONTROLE[Quantidade_11],"-")</f>
        <v>1</v>
      </c>
      <c r="W140" s="137">
        <f ca="1">_xlfn.XLOOKUP(G140&amp;$W$2,BS_CONTROLE[CHAVE],BS_CONTROLE[Quantidade_11],"-")</f>
        <v>266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312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0</v>
      </c>
      <c r="V148" s="137">
        <f ca="1">_xlfn.XLOOKUP(G148&amp;$V$2,BS_CONTROLE[CHAVE],BS_CONTROLE[Quantidade_11],"-")</f>
        <v>940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23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0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1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>
        <f ca="1">_xlfn.XLOOKUP(G157&amp;$V$2,BS_CONTROLE[CHAVE],BS_CONTROLE[Quantidade_11],"-")</f>
        <v>0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 t="str">
        <f ca="1">_xlfn.XLOOKUP(G167&amp;$U$2,BS_CONTROLE[CHAVE],BS_CONTROLE[Quantidade_11],"-")</f>
        <v>-</v>
      </c>
      <c r="V167" s="137">
        <f ca="1">_xlfn.XLOOKUP(G167&amp;$V$2,BS_CONTROLE[CHAVE],BS_CONTROLE[Quantidade_11],"-")</f>
        <v>0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>
        <f ca="1">_xlfn.XLOOKUP(G169&amp;$U$2,BS_CONTROLE[CHAVE],BS_CONTROLE[Quantidade_11],"-")</f>
        <v>0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1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1860</v>
      </c>
      <c r="V173" s="137">
        <f ca="1">_xlfn.XLOOKUP(G173&amp;$V$2,BS_CONTROLE[CHAVE],BS_CONTROLE[Quantidade_11],"-")</f>
        <v>1</v>
      </c>
      <c r="W173" s="137">
        <f ca="1">_xlfn.XLOOKUP(G173&amp;$W$2,BS_CONTROLE[CHAVE],BS_CONTROLE[Quantidade_11],"-")</f>
        <v>266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40</v>
      </c>
      <c r="V174" s="137">
        <f ca="1">_xlfn.XLOOKUP(G174&amp;$V$2,BS_CONTROLE[CHAVE],BS_CONTROLE[Quantidade_11],"-")</f>
        <v>82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0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>
        <f ca="1">_xlfn.XLOOKUP(G177&amp;$U$2,BS_CONTROLE[CHAVE],BS_CONTROLE[Quantidade_11],"-")</f>
        <v>312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312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23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940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1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0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0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0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>
        <f ca="1">_xlfn.XLOOKUP(G198&amp;$U$2,BS_CONTROLE[CHAVE],BS_CONTROLE[Quantidade_11],"-")</f>
        <v>0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>
        <f ca="1">_xlfn.XLOOKUP(G200&amp;$U$2,BS_CONTROLE[CHAVE],BS_CONTROLE[Quantidade_11],"-")</f>
        <v>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0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>
        <f ca="1">_xlfn.XLOOKUP(G202&amp;$U$2,BS_CONTROLE[CHAVE],BS_CONTROLE[Quantidade_11],"-")</f>
        <v>0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>
        <f ca="1">_xlfn.XLOOKUP(G203&amp;$U$2,BS_CONTROLE[CHAVE],BS_CONTROLE[Quantidade_11],"-")</f>
        <v>0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>
        <f ca="1">_xlfn.XLOOKUP(G206&amp;$U$2,BS_CONTROLE[CHAVE],BS_CONTROLE[Quantidade_11],"-")</f>
        <v>1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700</v>
      </c>
      <c r="V207" s="137">
        <f ca="1">_xlfn.XLOOKUP(G207&amp;$V$2,BS_CONTROLE[CHAVE],BS_CONTROLE[Quantidade_11],"-")</f>
        <v>1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1860</v>
      </c>
      <c r="V211" s="137">
        <f ca="1">_xlfn.XLOOKUP(G211&amp;$V$2,BS_CONTROLE[CHAVE],BS_CONTROLE[Quantidade_11],"-")</f>
        <v>1</v>
      </c>
      <c r="W211" s="137">
        <f ca="1">_xlfn.XLOOKUP(G211&amp;$W$2,BS_CONTROLE[CHAVE],BS_CONTROLE[Quantidade_11],"-")</f>
        <v>266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>
        <f ca="1">_xlfn.XLOOKUP(G212&amp;$V$2,BS_CONTROLE[CHAVE],BS_CONTROLE[Quantidade_11],"-")</f>
        <v>1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0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0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1</v>
      </c>
      <c r="V224" s="137">
        <f ca="1">_xlfn.XLOOKUP(G224&amp;$V$2,BS_CONTROLE[CHAVE],BS_CONTROLE[Quantidade_11],"-")</f>
        <v>0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23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940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0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700</v>
      </c>
      <c r="V242" s="137">
        <f ca="1">_xlfn.XLOOKUP(G242&amp;$V$2,BS_CONTROLE[CHAVE],BS_CONTROLE[Quantidade_11],"-")</f>
        <v>1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1860</v>
      </c>
      <c r="V245" s="137">
        <f ca="1">_xlfn.XLOOKUP(G245&amp;$V$2,BS_CONTROLE[CHAVE],BS_CONTROLE[Quantidade_11],"-")</f>
        <v>1</v>
      </c>
      <c r="W245" s="137">
        <f ca="1">_xlfn.XLOOKUP(G245&amp;$W$2,BS_CONTROLE[CHAVE],BS_CONTROLE[Quantidade_11],"-")</f>
        <v>266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>
        <f ca="1">_xlfn.XLOOKUP(G246&amp;$V$2,BS_CONTROLE[CHAVE],BS_CONTROLE[Quantidade_11],"-")</f>
        <v>0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>
        <f ca="1">_xlfn.XLOOKUP(G251&amp;$V$2,BS_CONTROLE[CHAVE],BS_CONTROLE[Quantidade_11],"-")</f>
        <v>1</v>
      </c>
      <c r="W251" s="137">
        <f ca="1">_xlfn.XLOOKUP(G251&amp;$W$2,BS_CONTROLE[CHAVE],BS_CONTROLE[Quantidade_11],"-")</f>
        <v>1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1860</v>
      </c>
      <c r="V252" s="137">
        <f ca="1">_xlfn.XLOOKUP(G252&amp;$V$2,BS_CONTROLE[CHAVE],BS_CONTROLE[Quantidade_11],"-")</f>
        <v>1</v>
      </c>
      <c r="W252" s="137">
        <f ca="1">_xlfn.XLOOKUP(G252&amp;$W$2,BS_CONTROLE[CHAVE],BS_CONTROLE[Quantidade_11],"-")</f>
        <v>266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>
        <f ca="1">_xlfn.XLOOKUP(G257&amp;$V$2,BS_CONTROLE[CHAVE],BS_CONTROLE[Quantidade_11],"-")</f>
        <v>312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23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1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1</v>
      </c>
      <c r="V261" s="137">
        <f ca="1">_xlfn.XLOOKUP(G261&amp;$V$2,BS_CONTROLE[CHAVE],BS_CONTROLE[Quantidade_11],"-")</f>
        <v>0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0</v>
      </c>
      <c r="V263" s="137">
        <f ca="1">_xlfn.XLOOKUP(G263&amp;$V$2,BS_CONTROLE[CHAVE],BS_CONTROLE[Quantidade_11],"-")</f>
        <v>940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40</v>
      </c>
      <c r="V267" s="137">
        <f ca="1">_xlfn.XLOOKUP(G267&amp;$V$2,BS_CONTROLE[CHAVE],BS_CONTROLE[Quantidade_11],"-")</f>
        <v>82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>
        <f ca="1">_xlfn.XLOOKUP(G270&amp;$V$2,BS_CONTROLE[CHAVE],BS_CONTROLE[Quantidade_11],"-")</f>
        <v>1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0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>
        <f ca="1">_xlfn.XLOOKUP(G273&amp;$V$2,BS_CONTROLE[CHAVE],BS_CONTROLE[Quantidade_11],"-")</f>
        <v>0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>
        <f ca="1">_xlfn.XLOOKUP(G275&amp;$V$2,BS_CONTROLE[CHAVE],BS_CONTROLE[Quantidade_11],"-")</f>
        <v>0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0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700</v>
      </c>
      <c r="V282" s="137">
        <f ca="1">_xlfn.XLOOKUP(G282&amp;$V$2,BS_CONTROLE[CHAVE],BS_CONTROLE[Quantidade_11],"-")</f>
        <v>1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1</v>
      </c>
      <c r="V283" s="137">
        <f ca="1">_xlfn.XLOOKUP(G283&amp;$V$2,BS_CONTROLE[CHAVE],BS_CONTROLE[Quantidade_11],"-")</f>
        <v>1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>
        <f ca="1">_xlfn.XLOOKUP(G284&amp;$V$2,BS_CONTROLE[CHAVE],BS_CONTROLE[Quantidade_11],"-")</f>
        <v>0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1860</v>
      </c>
      <c r="V286" s="137">
        <f ca="1">_xlfn.XLOOKUP(G286&amp;$V$2,BS_CONTROLE[CHAVE],BS_CONTROLE[Quantidade_11],"-")</f>
        <v>1</v>
      </c>
      <c r="W286" s="137">
        <f ca="1">_xlfn.XLOOKUP(G286&amp;$W$2,BS_CONTROLE[CHAVE],BS_CONTROLE[Quantidade_11],"-")</f>
        <v>266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>
        <f ca="1">_xlfn.XLOOKUP(G287&amp;$V$2,BS_CONTROLE[CHAVE],BS_CONTROLE[Quantidade_11],"-")</f>
        <v>1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>
        <f ca="1">_xlfn.XLOOKUP(G289&amp;$V$2,BS_CONTROLE[CHAVE],BS_CONTROLE[Quantidade_11],"-")</f>
        <v>0</v>
      </c>
      <c r="W289" s="137">
        <f ca="1">_xlfn.XLOOKUP(G289&amp;$W$2,BS_CONTROLE[CHAVE],BS_CONTROLE[Quantidade_11],"-")</f>
        <v>0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>
        <f ca="1">_xlfn.XLOOKUP(G292&amp;$U$2,BS_CONTROLE[CHAVE],BS_CONTROLE[Quantidade_11],"-")</f>
        <v>0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>
        <f ca="1">_xlfn.XLOOKUP(G293&amp;$U$2,BS_CONTROLE[CHAVE],BS_CONTROLE[Quantidade_11],"-")</f>
        <v>312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23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0</v>
      </c>
      <c r="V296" s="137">
        <f ca="1">_xlfn.XLOOKUP(G296&amp;$V$2,BS_CONTROLE[CHAVE],BS_CONTROLE[Quantidade_11],"-")</f>
        <v>1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940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>
        <f ca="1">_xlfn.XLOOKUP(G299&amp;$V$2,BS_CONTROLE[CHAVE],BS_CONTROLE[Quantidade_11],"-")</f>
        <v>0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40</v>
      </c>
      <c r="V300" s="137">
        <f ca="1">_xlfn.XLOOKUP(G300&amp;$V$2,BS_CONTROLE[CHAVE],BS_CONTROLE[Quantidade_11],"-")</f>
        <v>82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>
        <f ca="1">_xlfn.XLOOKUP(G301&amp;$U$2,BS_CONTROLE[CHAVE],BS_CONTROLE[Quantidade_11],"-")</f>
        <v>0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0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0</v>
      </c>
      <c r="V303" s="137">
        <f ca="1">_xlfn.XLOOKUP(G303&amp;$V$2,BS_CONTROLE[CHAVE],BS_CONTROLE[Quantidade_11],"-")</f>
        <v>0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0</v>
      </c>
      <c r="V304" s="137">
        <f ca="1">_xlfn.XLOOKUP(G304&amp;$V$2,BS_CONTROLE[CHAVE],BS_CONTROLE[Quantidade_11],"-")</f>
        <v>0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0</v>
      </c>
      <c r="V305" s="137">
        <f ca="1">_xlfn.XLOOKUP(G305&amp;$V$2,BS_CONTROLE[CHAVE],BS_CONTROLE[Quantidade_11],"-")</f>
        <v>0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>
        <f ca="1">_xlfn.XLOOKUP(G306&amp;$V$2,BS_CONTROLE[CHAVE],BS_CONTROLE[Quantidade_11],"-")</f>
        <v>0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1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>
        <f ca="1">_xlfn.XLOOKUP(G308&amp;$U$2,BS_CONTROLE[CHAVE],BS_CONTROLE[Quantidade_11],"-")</f>
        <v>0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>
        <f ca="1">_xlfn.XLOOKUP(G309&amp;$U$2,BS_CONTROLE[CHAVE],BS_CONTROLE[Quantidade_11],"-")</f>
        <v>0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>
        <f ca="1">_xlfn.XLOOKUP(G310&amp;$U$2,BS_CONTROLE[CHAVE],BS_CONTROLE[Quantidade_11],"-")</f>
        <v>0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>
        <f ca="1">_xlfn.XLOOKUP(G311&amp;$U$2,BS_CONTROLE[CHAVE],BS_CONTROLE[Quantidade_11],"-")</f>
        <v>0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>
        <f ca="1">_xlfn.XLOOKUP(G312&amp;$U$2,BS_CONTROLE[CHAVE],BS_CONTROLE[Quantidade_11],"-")</f>
        <v>0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>
        <f ca="1">_xlfn.XLOOKUP(G315&amp;$U$2,BS_CONTROLE[CHAVE],BS_CONTROLE[Quantidade_11],"-")</f>
        <v>1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>
        <f ca="1">_xlfn.XLOOKUP(G316&amp;$U$2,BS_CONTROLE[CHAVE],BS_CONTROLE[Quantidade_11],"-")</f>
        <v>700</v>
      </c>
      <c r="V316" s="137">
        <f ca="1">_xlfn.XLOOKUP(G316&amp;$V$2,BS_CONTROLE[CHAVE],BS_CONTROLE[Quantidade_11],"-")</f>
        <v>1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1860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1860</v>
      </c>
      <c r="V317" s="137">
        <f ca="1">_xlfn.XLOOKUP(G317&amp;$V$2,BS_CONTROLE[CHAVE],BS_CONTROLE[Quantidade_11],"-")</f>
        <v>1</v>
      </c>
      <c r="W317" s="137">
        <f ca="1">_xlfn.XLOOKUP(G317&amp;$W$2,BS_CONTROLE[CHAVE],BS_CONTROLE[Quantidade_11],"-")</f>
        <v>266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>
        <f ca="1">_xlfn.XLOOKUP(G319&amp;$U$2,BS_CONTROLE[CHAVE],BS_CONTROLE[Quantidade_11],"-")</f>
        <v>0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>
        <f ca="1">_xlfn.XLOOKUP(G320&amp;$U$2,BS_CONTROLE[CHAVE],BS_CONTROLE[Quantidade_11],"-")</f>
        <v>1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1</v>
      </c>
      <c r="V321" s="137">
        <f ca="1">_xlfn.XLOOKUP(G321&amp;$V$2,BS_CONTROLE[CHAVE],BS_CONTROLE[Quantidade_11],"-")</f>
        <v>1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>
        <f ca="1">_xlfn.XLOOKUP(G322&amp;$V$2,BS_CONTROLE[CHAVE],BS_CONTROLE[Quantidade_11],"-")</f>
        <v>1</v>
      </c>
      <c r="W322" s="137">
        <f ca="1">_xlfn.XLOOKUP(G322&amp;$W$2,BS_CONTROLE[CHAVE],BS_CONTROLE[Quantidade_11],"-")</f>
        <v>1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>
        <f ca="1">_xlfn.XLOOKUP(G323&amp;$V$2,BS_CONTROLE[CHAVE],BS_CONTROLE[Quantidade_11],"-")</f>
        <v>0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>
        <f ca="1">_xlfn.XLOOKUP(G325&amp;$U$2,BS_CONTROLE[CHAVE],BS_CONTROLE[Quantidade_11],"-")</f>
        <v>1</v>
      </c>
      <c r="V325" s="137">
        <f ca="1">_xlfn.XLOOKUP(G325&amp;$V$2,BS_CONTROLE[CHAVE],BS_CONTROLE[Quantidade_11],"-")</f>
        <v>0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>
        <f ca="1">_xlfn.XLOOKUP(G327&amp;$V$2,BS_CONTROLE[CHAVE],BS_CONTROLE[Quantidade_11],"-")</f>
        <v>0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312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OPORTUNIDADE</v>
      </c>
      <c r="B329" s="146" t="str">
        <f>IF(SP_SUL!X332="","*",SP_SUL!X332)</f>
        <v>Oportunidade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ZBV-ZRX</v>
      </c>
      <c r="F329" s="145">
        <f>IF(SP_SUL!B332="","*",SP_SUL!B332)</f>
        <v>46092</v>
      </c>
      <c r="G329" s="145" t="str">
        <f>IF(SP_SUL!D332="","*",SP_SUL!D332)</f>
        <v>V92</v>
      </c>
      <c r="H329" s="145" t="str">
        <f>IF(SP_SUL!F332="","*",SP_SUL!F332)</f>
        <v>MECANIZAÇÃO - SOCADORA</v>
      </c>
      <c r="I329" s="145" t="str">
        <f>IF(SP_SUL!H332="","*",SP_SUL!H332)</f>
        <v>ZAC-2</v>
      </c>
      <c r="J329" s="145" t="str">
        <f>IF(SP_SUL!I332="","*",SP_SUL!I332)</f>
        <v>ZAC-2</v>
      </c>
      <c r="K329" s="139" t="str">
        <f>IF(SP_SUL!M332="","*",SP_SUL!M332)</f>
        <v>ZAC-ZSW</v>
      </c>
      <c r="L329" s="139" t="str">
        <f>IF(SP_SUL!N332="","*",SP_SUL!N332)</f>
        <v>ZACZSW</v>
      </c>
      <c r="M329" s="140">
        <f>IF(SP_SUL!J332="","*",SP_SUL!J332)</f>
        <v>70</v>
      </c>
      <c r="N329" s="144">
        <f>IF(SP_SUL!K332="","*",SP_SUL!K332)</f>
        <v>86.5</v>
      </c>
      <c r="O329" s="144">
        <f>IF(SP_SUL!L332="","*",SP_SUL!L332)</f>
        <v>86.9</v>
      </c>
      <c r="P329" s="143">
        <f>IF(SP_SUL!O332="","*",SP_SUL!O332)</f>
        <v>0.375</v>
      </c>
      <c r="Q329" s="143">
        <f>IF(SP_SUL!P332="","*",SP_SUL!P332)</f>
        <v>8.3333333333333329E-2</v>
      </c>
      <c r="R329" s="145" t="str">
        <f>IF(SP_SUL!Q332="","*",CONCATENATE(SP_SUL!Q332," ",SP_SUL!R332))</f>
        <v>200 M</v>
      </c>
      <c r="S329" s="145" t="str">
        <f>IF(SP_SUL!V332="","*",SP_SUL!V332)</f>
        <v>Israel</v>
      </c>
      <c r="T329" s="145" t="str">
        <f>IF(SP_SUL!W332="","*",SP_SUL!W332)</f>
        <v>Socaria mecanizada</v>
      </c>
      <c r="U329" s="137">
        <f ca="1">_xlfn.XLOOKUP(G329&amp;$U$2,BS_CONTROLE[CHAVE],BS_CONTROLE[Quantidade_11],"-")</f>
        <v>0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>
        <f ca="1">_xlfn.XLOOKUP(G331&amp;$V$2,BS_CONTROLE[CHAVE],BS_CONTROLE[Quantidade_11],"-")</f>
        <v>0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0</v>
      </c>
      <c r="V332" s="137">
        <f ca="1">_xlfn.XLOOKUP(G332&amp;$V$2,BS_CONTROLE[CHAVE],BS_CONTROLE[Quantidade_11],"-")</f>
        <v>23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0</v>
      </c>
      <c r="V333" s="137">
        <f ca="1">_xlfn.XLOOKUP(G333&amp;$V$2,BS_CONTROLE[CHAVE],BS_CONTROLE[Quantidade_11],"-")</f>
        <v>1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0</v>
      </c>
    </row>
    <row r="335" spans="1:23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0</v>
      </c>
      <c r="V338" s="137">
        <f ca="1">_xlfn.XLOOKUP(G338&amp;$V$2,BS_CONTROLE[CHAVE],BS_CONTROLE[Quantidade_11],"-")</f>
        <v>0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0</v>
      </c>
      <c r="V339" s="137">
        <f ca="1">_xlfn.XLOOKUP(G339&amp;$V$2,BS_CONTROLE[CHAVE],BS_CONTROLE[Quantidade_11],"-")</f>
        <v>0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0</v>
      </c>
      <c r="V340" s="137">
        <f ca="1">_xlfn.XLOOKUP(G340&amp;$V$2,BS_CONTROLE[CHAVE],BS_CONTROLE[Quantidade_11],"-")</f>
        <v>0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 t="str">
        <f ca="1">_xlfn.XLOOKUP(G342&amp;$U$2,BS_CONTROLE[CHAVE],BS_CONTROLE[Quantidade_11],"-")</f>
        <v>-</v>
      </c>
      <c r="V342" s="137">
        <f ca="1">_xlfn.XLOOKUP(G342&amp;$V$2,BS_CONTROLE[CHAVE],BS_CONTROLE[Quantidade_11],"-")</f>
        <v>1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SIM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46092</v>
      </c>
      <c r="G343" s="145" t="str">
        <f>IF(SP_SUL!D346="","*",SP_SUL!D346)</f>
        <v>SUPER ZEM</v>
      </c>
      <c r="H343" s="145" t="str">
        <f>IF(SP_SUL!F346="","*",SP_SUL!F346)</f>
        <v>BLOCO</v>
      </c>
      <c r="I343" s="145" t="str">
        <f>IF(SP_SUL!H346="","*",SP_SUL!H346)</f>
        <v>-</v>
      </c>
      <c r="J343" s="145" t="str">
        <f>IF(SP_SUL!I346="","*",SP_SUL!I346)</f>
        <v>-</v>
      </c>
      <c r="K343" s="139" t="str">
        <f>IF(SP_SUL!M346="","*",SP_SUL!M346)</f>
        <v>ZYQ-ZEM</v>
      </c>
      <c r="L343" s="139" t="str">
        <f>IF(SP_SUL!N346="","*",SP_SUL!N346)</f>
        <v>130ZYQ2</v>
      </c>
      <c r="M343" s="140">
        <f>IF(SP_SUL!J346="","*",SP_SUL!J346)</f>
        <v>55</v>
      </c>
      <c r="N343" s="144">
        <f>IF(SP_SUL!K346="","*",SP_SUL!K346)</f>
        <v>127.676</v>
      </c>
      <c r="O343" s="144">
        <f>IF(SP_SUL!L346="","*",SP_SUL!L346)</f>
        <v>137.33199999999999</v>
      </c>
      <c r="P343" s="143">
        <f>IF(SP_SUL!O346="","*",SP_SUL!O346)</f>
        <v>0.41666666666666669</v>
      </c>
      <c r="Q343" s="143">
        <f>IF(SP_SUL!P346="","*",SP_SUL!P346)</f>
        <v>0.33333333333333331</v>
      </c>
      <c r="R343" s="145" t="str">
        <f>IF(SP_SUL!Q346="","*",CONCATENATE(SP_SUL!Q346," ",SP_SUL!R346))</f>
        <v>1 BINÁRIO</v>
      </c>
      <c r="S343" s="145" t="str">
        <f>IF(SP_SUL!V346="","*",SP_SUL!V346)</f>
        <v>Felipe</v>
      </c>
      <c r="T343" s="145" t="str">
        <f>IF(SP_SUL!W346="","*",SP_SUL!W346)</f>
        <v>Bloco - TP's Dormentes + Solda + V89</v>
      </c>
      <c r="U343" s="137">
        <f ca="1">_xlfn.XLOOKUP(G343&amp;$U$2,BS_CONTROLE[CHAVE],BS_CONTROLE[Quantidade_11],"-")</f>
        <v>0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IF(SP_SUL!Y347="","*",SP_SUL!Y347)</f>
        <v>OPORTUNIDADE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EDSON (TP-719)</v>
      </c>
      <c r="H344" s="145" t="str">
        <f>IF(SP_SUL!F347="","*",SP_SUL!F347)</f>
        <v>PDM - DESCARGA - DORMENTE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ZYQ-ZEM</v>
      </c>
      <c r="L344" s="139" t="str">
        <f>IF(SP_SUL!N347="","*",SP_SUL!N347)</f>
        <v>130ZYQ2</v>
      </c>
      <c r="M344" s="140">
        <f>IF(SP_SUL!J347="","*",SP_SUL!J347)</f>
        <v>55</v>
      </c>
      <c r="N344" s="144">
        <f>IF(SP_SUL!K347="","*",SP_SUL!K347)</f>
        <v>129</v>
      </c>
      <c r="O344" s="144" t="str">
        <f>IF(SP_SUL!L347="","*",SP_SUL!L347)</f>
        <v>-</v>
      </c>
      <c r="P344" s="143">
        <f>IF(SP_SUL!O347="","*",SP_SUL!O347)</f>
        <v>0.41666666666666669</v>
      </c>
      <c r="Q344" s="143">
        <f>IF(SP_SUL!P347="","*",SP_SUL!P347)</f>
        <v>0</v>
      </c>
      <c r="R344" s="145" t="str">
        <f>IF(SP_SUL!Q347="","*",CONCATENATE(SP_SUL!Q347," ",SP_SUL!R347))</f>
        <v>70 Nº DE DORMENTES</v>
      </c>
      <c r="S344" s="145" t="str">
        <f>IF(SP_SUL!V347="","*",SP_SUL!V347)</f>
        <v>Felipe</v>
      </c>
      <c r="T344" s="145" t="str">
        <f>IF(SP_SUL!W347="","*",SP_SUL!W347)</f>
        <v>PDM - Substituição de dormentes</v>
      </c>
      <c r="U344" s="137">
        <f ca="1">_xlfn.XLOOKUP(G344&amp;$U$2,BS_CONTROLE[CHAVE],BS_CONTROLE[Quantidade_11],"-")</f>
        <v>0</v>
      </c>
      <c r="V344" s="137">
        <f ca="1">_xlfn.XLOOKUP(G344&amp;$V$2,BS_CONTROLE[CHAVE],BS_CONTROLE[Quantidade_11],"-")</f>
        <v>0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IF(SP_SUL!Y348="","*",SP_SUL!Y348)</f>
        <v>OPORTUNIDADE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EDSON (TP-719)</v>
      </c>
      <c r="H345" s="145" t="str">
        <f>IF(SP_SUL!F348="","*",SP_SUL!F348)</f>
        <v>PDM - DESCARGA - DORMENTE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ZYQ-ZEM</v>
      </c>
      <c r="L345" s="139" t="str">
        <f>IF(SP_SUL!N348="","*",SP_SUL!N348)</f>
        <v>130ZYQ2</v>
      </c>
      <c r="M345" s="140">
        <f>IF(SP_SUL!J348="","*",SP_SUL!J348)</f>
        <v>55</v>
      </c>
      <c r="N345" s="144">
        <f>IF(SP_SUL!K348="","*",SP_SUL!K348)</f>
        <v>129</v>
      </c>
      <c r="O345" s="144" t="str">
        <f>IF(SP_SUL!L348="","*",SP_SUL!L348)</f>
        <v>-</v>
      </c>
      <c r="P345" s="143">
        <f>IF(SP_SUL!O348="","*",SP_SUL!O348)</f>
        <v>0.41666666666666669</v>
      </c>
      <c r="Q345" s="143">
        <f>IF(SP_SUL!P348="","*",SP_SUL!P348)</f>
        <v>0</v>
      </c>
      <c r="R345" s="145" t="str">
        <f>IF(SP_SUL!Q348="","*",CONCATENATE(SP_SUL!Q348," ",SP_SUL!R348))</f>
        <v>70 Nº DE DORMENTES</v>
      </c>
      <c r="S345" s="145" t="str">
        <f>IF(SP_SUL!V348="","*",SP_SUL!V348)</f>
        <v>Felipe</v>
      </c>
      <c r="T345" s="145" t="str">
        <f>IF(SP_SUL!W348="","*",SP_SUL!W348)</f>
        <v>PDM - Substituição de dormentes</v>
      </c>
      <c r="U345" s="137">
        <f ca="1">_xlfn.XLOOKUP(G345&amp;$U$2,BS_CONTROLE[CHAVE],BS_CONTROLE[Quantidade_11],"-")</f>
        <v>0</v>
      </c>
      <c r="V345" s="137">
        <f ca="1">_xlfn.XLOOKUP(G345&amp;$V$2,BS_CONTROLE[CHAVE],BS_CONTROLE[Quantidade_11],"-")</f>
        <v>0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CAIQUE (TP-869)</v>
      </c>
      <c r="H346" s="145" t="str">
        <f>IF(SP_SUL!F349="","*",SP_SUL!F349)</f>
        <v>MODERNIZAÇÃO - SOLDA</v>
      </c>
      <c r="I346" s="145" t="str">
        <f>IF(SP_SUL!H349="","*",SP_SUL!H349)</f>
        <v>-</v>
      </c>
      <c r="J346" s="145" t="str">
        <f>IF(SP_SUL!I349="","*",SP_SUL!I349)</f>
        <v>-</v>
      </c>
      <c r="K346" s="139" t="str">
        <f>IF(SP_SUL!M349="","*",SP_SUL!M349)</f>
        <v>ZEJ-ZEV</v>
      </c>
      <c r="L346" s="139">
        <f>IF(SP_SUL!N349="","*",SP_SUL!N349)</f>
        <v>1561551</v>
      </c>
      <c r="M346" s="140">
        <f>IF(SP_SUL!J349="","*",SP_SUL!J349)</f>
        <v>48</v>
      </c>
      <c r="N346" s="144">
        <f>IF(SP_SUL!K349="","*",SP_SUL!K349)</f>
        <v>155.61000000000001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0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ZKE-ZEV</v>
      </c>
      <c r="F347" s="145">
        <f>IF(SP_SUL!B350="","*",SP_SUL!B350)</f>
        <v>46092</v>
      </c>
      <c r="G347" s="145" t="str">
        <f>IF(SP_SUL!D350="","*",SP_SUL!D350)</f>
        <v>WALTER (TP-810)</v>
      </c>
      <c r="H347" s="145" t="str">
        <f>IF(SP_SUL!F350="","*",SP_SUL!F350)</f>
        <v>MODERNIZAÇÃO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ZEJ-ZEV</v>
      </c>
      <c r="L347" s="139">
        <f>IF(SP_SUL!N350="","*",SP_SUL!N350)</f>
        <v>1561551</v>
      </c>
      <c r="M347" s="140">
        <f>IF(SP_SUL!J350="","*",SP_SUL!J350)</f>
        <v>48</v>
      </c>
      <c r="N347" s="144">
        <f>IF(SP_SUL!K350="","*",SP_SUL!K350)</f>
        <v>155.691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>Alisson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>
        <f ca="1">_xlfn.XLOOKUP(G347&amp;$V$2,BS_CONTROLE[CHAVE],BS_CONTROLE[Quantidade_11],"-")</f>
        <v>0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ZKE-ZEV</v>
      </c>
      <c r="F348" s="145">
        <f>IF(SP_SUL!B351="","*",SP_SUL!B351)</f>
        <v>46092</v>
      </c>
      <c r="G348" s="145" t="str">
        <f>IF(SP_SUL!D351="","*",SP_SUL!D351)</f>
        <v>MATEUS (TP-809)</v>
      </c>
      <c r="H348" s="145" t="str">
        <f>IF(SP_SUL!F351="","*",SP_SUL!F351)</f>
        <v>MODERNIZAÇÃO - SOLDA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ZEJ-ZEV</v>
      </c>
      <c r="L348" s="139">
        <f>IF(SP_SUL!N351="","*",SP_SUL!N351)</f>
        <v>1571561</v>
      </c>
      <c r="M348" s="140">
        <f>IF(SP_SUL!J351="","*",SP_SUL!J351)</f>
        <v>48</v>
      </c>
      <c r="N348" s="144">
        <f>IF(SP_SUL!K351="","*",SP_SUL!K351)</f>
        <v>156.33199999999999</v>
      </c>
      <c r="O348" s="144" t="str">
        <f>IF(SP_SUL!L351="","*",SP_SUL!L351)</f>
        <v>-</v>
      </c>
      <c r="P348" s="143">
        <f>IF(SP_SUL!O351="","*",SP_SUL!O351)</f>
        <v>0.35416666666666669</v>
      </c>
      <c r="Q348" s="143">
        <f>IF(SP_SUL!P351="","*",SP_SUL!P351)</f>
        <v>6.25E-2</v>
      </c>
      <c r="R348" s="145" t="str">
        <f>IF(SP_SUL!Q351="","*",CONCATENATE(SP_SUL!Q351," ",SP_SUL!R351))</f>
        <v>1 Nº DE SOLDA</v>
      </c>
      <c r="S348" s="145" t="str">
        <f>IF(SP_SUL!V351="","*",SP_SUL!V351)</f>
        <v>Alisson</v>
      </c>
      <c r="T348" s="145" t="str">
        <f>IF(SP_SUL!W351="","*",SP_SUL!W351)</f>
        <v xml:space="preserve">Execução de solda - Condicionado a temperatura </v>
      </c>
      <c r="U348" s="137" t="str">
        <f ca="1">_xlfn.XLOOKUP(G348&amp;$U$2,BS_CONTROLE[CHAVE],BS_CONTROLE[Quantidade_11],"-")</f>
        <v>-</v>
      </c>
      <c r="V348" s="137">
        <f ca="1">_xlfn.XLOOKUP(G348&amp;$V$2,BS_CONTROLE[CHAVE],BS_CONTROLE[Quantidade_11],"-")</f>
        <v>0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A84</v>
      </c>
      <c r="H349" s="145" t="str">
        <f>IF(SP_SUL!F352="","*",SP_SUL!F352)</f>
        <v>DETECÇÃO - RONDA 7 DIAS</v>
      </c>
      <c r="I349" s="145" t="str">
        <f>IF(SP_SUL!H352="","*",SP_SUL!H352)</f>
        <v>ZEV-2</v>
      </c>
      <c r="J349" s="145" t="str">
        <f>IF(SP_SUL!I352="","*",SP_SUL!I352)</f>
        <v>ZPG2</v>
      </c>
      <c r="K349" s="139" t="str">
        <f>IF(SP_SUL!M352="","*",SP_SUL!M352)</f>
        <v>ZEV-ZPG</v>
      </c>
      <c r="L349" s="139" t="str">
        <f>IF(SP_SUL!N352="","*",SP_SUL!N352)</f>
        <v>ZEVZPG</v>
      </c>
      <c r="M349" s="140">
        <f>IF(SP_SUL!J352="","*",SP_SUL!J352)</f>
        <v>92</v>
      </c>
      <c r="N349" s="144">
        <f>IF(SP_SUL!K352="","*",SP_SUL!K352)</f>
        <v>65.3</v>
      </c>
      <c r="O349" s="144" t="str">
        <f>IF(SP_SUL!L352="","*",SP_SUL!L352)</f>
        <v>-</v>
      </c>
      <c r="P349" s="143">
        <f>IF(SP_SUL!O352="","*",SP_SUL!O352)</f>
        <v>0.3125</v>
      </c>
      <c r="Q349" s="143">
        <f>IF(SP_SUL!P352="","*",SP_SUL!P352)</f>
        <v>4.1666666666666664E-2</v>
      </c>
      <c r="R349" s="145" t="str">
        <f>IF(SP_SUL!Q352="","*",CONCATENATE(SP_SUL!Q352," ",SP_SUL!R352))</f>
        <v>60 KM</v>
      </c>
      <c r="S349" s="145" t="str">
        <f>IF(SP_SUL!V352="","*",SP_SUL!V352)</f>
        <v>Jhon</v>
      </c>
      <c r="T349" s="145" t="str">
        <f>IF(SP_SUL!W352="","*",SP_SUL!W352)</f>
        <v>R7D</v>
      </c>
      <c r="U349" s="137">
        <f ca="1">_xlfn.XLOOKUP(G349&amp;$U$2,BS_CONTROLE[CHAVE],BS_CONTROLE[Quantidade_11],"-")</f>
        <v>40</v>
      </c>
      <c r="V349" s="137">
        <f ca="1">_xlfn.XLOOKUP(G349&amp;$V$2,BS_CONTROLE[CHAVE],BS_CONTROLE[Quantidade_11],"-")</f>
        <v>82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JACIANO (TF-674)</v>
      </c>
      <c r="H350" s="145" t="str">
        <f>IF(SP_SUL!F353="","*",SP_SUL!F353)</f>
        <v>PDM - SUBSTITUIÇÃO - DORMENTE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ZEZ-069</v>
      </c>
      <c r="L350" s="139" t="str">
        <f>IF(SP_SUL!N353="","*",SP_SUL!N353)</f>
        <v>K73K722</v>
      </c>
      <c r="M350" s="140">
        <f>IF(SP_SUL!J353="","*",SP_SUL!J353)</f>
        <v>92</v>
      </c>
      <c r="N350" s="144">
        <f>IF(SP_SUL!K353="","*",SP_SUL!K353)</f>
        <v>72</v>
      </c>
      <c r="O350" s="144" t="str">
        <f>IF(SP_SUL!L353="","*",SP_SUL!L353)</f>
        <v>-</v>
      </c>
      <c r="P350" s="143">
        <f>IF(SP_SUL!O353="","*",SP_SUL!O353)</f>
        <v>0.41666666666666669</v>
      </c>
      <c r="Q350" s="143">
        <f>IF(SP_SUL!P353="","*",SP_SUL!P353)</f>
        <v>8.3333333333333329E-2</v>
      </c>
      <c r="R350" s="145" t="str">
        <f>IF(SP_SUL!Q353="","*",CONCATENATE(SP_SUL!Q353," ",SP_SUL!R353))</f>
        <v>30 Nº DE DORMENTES</v>
      </c>
      <c r="S350" s="145" t="str">
        <f>IF(SP_SUL!V353="","*",SP_SUL!V353)</f>
        <v>Moises</v>
      </c>
      <c r="T350" s="145" t="str">
        <f>IF(SP_SUL!W353="","*",SP_SUL!W353)</f>
        <v>PDM - Substituição de dormentes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MODERNIZAÇÃO TURMA 2</v>
      </c>
      <c r="H351" s="145" t="str">
        <f>IF(SP_SUL!F354="","*",SP_SUL!F354)</f>
        <v>MODERNIZAÇÃO - SOLDA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ZXW-ZEZ</v>
      </c>
      <c r="L351" s="139" t="str">
        <f>IF(SP_SUL!N354="","*",SP_SUL!N354)</f>
        <v>ZXWK792</v>
      </c>
      <c r="M351" s="140">
        <f>IF(SP_SUL!J354="","*",SP_SUL!J354)</f>
        <v>92</v>
      </c>
      <c r="N351" s="144">
        <f>IF(SP_SUL!K354="","*",SP_SUL!K354)</f>
        <v>80.040000000000006</v>
      </c>
      <c r="O351" s="144" t="str">
        <f>IF(SP_SUL!L354="","*",SP_SUL!L354)</f>
        <v>-</v>
      </c>
      <c r="P351" s="143">
        <f>IF(SP_SUL!O354="","*",SP_SUL!O354)</f>
        <v>0.34375</v>
      </c>
      <c r="Q351" s="143">
        <f>IF(SP_SUL!P354="","*",SP_SUL!P354)</f>
        <v>6.25E-2</v>
      </c>
      <c r="R351" s="145" t="str">
        <f>IF(SP_SUL!Q354="","*",CONCATENATE(SP_SUL!Q354," ",SP_SUL!R354))</f>
        <v>1 Nº DE SOLDA</v>
      </c>
      <c r="S351" s="145" t="str">
        <f>IF(SP_SUL!V354="","*",SP_SUL!V354)</f>
        <v>Augusto</v>
      </c>
      <c r="T351" s="145" t="str">
        <f>IF(SP_SUL!W354="","*",SP_SUL!W354)</f>
        <v xml:space="preserve">Execução de solda - Condicionado a temperatura </v>
      </c>
      <c r="U351" s="137">
        <f ca="1">_xlfn.XLOOKUP(G351&amp;$U$2,BS_CONTROLE[CHAVE],BS_CONTROLE[Quantidade_11],"-")</f>
        <v>1</v>
      </c>
      <c r="V351" s="137">
        <f ca="1">_xlfn.XLOOKUP(G351&amp;$V$2,BS_CONTROLE[CHAVE],BS_CONTROLE[Quantidade_11],"-")</f>
        <v>0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CARLOS (TP-722)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ZXW</v>
      </c>
      <c r="L352" s="139" t="str">
        <f>IF(SP_SUL!N355="","*",SP_SUL!N355)</f>
        <v>ZXW2</v>
      </c>
      <c r="M352" s="140">
        <f>IF(SP_SUL!J355="","*",SP_SUL!J355)</f>
        <v>92</v>
      </c>
      <c r="N352" s="144">
        <f>IF(SP_SUL!K355="","*",SP_SUL!K355)</f>
        <v>82</v>
      </c>
      <c r="O352" s="144" t="str">
        <f>IF(SP_SUL!L355="","*",SP_SUL!L355)</f>
        <v>-</v>
      </c>
      <c r="P352" s="143">
        <f>IF(SP_SUL!O355="","*",SP_SUL!O355)</f>
        <v>0.41666666666666669</v>
      </c>
      <c r="Q352" s="143">
        <f>IF(SP_SUL!P355="","*",SP_SUL!P355)</f>
        <v>8.3333333333333329E-2</v>
      </c>
      <c r="R352" s="145" t="str">
        <f>IF(SP_SUL!Q355="","*",CONCATENATE(SP_SUL!Q355," ",SP_SUL!R355))</f>
        <v>30 Nº DE DORMENTES</v>
      </c>
      <c r="S352" s="145" t="str">
        <f>IF(SP_SUL!V355="","*",SP_SUL!V355)</f>
        <v>Moises</v>
      </c>
      <c r="T352" s="145" t="str">
        <f>IF(SP_SUL!W355="","*",SP_SUL!W355)</f>
        <v>PDM - Substituição de dormentes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0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EXPANSÃO TURMA 1</v>
      </c>
      <c r="H353" s="145" t="str">
        <f>IF(SP_SUL!F356="","*",SP_SUL!F356)</f>
        <v>EXPANSÃO - SOLDA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1121111</v>
      </c>
      <c r="M353" s="140">
        <f>IF(SP_SUL!J356="","*",SP_SUL!J356)</f>
        <v>30</v>
      </c>
      <c r="N353" s="144">
        <f>IF(SP_SUL!K356="","*",SP_SUL!K356)</f>
        <v>111.5</v>
      </c>
      <c r="O353" s="144">
        <f>IF(SP_SUL!L356="","*",SP_SUL!L356)</f>
        <v>112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1 Nº DE SOLDA</v>
      </c>
      <c r="S353" s="145" t="str">
        <f>IF(SP_SUL!V356="","*",SP_SUL!V356)</f>
        <v>Pedro</v>
      </c>
      <c r="T353" s="145" t="str">
        <f>IF(SP_SUL!W356="","*",SP_SUL!W356)</f>
        <v xml:space="preserve">Execução de solda - Condicionado a temperatura </v>
      </c>
      <c r="U353" s="137" t="str">
        <f ca="1">_xlfn.XLOOKUP(G353&amp;$U$2,BS_CONTROLE[CHAVE],BS_CONTROLE[Quantidade_11],"-")</f>
        <v>-</v>
      </c>
      <c r="V353" s="137">
        <f ca="1">_xlfn.XLOOKUP(G353&amp;$V$2,BS_CONTROLE[CHAVE],BS_CONTROLE[Quantidade_11],"-")</f>
        <v>0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ZEV-ZPT</v>
      </c>
      <c r="F354" s="145">
        <f>IF(SP_SUL!B357="","*",SP_SUL!B357)</f>
        <v>46092</v>
      </c>
      <c r="G354" s="145" t="str">
        <f>IF(SP_SUL!D357="","*",SP_SUL!D357)</f>
        <v>DIEGO (TF-42)</v>
      </c>
      <c r="H354" s="145" t="str">
        <f>IF(SP_SUL!F357="","*",SP_SUL!F357)</f>
        <v>LIMPEZA LASTRO</v>
      </c>
      <c r="I354" s="145" t="str">
        <f>IF(SP_SUL!H357="","*",SP_SUL!H357)</f>
        <v>-</v>
      </c>
      <c r="J354" s="145" t="str">
        <f>IF(SP_SUL!I357="","*",SP_SUL!I357)</f>
        <v>-</v>
      </c>
      <c r="K354" s="139" t="str">
        <f>IF(SP_SUL!M357="","*",SP_SUL!M357)</f>
        <v>ZGM-109</v>
      </c>
      <c r="L354" s="139">
        <f>IF(SP_SUL!N357="","*",SP_SUL!N357)</f>
        <v>1131121</v>
      </c>
      <c r="M354" s="140">
        <f>IF(SP_SUL!J357="","*",SP_SUL!J357)</f>
        <v>30</v>
      </c>
      <c r="N354" s="144">
        <f>IF(SP_SUL!K357="","*",SP_SUL!K357)</f>
        <v>113</v>
      </c>
      <c r="O354" s="144" t="str">
        <f>IF(SP_SUL!L357="","*",SP_SUL!L357)</f>
        <v>-</v>
      </c>
      <c r="P354" s="143">
        <f>IF(SP_SUL!O357="","*",SP_SUL!O357)</f>
        <v>0.41666666666666669</v>
      </c>
      <c r="Q354" s="143">
        <f>IF(SP_SUL!P357="","*",SP_SUL!P357)</f>
        <v>6.25E-2</v>
      </c>
      <c r="R354" s="145" t="str">
        <f>IF(SP_SUL!Q357="","*",CONCATENATE(SP_SUL!Q357," ",SP_SUL!R357))</f>
        <v>30 M</v>
      </c>
      <c r="S354" s="145" t="str">
        <f>IF(SP_SUL!V357="","*",SP_SUL!V357)</f>
        <v>Moises</v>
      </c>
      <c r="T354" s="145" t="str">
        <f>IF(SP_SUL!W357="","*",SP_SUL!W357)</f>
        <v>Limpeza de lastro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*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ZEV-ZPT</v>
      </c>
      <c r="F355" s="145">
        <f>IF(SP_SUL!B358="","*",SP_SUL!B358)</f>
        <v>46092</v>
      </c>
      <c r="G355" s="145" t="str">
        <f>IF(SP_SUL!D358="","*",SP_SUL!D358)</f>
        <v>V85</v>
      </c>
      <c r="H355" s="145" t="str">
        <f>IF(SP_SUL!F358="","*",SP_SUL!F358)</f>
        <v>DESLOCAMENTO</v>
      </c>
      <c r="I355" s="145" t="str">
        <f>IF(SP_SUL!H358="","*",SP_SUL!H358)</f>
        <v>ZEV-2</v>
      </c>
      <c r="J355" s="145" t="str">
        <f>IF(SP_SUL!I358="","*",SP_SUL!I358)</f>
        <v>ZPTZDR</v>
      </c>
      <c r="K355" s="139" t="str">
        <f>IF(SP_SUL!M358="","*",SP_SUL!M358)</f>
        <v>ZEV-ZPT</v>
      </c>
      <c r="L355" s="139" t="str">
        <f>IF(SP_SUL!N358="","*",SP_SUL!N358)</f>
        <v>ZEVZPT</v>
      </c>
      <c r="M355" s="140">
        <f>IF(SP_SUL!J358="","*",SP_SUL!J358)</f>
        <v>92</v>
      </c>
      <c r="N355" s="144">
        <f>IF(SP_SUL!K358="","*",SP_SUL!K358)</f>
        <v>66</v>
      </c>
      <c r="O355" s="144" t="str">
        <f>IF(SP_SUL!L358="","*",SP_SUL!L358)</f>
        <v>-</v>
      </c>
      <c r="P355" s="143">
        <f>IF(SP_SUL!O358="","*",SP_SUL!O358)</f>
        <v>0.375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Saulo</v>
      </c>
      <c r="T355" s="145" t="str">
        <f>IF(SP_SUL!W358="","*",SP_SUL!W358)</f>
        <v>Deslocamento</v>
      </c>
      <c r="U355" s="137">
        <f ca="1">_xlfn.XLOOKUP(G355&amp;$U$2,BS_CONTROLE[CHAVE],BS_CONTROLE[Quantidade_11],"-")</f>
        <v>1860</v>
      </c>
      <c r="V355" s="137">
        <f ca="1">_xlfn.XLOOKUP(G355&amp;$V$2,BS_CONTROLE[CHAVE],BS_CONTROLE[Quantidade_11],"-")</f>
        <v>1</v>
      </c>
      <c r="W355" s="137">
        <f ca="1">_xlfn.XLOOKUP(G355&amp;$W$2,BS_CONTROLE[CHAVE],BS_CONTROLE[Quantidade_11],"-")</f>
        <v>266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>
        <f>IF(SP_SUL!B360="","*",SP_SUL!B360)</f>
        <v>46093</v>
      </c>
      <c r="G357" s="145" t="str">
        <f>IF(SP_SUL!D360="","*",SP_SUL!D360)</f>
        <v>KLECIO (TP-699)</v>
      </c>
      <c r="H357" s="145" t="str">
        <f>IF(SP_SUL!F360="","*",SP_SUL!F360)</f>
        <v>PDM - SOLDA</v>
      </c>
      <c r="I357" s="145" t="str">
        <f>IF(SP_SUL!H360="","*",SP_SUL!H360)</f>
        <v>-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0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>
        <f ca="1">_xlfn.XLOOKUP(G533&amp;$V$2,BS_CONTROLE[CHAVE],BS_CONTROLE[Quantidade_11],"-")</f>
        <v>0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0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5" t="s">
        <v>1564</v>
      </c>
      <c r="D5" s="236"/>
      <c r="E5" s="236"/>
      <c r="F5" s="236"/>
      <c r="G5" s="236"/>
      <c r="H5" s="236"/>
      <c r="I5" s="236"/>
      <c r="J5" s="237"/>
      <c r="K5" s="238" t="s">
        <v>1565</v>
      </c>
      <c r="L5" s="239"/>
      <c r="M5" s="239"/>
      <c r="N5" s="239"/>
      <c r="O5" s="240" t="s">
        <v>1566</v>
      </c>
      <c r="P5" s="241"/>
    </row>
    <row r="6" spans="1:16" s="74" customFormat="1" ht="15" customHeight="1">
      <c r="A6" s="66" t="s">
        <v>1562</v>
      </c>
      <c r="B6" s="75" t="s">
        <v>1561</v>
      </c>
      <c r="C6" s="76" t="s">
        <v>961</v>
      </c>
      <c r="D6" s="77" t="s">
        <v>962</v>
      </c>
      <c r="E6" s="76" t="s">
        <v>1567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1568</v>
      </c>
      <c r="M6" s="80" t="s">
        <v>576</v>
      </c>
      <c r="N6" s="81" t="s">
        <v>956</v>
      </c>
      <c r="O6" s="158" t="s">
        <v>999</v>
      </c>
      <c r="P6" s="133" t="s">
        <v>1569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>
        <f>IF(SP_SUL!BH330="","*",SP_SUL!BH330)</f>
        <v>0</v>
      </c>
      <c r="P330" s="147" t="str">
        <f>IF($A$2=1,IF(SP_SUL!BJ330="","*",SP_SUL!BJ330),IF(SP_SUL!BK330="","*",SP_SUL!BK330))</f>
        <v>Cancelado / Condições climáticas (chuva)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>
        <f>IF(SP_SUL!B332="","*",SP_SUL!B332)</f>
        <v>46092</v>
      </c>
      <c r="B332" s="83" t="str">
        <f>IF(SP_SUL!X332="","*",SP_SUL!X332)</f>
        <v>Oportunidade</v>
      </c>
      <c r="C332" s="83" t="str">
        <f>IF(SP_SUL!S332="","*",SP_SUL!S332)</f>
        <v>SP SUL</v>
      </c>
      <c r="D332" s="83" t="str">
        <f>IF(SP_SUL!T332="","*",SP_SUL!T332)</f>
        <v>ZBV-ZRX</v>
      </c>
      <c r="E332" s="83" t="str">
        <f>IF(SP_SUL!D332="","*",SP_SUL!D332)</f>
        <v>V92</v>
      </c>
      <c r="F332" s="83" t="str">
        <f>IF(SP_SUL!H332="","*",SP_SUL!H332)</f>
        <v>ZAC-2</v>
      </c>
      <c r="G332" s="83" t="str">
        <f>IF(SP_SUL!M332="","*",SP_SUL!M332)</f>
        <v>ZAC-ZSW</v>
      </c>
      <c r="H332" s="116">
        <f>IF(SP_SUL!K332="","*",SP_SUL!K332)</f>
        <v>86.5</v>
      </c>
      <c r="I332" s="113">
        <f>IF(SP_SUL!O332="","*",SP_SUL!O332)</f>
        <v>0.375</v>
      </c>
      <c r="J332" s="113">
        <f>IF(SP_SUL!P332="","*",SP_SUL!P332)</f>
        <v>8.3333333333333329E-2</v>
      </c>
      <c r="K332" s="83" t="str">
        <f>IF(SP_SUL!AK332="","*",SP_SUL!AK332)</f>
        <v>ZAC-2</v>
      </c>
      <c r="L332" s="83" t="str">
        <f>IF(SP_SUL!AM332="","*",SP_SUL!AM332)</f>
        <v>ZAC-ZSW</v>
      </c>
      <c r="M332" s="83">
        <f>IF(SP_SUL!AP332="","*",SP_SUL!AP332)</f>
        <v>86.5</v>
      </c>
      <c r="N332" s="83" t="str">
        <f>IF(SP_SUL!AM332="","*",SP_SUL!AM332)</f>
        <v>ZAC-ZSW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>
        <f>IF(SP_SUL!BH333="","*",SP_SUL!BH333)</f>
        <v>0</v>
      </c>
      <c r="P333" s="147" t="str">
        <f>IF($A$2=1,IF(SP_SUL!BJ333="","*",SP_SUL!BJ333),IF(SP_SUL!BK333="","*",SP_SUL!BK333))</f>
        <v>TP pronto 10h24 / Sem oportunidade de faixa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 t="str">
        <f>IF(SP_SUL!BH334="","*",SP_SUL!BH334)</f>
        <v>*</v>
      </c>
      <c r="P334" s="147" t="str">
        <f>IF($A$2=1,IF(SP_SUL!BJ334="","*",SP_SUL!BJ334),IF(SP_SUL!BK334="","*",SP_SUL!BK334))</f>
        <v>TP pronto 09h49 / devido condições climáticas (forte chuva) sem possibilidade de  realizar intervalo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>
        <f>IF(SP_SUL!BH335="","*",SP_SUL!BH335)</f>
        <v>0</v>
      </c>
      <c r="P335" s="147" t="str">
        <f>IF($A$2=1,IF(SP_SUL!BJ335="","*",SP_SUL!BJ335),IF(SP_SUL!BK335="","*",SP_SUL!BK335))</f>
        <v>TP pronto 09h49 / porém forte chuvas no local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>
        <f>IF(SP_SUL!BH336="","*",SP_SUL!BH336)</f>
        <v>0</v>
      </c>
      <c r="P336" s="147" t="str">
        <f>IF($A$2=1,IF(SP_SUL!BJ336="","*",SP_SUL!BJ336),IF(SP_SUL!BK336="","*",SP_SUL!BK336))</f>
        <v>MC1 10h33 / Sem oportunidade de faixa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>
        <f>IF(SP_SUL!BH337="","*",SP_SUL!BH337)</f>
        <v>0</v>
      </c>
      <c r="P337" s="147" t="str">
        <f>IF($A$2=1,IF(SP_SUL!BJ337="","*",SP_SUL!BJ337),IF(SP_SUL!BK337="","*",SP_SUL!BK337))</f>
        <v>Cancelado / Condições climáticas (chuva)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>
        <f>IF(SP_SUL!BH338="","*",SP_SUL!BH338)</f>
        <v>0</v>
      </c>
      <c r="P338" s="147" t="str">
        <f>IF($A$2=1,IF(SP_SUL!BJ338="","*",SP_SUL!BJ338),IF(SP_SUL!BK338="","*",SP_SUL!BK338))</f>
        <v>Cancelado / Condições climáticas (chuva)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>
        <f>IF(SP_SUL!BH339="","*",SP_SUL!BH339)</f>
        <v>1</v>
      </c>
      <c r="P339" s="147" t="str">
        <f>IF($A$2=1,IF(SP_SUL!BJ339="","*",SP_SUL!BJ339),IF(SP_SUL!BK339="","*",SP_SUL!BK339))</f>
        <v>*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>
        <f>IF(SP_SUL!BH340="","*",SP_SUL!BH340)</f>
        <v>0</v>
      </c>
      <c r="P340" s="147" t="str">
        <f>IF($A$2=1,IF(SP_SUL!BJ340="","*",SP_SUL!BJ340),IF(SP_SUL!BK340="","*",SP_SUL!BK340))</f>
        <v>Sem acesso no local, devido chuva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>
        <f>IF(SP_SUL!BH341="","*",SP_SUL!BH341)</f>
        <v>1</v>
      </c>
      <c r="P341" s="147" t="str">
        <f>IF($A$2=1,IF(SP_SUL!BJ341="","*",SP_SUL!BJ341),IF(SP_SUL!BK341="","*",SP_SUL!BK341))</f>
        <v>*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>
        <f>IF(SP_SUL!BH342="","*",SP_SUL!BH342)</f>
        <v>1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>
        <f>IF(SP_SUL!BH343="","*",SP_SUL!BH343)</f>
        <v>1</v>
      </c>
      <c r="P343" s="147" t="str">
        <f>IF($A$2=1,IF(SP_SUL!BJ343="","*",SP_SUL!BJ343),IF(SP_SUL!BK343="","*",SP_SUL!BK343))</f>
        <v>*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>
        <f>IF(SP_SUL!BH344="","*",SP_SUL!BH344)</f>
        <v>1</v>
      </c>
      <c r="P344" s="147" t="str">
        <f>IF($A$2=1,IF(SP_SUL!BJ344="","*",SP_SUL!BJ344),IF(SP_SUL!BK344="","*",SP_SUL!BK344))</f>
        <v>*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ZEJ-ZEV</v>
      </c>
      <c r="M345" s="83">
        <f>IF(SP_SUL!AP345="","*",SP_SUL!AP345)</f>
        <v>156</v>
      </c>
      <c r="N345" s="83" t="str">
        <f>IF(SP_SUL!AM345="","*",SP_SUL!AM345)</f>
        <v>ZEJ-ZEV</v>
      </c>
      <c r="O345" s="110">
        <f>IF(SP_SUL!BH345="","*",SP_SUL!BH345)</f>
        <v>1</v>
      </c>
      <c r="P345" s="147" t="str">
        <f>IF($A$2=1,IF(SP_SUL!BJ345="","*",SP_SUL!BJ345),IF(SP_SUL!BK345="","*",SP_SUL!BK345))</f>
        <v>*</v>
      </c>
    </row>
    <row r="346" spans="1:16">
      <c r="A346" s="82">
        <f>IF(SP_SUL!B346="","*",SP_SUL!B346)</f>
        <v>46092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SUPER ZEM</v>
      </c>
      <c r="F346" s="83" t="str">
        <f>IF(SP_SUL!H346="","*",SP_SUL!H346)</f>
        <v>-</v>
      </c>
      <c r="G346" s="83" t="str">
        <f>IF(SP_SUL!M346="","*",SP_SUL!M346)</f>
        <v>ZYQ-ZEM</v>
      </c>
      <c r="H346" s="116">
        <f>IF(SP_SUL!K346="","*",SP_SUL!K346)</f>
        <v>127.676</v>
      </c>
      <c r="I346" s="113">
        <f>IF(SP_SUL!O346="","*",SP_SUL!O346)</f>
        <v>0.41666666666666669</v>
      </c>
      <c r="J346" s="113">
        <f>IF(SP_SUL!P346="","*",SP_SUL!P346)</f>
        <v>0.33333333333333331</v>
      </c>
      <c r="K346" s="83" t="str">
        <f>IF(SP_SUL!AK346="","*",SP_SUL!AK346)</f>
        <v>-</v>
      </c>
      <c r="L346" s="83" t="str">
        <f>IF(SP_SUL!AM346="","*",SP_SUL!AM346)</f>
        <v>ZYQ-ZEM</v>
      </c>
      <c r="M346" s="83">
        <f>IF(SP_SUL!AP346="","*",SP_SUL!AP346)</f>
        <v>127.676</v>
      </c>
      <c r="N346" s="83" t="str">
        <f>IF(SP_SUL!AM346="","*",SP_SUL!AM346)</f>
        <v>ZYQ-ZEM</v>
      </c>
      <c r="O346" s="110">
        <f>IF(SP_SUL!BH346="","*",SP_SUL!BH346)</f>
        <v>1</v>
      </c>
      <c r="P346" s="147" t="str">
        <f>IF($A$2=1,IF(SP_SUL!BJ346="","*",SP_SUL!BJ346),IF(SP_SUL!BK346="","*",SP_SUL!BK346))</f>
        <v>*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EDSON (TP-719)</v>
      </c>
      <c r="F347" s="83" t="str">
        <f>IF(SP_SUL!H347="","*",SP_SUL!H347)</f>
        <v>*</v>
      </c>
      <c r="G347" s="83" t="str">
        <f>IF(SP_SUL!M347="","*",SP_SUL!M347)</f>
        <v>ZYQ-ZEM</v>
      </c>
      <c r="H347" s="116">
        <f>IF(SP_SUL!K347="","*",SP_SUL!K347)</f>
        <v>129</v>
      </c>
      <c r="I347" s="113">
        <f>IF(SP_SUL!O347="","*",SP_SUL!O347)</f>
        <v>0.41666666666666669</v>
      </c>
      <c r="J347" s="113">
        <f>IF(SP_SUL!P347="","*",SP_SUL!P347)</f>
        <v>0</v>
      </c>
      <c r="K347" s="83">
        <f>IF(SP_SUL!AK347="","*",SP_SUL!AK347)</f>
        <v>0</v>
      </c>
      <c r="L347" s="83" t="str">
        <f>IF(SP_SUL!AM347="","*",SP_SUL!AM347)</f>
        <v>ZYQ-ZEM</v>
      </c>
      <c r="M347" s="83">
        <f>IF(SP_SUL!AP347="","*",SP_SUL!AP347)</f>
        <v>129</v>
      </c>
      <c r="N347" s="83" t="str">
        <f>IF(SP_SUL!AM347="","*",SP_SUL!AM347)</f>
        <v>ZYQ-ZEM</v>
      </c>
      <c r="O347" s="110">
        <f>IF(SP_SUL!BH347="","*",SP_SUL!BH347)</f>
        <v>1</v>
      </c>
      <c r="P347" s="147" t="str">
        <f>IF($A$2=1,IF(SP_SUL!BJ347="","*",SP_SUL!BJ347),IF(SP_SUL!BK347="","*",SP_SUL!BK347))</f>
        <v>*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EDSON (TP-719)</v>
      </c>
      <c r="F348" s="83" t="str">
        <f>IF(SP_SUL!H348="","*",SP_SUL!H348)</f>
        <v>*</v>
      </c>
      <c r="G348" s="83" t="str">
        <f>IF(SP_SUL!M348="","*",SP_SUL!M348)</f>
        <v>ZYQ-ZEM</v>
      </c>
      <c r="H348" s="116">
        <f>IF(SP_SUL!K348="","*",SP_SUL!K348)</f>
        <v>129</v>
      </c>
      <c r="I348" s="113">
        <f>IF(SP_SUL!O348="","*",SP_SUL!O348)</f>
        <v>0.41666666666666669</v>
      </c>
      <c r="J348" s="113">
        <f>IF(SP_SUL!P348="","*",SP_SUL!P348)</f>
        <v>0</v>
      </c>
      <c r="K348" s="83">
        <f>IF(SP_SUL!AK348="","*",SP_SUL!AK348)</f>
        <v>0</v>
      </c>
      <c r="L348" s="83" t="str">
        <f>IF(SP_SUL!AM348="","*",SP_SUL!AM348)</f>
        <v>ZYQ-ZEM</v>
      </c>
      <c r="M348" s="83">
        <f>IF(SP_SUL!AP348="","*",SP_SUL!AP348)</f>
        <v>129</v>
      </c>
      <c r="N348" s="83" t="str">
        <f>IF(SP_SUL!AM348="","*",SP_SUL!AM348)</f>
        <v>ZYQ-ZEM</v>
      </c>
      <c r="O348" s="110">
        <f>IF(SP_SUL!BH348="","*",SP_SUL!BH348)</f>
        <v>1</v>
      </c>
      <c r="P348" s="147" t="str">
        <f>IF($A$2=1,IF(SP_SUL!BJ348="","*",SP_SUL!BJ348),IF(SP_SUL!BK348="","*",SP_SUL!BK348))</f>
        <v>*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CAIQUE (TP-869)</v>
      </c>
      <c r="F349" s="83" t="str">
        <f>IF(SP_SUL!H349="","*",SP_SUL!H349)</f>
        <v>-</v>
      </c>
      <c r="G349" s="83" t="str">
        <f>IF(SP_SUL!M349="","*",SP_SUL!M349)</f>
        <v>ZEJ-ZEV</v>
      </c>
      <c r="H349" s="116">
        <f>IF(SP_SUL!K349="","*",SP_SUL!K349)</f>
        <v>155.61000000000001</v>
      </c>
      <c r="I349" s="113">
        <f>IF(SP_SUL!O349="","*",SP_SUL!O349)</f>
        <v>0.35416666666666669</v>
      </c>
      <c r="J349" s="113">
        <f>IF(SP_SUL!P349="","*",SP_SUL!P349)</f>
        <v>6.25E-2</v>
      </c>
      <c r="K349" s="83" t="str">
        <f>IF(SP_SUL!AK349="","*",SP_SUL!AK349)</f>
        <v>-</v>
      </c>
      <c r="L349" s="83" t="str">
        <f>IF(SP_SUL!AM349="","*",SP_SUL!AM349)</f>
        <v>ZEJ-ZEV</v>
      </c>
      <c r="M349" s="83">
        <f>IF(SP_SUL!AP349="","*",SP_SUL!AP349)</f>
        <v>155.61000000000001</v>
      </c>
      <c r="N349" s="83" t="str">
        <f>IF(SP_SUL!AM349="","*",SP_SUL!AM349)</f>
        <v>ZEJ-ZEV</v>
      </c>
      <c r="O349" s="110">
        <f>IF(SP_SUL!BH349="","*",SP_SUL!BH349)</f>
        <v>0</v>
      </c>
      <c r="P349" s="147" t="str">
        <f>IF($A$2=1,IF(SP_SUL!BJ349="","*",SP_SUL!BJ349),IF(SP_SUL!BK349="","*",SP_SUL!BK349))</f>
        <v>Cancelado / Condições climáticas (chuva)</v>
      </c>
    </row>
    <row r="350" spans="1:16">
      <c r="A350" s="82">
        <f>IF(SP_SUL!B350="","*",SP_SUL!B350)</f>
        <v>46092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ZKE-ZEV</v>
      </c>
      <c r="E350" s="83" t="str">
        <f>IF(SP_SUL!D350="","*",SP_SUL!D350)</f>
        <v>WALTER (TP-810)</v>
      </c>
      <c r="F350" s="83" t="str">
        <f>IF(SP_SUL!H350="","*",SP_SUL!H350)</f>
        <v>-</v>
      </c>
      <c r="G350" s="83" t="str">
        <f>IF(SP_SUL!M350="","*",SP_SUL!M350)</f>
        <v>ZEJ-ZEV</v>
      </c>
      <c r="H350" s="116">
        <f>IF(SP_SUL!K350="","*",SP_SUL!K350)</f>
        <v>155.691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ZEJ-ZEV</v>
      </c>
      <c r="M350" s="83">
        <f>IF(SP_SUL!AP350="","*",SP_SUL!AP350)</f>
        <v>155.691</v>
      </c>
      <c r="N350" s="83" t="str">
        <f>IF(SP_SUL!AM350="","*",SP_SUL!AM350)</f>
        <v>ZEJ-ZEV</v>
      </c>
      <c r="O350" s="110">
        <f>IF(SP_SUL!BH350="","*",SP_SUL!BH350)</f>
        <v>0</v>
      </c>
      <c r="P350" s="147" t="str">
        <f>IF($A$2=1,IF(SP_SUL!BJ350="","*",SP_SUL!BJ350),IF(SP_SUL!BK350="","*",SP_SUL!BK350))</f>
        <v>Cancelado / Condições climáticas (chuva)</v>
      </c>
    </row>
    <row r="351" spans="1:16">
      <c r="A351" s="82">
        <f>IF(SP_SUL!B351="","*",SP_SUL!B351)</f>
        <v>46092</v>
      </c>
      <c r="B351" s="83" t="str">
        <f>IF(SP_SUL!X351="","*",SP_SUL!X351)</f>
        <v>*</v>
      </c>
      <c r="C351" s="83" t="str">
        <f>IF(SP_SUL!S351="","*",SP_SUL!S351)</f>
        <v>SP SUL</v>
      </c>
      <c r="D351" s="83" t="str">
        <f>IF(SP_SUL!T351="","*",SP_SUL!T351)</f>
        <v>ZKE-ZEV</v>
      </c>
      <c r="E351" s="83" t="str">
        <f>IF(SP_SUL!D351="","*",SP_SUL!D351)</f>
        <v>MATEUS (TP-809)</v>
      </c>
      <c r="F351" s="83" t="str">
        <f>IF(SP_SUL!H351="","*",SP_SUL!H351)</f>
        <v>*</v>
      </c>
      <c r="G351" s="83" t="str">
        <f>IF(SP_SUL!M351="","*",SP_SUL!M351)</f>
        <v>ZEJ-ZEV</v>
      </c>
      <c r="H351" s="116">
        <f>IF(SP_SUL!K351="","*",SP_SUL!K351)</f>
        <v>156.33199999999999</v>
      </c>
      <c r="I351" s="113">
        <f>IF(SP_SUL!O351="","*",SP_SUL!O351)</f>
        <v>0.35416666666666669</v>
      </c>
      <c r="J351" s="113">
        <f>IF(SP_SUL!P351="","*",SP_SUL!P351)</f>
        <v>6.25E-2</v>
      </c>
      <c r="K351" s="83">
        <f>IF(SP_SUL!AK351="","*",SP_SUL!AK351)</f>
        <v>0</v>
      </c>
      <c r="L351" s="83" t="str">
        <f>IF(SP_SUL!AM351="","*",SP_SUL!AM351)</f>
        <v>ZEJ-ZEV</v>
      </c>
      <c r="M351" s="83">
        <f>IF(SP_SUL!AP351="","*",SP_SUL!AP351)</f>
        <v>156.33199999999999</v>
      </c>
      <c r="N351" s="83" t="str">
        <f>IF(SP_SUL!AM351="","*",SP_SUL!AM351)</f>
        <v>ZEJ-ZEV</v>
      </c>
      <c r="O351" s="110">
        <f>IF(SP_SUL!BH351="","*",SP_SUL!BH351)</f>
        <v>0</v>
      </c>
      <c r="P351" s="147" t="str">
        <f>IF($A$2=1,IF(SP_SUL!BJ351="","*",SP_SUL!BJ351),IF(SP_SUL!BK351="","*",SP_SUL!BK351))</f>
        <v>Cancelado / Condições climáticas (chuva)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A84</v>
      </c>
      <c r="F352" s="83" t="str">
        <f>IF(SP_SUL!H352="","*",SP_SUL!H352)</f>
        <v>ZEV-2</v>
      </c>
      <c r="G352" s="83" t="str">
        <f>IF(SP_SUL!M352="","*",SP_SUL!M352)</f>
        <v>ZEV-ZPG</v>
      </c>
      <c r="H352" s="116">
        <f>IF(SP_SUL!K352="","*",SP_SUL!K352)</f>
        <v>65.3</v>
      </c>
      <c r="I352" s="113">
        <f>IF(SP_SUL!O352="","*",SP_SUL!O352)</f>
        <v>0.3125</v>
      </c>
      <c r="J352" s="113">
        <f>IF(SP_SUL!P352="","*",SP_SUL!P352)</f>
        <v>4.1666666666666664E-2</v>
      </c>
      <c r="K352" s="83" t="str">
        <f>IF(SP_SUL!AK352="","*",SP_SUL!AK352)</f>
        <v>ZEV-2</v>
      </c>
      <c r="L352" s="83" t="str">
        <f>IF(SP_SUL!AM352="","*",SP_SUL!AM352)</f>
        <v>ZEV-ZPG</v>
      </c>
      <c r="M352" s="83">
        <f>IF(SP_SUL!AP352="","*",SP_SUL!AP352)</f>
        <v>65.3</v>
      </c>
      <c r="N352" s="83" t="str">
        <f>IF(SP_SUL!AM352="","*",SP_SUL!AM352)</f>
        <v>ZEV-ZPG</v>
      </c>
      <c r="O352" s="110">
        <f>IF(SP_SUL!BH352="","*",SP_SUL!BH352)</f>
        <v>1</v>
      </c>
      <c r="P352" s="147" t="str">
        <f>IF($A$2=1,IF(SP_SUL!BJ352="","*",SP_SUL!BJ352),IF(SP_SUL!BK352="","*",SP_SUL!BK352))</f>
        <v>*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JACIANO (TF-674)</v>
      </c>
      <c r="F353" s="83" t="str">
        <f>IF(SP_SUL!H353="","*",SP_SUL!H353)</f>
        <v>-</v>
      </c>
      <c r="G353" s="83" t="str">
        <f>IF(SP_SUL!M353="","*",SP_SUL!M353)</f>
        <v>ZEZ-069</v>
      </c>
      <c r="H353" s="116">
        <f>IF(SP_SUL!K353="","*",SP_SUL!K353)</f>
        <v>72</v>
      </c>
      <c r="I353" s="113">
        <f>IF(SP_SUL!O353="","*",SP_SUL!O353)</f>
        <v>0.41666666666666669</v>
      </c>
      <c r="J353" s="113">
        <f>IF(SP_SUL!P353="","*",SP_SUL!P353)</f>
        <v>8.3333333333333329E-2</v>
      </c>
      <c r="K353" s="83" t="str">
        <f>IF(SP_SUL!AK353="","*",SP_SUL!AK353)</f>
        <v>-</v>
      </c>
      <c r="L353" s="83" t="str">
        <f>IF(SP_SUL!AM353="","*",SP_SUL!AM353)</f>
        <v>ZEZ-069</v>
      </c>
      <c r="M353" s="83">
        <f>IF(SP_SUL!AP353="","*",SP_SUL!AP353)</f>
        <v>72</v>
      </c>
      <c r="N353" s="83" t="str">
        <f>IF(SP_SUL!AM353="","*",SP_SUL!AM353)</f>
        <v>ZEZ-069</v>
      </c>
      <c r="O353" s="110" t="str">
        <f>IF(SP_SUL!BH353="","*",SP_SUL!BH353)</f>
        <v>*</v>
      </c>
      <c r="P353" s="147" t="str">
        <f>IF($A$2=1,IF(SP_SUL!BJ353="","*",SP_SUL!BJ353),IF(SP_SUL!BK353="","*",SP_SUL!BK353))</f>
        <v>Cancelado / Condições climáticas (chuva)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MODERNIZAÇÃO TURMA 2</v>
      </c>
      <c r="F354" s="83" t="str">
        <f>IF(SP_SUL!H354="","*",SP_SUL!H354)</f>
        <v>-</v>
      </c>
      <c r="G354" s="83" t="str">
        <f>IF(SP_SUL!M354="","*",SP_SUL!M354)</f>
        <v>ZXW-ZEZ</v>
      </c>
      <c r="H354" s="116">
        <f>IF(SP_SUL!K354="","*",SP_SUL!K354)</f>
        <v>80.040000000000006</v>
      </c>
      <c r="I354" s="113">
        <f>IF(SP_SUL!O354="","*",SP_SUL!O354)</f>
        <v>0.34375</v>
      </c>
      <c r="J354" s="113">
        <f>IF(SP_SUL!P354="","*",SP_SUL!P354)</f>
        <v>6.25E-2</v>
      </c>
      <c r="K354" s="83" t="str">
        <f>IF(SP_SUL!AK354="","*",SP_SUL!AK354)</f>
        <v>-</v>
      </c>
      <c r="L354" s="83" t="str">
        <f>IF(SP_SUL!AM354="","*",SP_SUL!AM354)</f>
        <v>ZXW-ZEZ</v>
      </c>
      <c r="M354" s="83">
        <f>IF(SP_SUL!AP354="","*",SP_SUL!AP354)</f>
        <v>80.040000000000006</v>
      </c>
      <c r="N354" s="83" t="str">
        <f>IF(SP_SUL!AM354="","*",SP_SUL!AM354)</f>
        <v>ZXW-ZEZ</v>
      </c>
      <c r="O354" s="110">
        <f>IF(SP_SUL!BH354="","*",SP_SUL!BH354)</f>
        <v>0</v>
      </c>
      <c r="P354" s="147" t="str">
        <f>IF($A$2=1,IF(SP_SUL!BJ354="","*",SP_SUL!BJ354),IF(SP_SUL!BK354="","*",SP_SUL!BK354))</f>
        <v>*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CARLOS (TP-722)</v>
      </c>
      <c r="F355" s="83" t="str">
        <f>IF(SP_SUL!H355="","*",SP_SUL!H355)</f>
        <v>-</v>
      </c>
      <c r="G355" s="83" t="str">
        <f>IF(SP_SUL!M355="","*",SP_SUL!M355)</f>
        <v>ZXW</v>
      </c>
      <c r="H355" s="116">
        <f>IF(SP_SUL!K355="","*",SP_SUL!K355)</f>
        <v>82</v>
      </c>
      <c r="I355" s="113">
        <f>IF(SP_SUL!O355="","*",SP_SUL!O355)</f>
        <v>0.41666666666666669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ZXW</v>
      </c>
      <c r="M355" s="83">
        <f>IF(SP_SUL!AP355="","*",SP_SUL!AP355)</f>
        <v>82</v>
      </c>
      <c r="N355" s="83" t="str">
        <f>IF(SP_SUL!AM355="","*",SP_SUL!AM355)</f>
        <v>ZXW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EXPANSÃO TURMA 1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111.5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111.5</v>
      </c>
      <c r="N356" s="83" t="str">
        <f>IF(SP_SUL!AM356="","*",SP_SUL!AM356)</f>
        <v>ZGM-109</v>
      </c>
      <c r="O356" s="110">
        <f>IF(SP_SUL!BH356="","*",SP_SUL!BH356)</f>
        <v>0</v>
      </c>
      <c r="P356" s="147" t="str">
        <f>IF($A$2=1,IF(SP_SUL!BJ356="","*",SP_SUL!BJ356),IF(SP_SUL!BK356="","*",SP_SUL!BK356))</f>
        <v>Cancelado / Condições climáticas (chuva)</v>
      </c>
    </row>
    <row r="357" spans="1:16">
      <c r="A357" s="82">
        <f>IF(SP_SUL!B357="","*",SP_SUL!B357)</f>
        <v>46092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ZEV-ZPT</v>
      </c>
      <c r="E357" s="83" t="str">
        <f>IF(SP_SUL!D357="","*",SP_SUL!D357)</f>
        <v>DIEGO (TF-42)</v>
      </c>
      <c r="F357" s="83" t="str">
        <f>IF(SP_SUL!H357="","*",SP_SUL!H357)</f>
        <v>-</v>
      </c>
      <c r="G357" s="83" t="str">
        <f>IF(SP_SUL!M357="","*",SP_SUL!M357)</f>
        <v>ZGM-109</v>
      </c>
      <c r="H357" s="116">
        <f>IF(SP_SUL!K357="","*",SP_SUL!K357)</f>
        <v>113</v>
      </c>
      <c r="I357" s="113">
        <f>IF(SP_SUL!O357="","*",SP_SUL!O357)</f>
        <v>0.41666666666666669</v>
      </c>
      <c r="J357" s="113">
        <f>IF(SP_SUL!P357="","*",SP_SUL!P357)</f>
        <v>6.25E-2</v>
      </c>
      <c r="K357" s="83" t="str">
        <f>IF(SP_SUL!AK357="","*",SP_SUL!AK357)</f>
        <v>-</v>
      </c>
      <c r="L357" s="83" t="str">
        <f>IF(SP_SUL!AM357="","*",SP_SUL!AM357)</f>
        <v>ZGM-109</v>
      </c>
      <c r="M357" s="83">
        <f>IF(SP_SUL!AP357="","*",SP_SUL!AP357)</f>
        <v>113</v>
      </c>
      <c r="N357" s="83" t="str">
        <f>IF(SP_SUL!AM357="","*",SP_SUL!AM357)</f>
        <v>ZGM-109</v>
      </c>
      <c r="O357" s="110">
        <f>IF(SP_SUL!BH357="","*",SP_SUL!BH357)</f>
        <v>1</v>
      </c>
      <c r="P357" s="147" t="str">
        <f>IF($A$2=1,IF(SP_SUL!BJ357="","*",SP_SUL!BJ357),IF(SP_SUL!BK357="","*",SP_SUL!BK357))</f>
        <v>*</v>
      </c>
    </row>
    <row r="358" spans="1:16">
      <c r="A358" s="82">
        <f>IF(SP_SUL!B358="","*",SP_SUL!B358)</f>
        <v>46092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ZEV-ZPT</v>
      </c>
      <c r="E358" s="83" t="str">
        <f>IF(SP_SUL!D358="","*",SP_SUL!D358)</f>
        <v>V85</v>
      </c>
      <c r="F358" s="83" t="str">
        <f>IF(SP_SUL!H358="","*",SP_SUL!H358)</f>
        <v>ZEV-2</v>
      </c>
      <c r="G358" s="83" t="str">
        <f>IF(SP_SUL!M358="","*",SP_SUL!M358)</f>
        <v>ZEV-ZPT</v>
      </c>
      <c r="H358" s="116">
        <f>IF(SP_SUL!K358="","*",SP_SUL!K358)</f>
        <v>66</v>
      </c>
      <c r="I358" s="113">
        <f>IF(SP_SUL!O358="","*",SP_SUL!O358)</f>
        <v>0.375</v>
      </c>
      <c r="J358" s="113">
        <f>IF(SP_SUL!P358="","*",SP_SUL!P358)</f>
        <v>4.1666666666666664E-2</v>
      </c>
      <c r="K358" s="83" t="str">
        <f>IF(SP_SUL!AK358="","*",SP_SUL!AK358)</f>
        <v>ZEV-2</v>
      </c>
      <c r="L358" s="83" t="str">
        <f>IF(SP_SUL!AM358="","*",SP_SUL!AM358)</f>
        <v>ZEV-ZPT</v>
      </c>
      <c r="M358" s="83">
        <f>IF(SP_SUL!AP358="","*",SP_SUL!AP358)</f>
        <v>66</v>
      </c>
      <c r="N358" s="83" t="str">
        <f>IF(SP_SUL!AM358="","*",SP_SUL!AM358)</f>
        <v>ZEV-ZPT</v>
      </c>
      <c r="O358" s="110">
        <f>IF(SP_SUL!BH358="","*",SP_SUL!BH358)</f>
        <v>1</v>
      </c>
      <c r="P358" s="147" t="str">
        <f>IF($A$2=1,IF(SP_SUL!BJ358="","*",SP_SUL!BJ358),IF(SP_SUL!BK358="","*",SP_SUL!BK358))</f>
        <v>Em deslocamento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>
        <f>IF(SP_SUL!B360="","*",SP_SUL!B360)</f>
        <v>46093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KLECIO (TP-699)</v>
      </c>
      <c r="F360" s="83" t="str">
        <f>IF(SP_SUL!H360="","*",SP_SUL!H360)</f>
        <v>-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 t="str">
        <f>IF(SP_SUL!AK360="","*",SP_SUL!AK360)</f>
        <v>-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2026-03-11T16:28:05Z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