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450" documentId="8_{B6337239-1A00-434D-AAD0-422EA1FEB5AE}" xr6:coauthVersionLast="47" xr6:coauthVersionMax="47" xr10:uidLastSave="{BCE9378F-C222-409C-AC5C-2FA160D4A18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70" i="1" l="1" a="1"/>
  <c r="M470" i="1"/>
  <c r="N470" i="1" a="1"/>
  <c r="N470" i="1"/>
  <c r="M471" i="1" a="1"/>
  <c r="M471" i="1"/>
  <c r="N471" i="1" a="1"/>
  <c r="N471" i="1"/>
  <c r="M472" i="1" a="1"/>
  <c r="M472" i="1"/>
  <c r="N472" i="1" a="1"/>
  <c r="N472" i="1"/>
  <c r="M473" i="1" a="1"/>
  <c r="M473" i="1"/>
  <c r="N473" i="1" a="1"/>
  <c r="N473" i="1"/>
  <c r="B447" i="12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AM469" i="1"/>
  <c r="AN469" i="1"/>
  <c r="AM470" i="1"/>
  <c r="AN470" i="1"/>
  <c r="AM471" i="1"/>
  <c r="AN471" i="1"/>
  <c r="AM472" i="1"/>
  <c r="AN472" i="1"/>
  <c r="AM473" i="1"/>
  <c r="AN473" i="1"/>
  <c r="AM474" i="1"/>
  <c r="AN474" i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 s="1"/>
  <c r="N353" i="1" a="1"/>
  <c r="N353" i="1"/>
  <c r="L350" i="12" s="1"/>
  <c r="M355" i="1" a="1"/>
  <c r="M355" i="1" s="1"/>
  <c r="N355" i="1" a="1"/>
  <c r="N355" i="1" s="1"/>
  <c r="M356" i="1" a="1"/>
  <c r="M356" i="1"/>
  <c r="K353" i="12" s="1"/>
  <c r="N356" i="1" a="1"/>
  <c r="N356" i="1" s="1"/>
  <c r="M357" i="1" a="1"/>
  <c r="M357" i="1" s="1"/>
  <c r="N357" i="1" a="1"/>
  <c r="N357" i="1"/>
  <c r="L354" i="12" s="1"/>
  <c r="M358" i="1" a="1"/>
  <c r="M358" i="1" s="1"/>
  <c r="N358" i="1" a="1"/>
  <c r="N358" i="1" s="1"/>
  <c r="M359" i="1" a="1"/>
  <c r="M359" i="1"/>
  <c r="K356" i="12" s="1"/>
  <c r="N359" i="1" a="1"/>
  <c r="N359" i="1" s="1"/>
  <c r="M361" i="1" a="1"/>
  <c r="M361" i="1" s="1"/>
  <c r="N361" i="1" a="1"/>
  <c r="N361" i="1"/>
  <c r="L358" i="12" s="1"/>
  <c r="M362" i="1" a="1"/>
  <c r="M362" i="1" s="1"/>
  <c r="N362" i="1" a="1"/>
  <c r="N362" i="1" s="1"/>
  <c r="M364" i="1" a="1"/>
  <c r="M364" i="1"/>
  <c r="K361" i="12" s="1"/>
  <c r="N364" i="1" a="1"/>
  <c r="N364" i="1" s="1"/>
  <c r="M365" i="1" a="1"/>
  <c r="M365" i="1" s="1"/>
  <c r="N365" i="1" a="1"/>
  <c r="N365" i="1"/>
  <c r="L362" i="12" s="1"/>
  <c r="M367" i="1" a="1"/>
  <c r="M367" i="1" s="1"/>
  <c r="N367" i="1" a="1"/>
  <c r="N367" i="1" s="1"/>
  <c r="M368" i="1" a="1"/>
  <c r="M368" i="1"/>
  <c r="K365" i="12" s="1"/>
  <c r="N368" i="1" a="1"/>
  <c r="N368" i="1" s="1"/>
  <c r="M369" i="1" a="1"/>
  <c r="M369" i="1" s="1"/>
  <c r="N369" i="1" a="1"/>
  <c r="N369" i="1"/>
  <c r="L366" i="12" s="1"/>
  <c r="M370" i="1" a="1"/>
  <c r="M370" i="1" s="1"/>
  <c r="N370" i="1" a="1"/>
  <c r="N370" i="1" s="1"/>
  <c r="M371" i="1" a="1"/>
  <c r="M371" i="1"/>
  <c r="K368" i="12" s="1"/>
  <c r="N371" i="1" a="1"/>
  <c r="N371" i="1" s="1"/>
  <c r="M372" i="1" a="1"/>
  <c r="M372" i="1" s="1"/>
  <c r="N372" i="1" a="1"/>
  <c r="N372" i="1"/>
  <c r="L369" i="12" s="1"/>
  <c r="M373" i="1" a="1"/>
  <c r="M373" i="1" s="1"/>
  <c r="N373" i="1" a="1"/>
  <c r="N373" i="1" s="1"/>
  <c r="M374" i="1" a="1"/>
  <c r="M374" i="1"/>
  <c r="K371" i="12" s="1"/>
  <c r="N374" i="1" a="1"/>
  <c r="N374" i="1" s="1"/>
  <c r="M375" i="1" a="1"/>
  <c r="M375" i="1" s="1"/>
  <c r="N375" i="1" a="1"/>
  <c r="N375" i="1"/>
  <c r="L372" i="12" s="1"/>
  <c r="M377" i="1" a="1"/>
  <c r="M377" i="1" s="1"/>
  <c r="M378" i="1" a="1"/>
  <c r="M378" i="1" s="1"/>
  <c r="N378" i="1" a="1"/>
  <c r="N378" i="1"/>
  <c r="L375" i="12" s="1"/>
  <c r="M379" i="1" a="1"/>
  <c r="M379" i="1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N382" i="1" a="1"/>
  <c r="N382" i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/>
  <c r="L397" i="12" s="1"/>
  <c r="M402" i="1" a="1"/>
  <c r="M402" i="1" s="1"/>
  <c r="K399" i="12" s="1"/>
  <c r="N402" i="1" a="1"/>
  <c r="N402" i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 s="1"/>
  <c r="E219" i="12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D222" i="1" a="1"/>
  <c r="BD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D223" i="1" a="1"/>
  <c r="BD223" i="1" s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M33" i="1" a="1"/>
  <c r="M33" i="1" s="1"/>
  <c r="N33" i="1" a="1"/>
  <c r="N33" i="1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B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D350" i="1" a="1"/>
  <c r="BD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D353" i="1" a="1"/>
  <c r="BD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AJ355" i="1"/>
  <c r="AK355" i="1"/>
  <c r="AL355" i="1"/>
  <c r="AO355" i="1"/>
  <c r="BE355" i="1" s="1"/>
  <c r="AP355" i="1"/>
  <c r="AQ355" i="1"/>
  <c r="BB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AJ358" i="1"/>
  <c r="AK358" i="1"/>
  <c r="AL358" i="1"/>
  <c r="AO358" i="1"/>
  <c r="AP358" i="1"/>
  <c r="AQ358" i="1"/>
  <c r="BB358" i="1"/>
  <c r="BC358" i="1" a="1"/>
  <c r="BC358" i="1" s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B360" i="1"/>
  <c r="BC360" i="1" a="1"/>
  <c r="BC360" i="1" s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D361" i="1" a="1"/>
  <c r="BD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O362" i="1"/>
  <c r="BE362" i="1" s="1"/>
  <c r="AP362" i="1"/>
  <c r="AQ362" i="1"/>
  <c r="BB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AJ365" i="1"/>
  <c r="AK365" i="1"/>
  <c r="AL365" i="1"/>
  <c r="AN365" i="1"/>
  <c r="AO365" i="1"/>
  <c r="BE365" i="1" s="1"/>
  <c r="AP365" i="1"/>
  <c r="AQ365" i="1"/>
  <c r="BB365" i="1"/>
  <c r="BC365" i="1" a="1"/>
  <c r="BC365" i="1" s="1"/>
  <c r="BD365" i="1" a="1"/>
  <c r="BD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AP367" i="1"/>
  <c r="AQ367" i="1"/>
  <c r="BB367" i="1"/>
  <c r="BC367" i="1" a="1"/>
  <c r="BC367" i="1" s="1"/>
  <c r="BD367" i="1" a="1"/>
  <c r="BD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D369" i="1" a="1"/>
  <c r="BD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O370" i="1"/>
  <c r="BE370" i="1" s="1"/>
  <c r="AP370" i="1"/>
  <c r="AQ370" i="1"/>
  <c r="BB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AJ372" i="1"/>
  <c r="AK372" i="1"/>
  <c r="AL372" i="1"/>
  <c r="AN372" i="1"/>
  <c r="AO372" i="1"/>
  <c r="BD372" i="1" s="1" a="1"/>
  <c r="BD372" i="1" s="1"/>
  <c r="AP372" i="1"/>
  <c r="AQ372" i="1"/>
  <c r="BB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392" i="12" l="1"/>
  <c r="AM395" i="1"/>
  <c r="K376" i="12"/>
  <c r="AM379" i="1"/>
  <c r="K375" i="12"/>
  <c r="AM378" i="1"/>
  <c r="K370" i="12"/>
  <c r="AM373" i="1"/>
  <c r="K369" i="12"/>
  <c r="AM372" i="1"/>
  <c r="L365" i="12"/>
  <c r="AN368" i="1"/>
  <c r="L364" i="12"/>
  <c r="AN367" i="1"/>
  <c r="K359" i="12"/>
  <c r="AM362" i="1"/>
  <c r="K358" i="12"/>
  <c r="AM361" i="1"/>
  <c r="L353" i="12"/>
  <c r="AN356" i="1"/>
  <c r="L352" i="12"/>
  <c r="AN355" i="1"/>
  <c r="K379" i="12"/>
  <c r="AM382" i="1"/>
  <c r="K374" i="12"/>
  <c r="AM377" i="1"/>
  <c r="K372" i="12"/>
  <c r="AM375" i="1"/>
  <c r="L368" i="12"/>
  <c r="AN371" i="1"/>
  <c r="L367" i="12"/>
  <c r="AN370" i="1"/>
  <c r="K364" i="12"/>
  <c r="AM367" i="1"/>
  <c r="K362" i="12"/>
  <c r="AM365" i="1"/>
  <c r="L356" i="12"/>
  <c r="AN359" i="1"/>
  <c r="L355" i="12"/>
  <c r="AN358" i="1"/>
  <c r="K352" i="12"/>
  <c r="AM355" i="1"/>
  <c r="K350" i="12"/>
  <c r="AM353" i="1"/>
  <c r="K46" i="12"/>
  <c r="AM49" i="1"/>
  <c r="L371" i="12"/>
  <c r="AN374" i="1"/>
  <c r="L370" i="12"/>
  <c r="AN373" i="1"/>
  <c r="K367" i="12"/>
  <c r="AM370" i="1"/>
  <c r="K366" i="12"/>
  <c r="AM369" i="1"/>
  <c r="L361" i="12"/>
  <c r="AN364" i="1"/>
  <c r="L359" i="12"/>
  <c r="AN362" i="1"/>
  <c r="K355" i="12"/>
  <c r="AM358" i="1"/>
  <c r="K354" i="12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L30" i="12"/>
  <c r="AN33" i="1"/>
  <c r="K38" i="12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<sst xmlns="http://schemas.openxmlformats.org/spreadsheetml/2006/main" count="8016" uniqueCount="1972">
  <si>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</si>
  <si>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</si>
  <si>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</si>
  <si>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</si>
  <si>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</si>
  <si>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</si>
  <si>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</si>
  <si>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</si>
  <si>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</si>
  <si>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</si>
  <si>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</si>
  <si>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</si>
  <si>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</si>
  <si>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</si>
  <si>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</si>
  <si>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</si>
  <si>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</si>
  <si>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</si>
  <si>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</si>
  <si>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</si>
  <si>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</si>
  <si>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</si>
  <si>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</si>
  <si>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</si>
  <si>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</si>
  <si>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</si>
  <si>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</si>
  <si>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</si>
  <si>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</si>
  <si>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</si>
  <si>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</si>
  <si>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</si>
  <si>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</si>
  <si>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</si>
  <si>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</si>
  <si>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</si>
  <si>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</si>
  <si>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</si>
  <si>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</si>
  <si>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</si>
  <si>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</si>
  <si>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</si>
  <si>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</si>
  <si>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</si>
  <si>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</si>
  <si>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</si>
  <si>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</si>
  <si>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</si>
  <si>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</si>
  <si>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</si>
  <si>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</si>
  <si>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</si>
  <si>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</si>
  <si>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</si>
  <si>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</si>
  <si>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</si>
  <si>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</si>
  <si>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</si>
  <si>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</si>
  <si>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</si>
  <si>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</si>
  <si>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</si>
  <si>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</si>
  <si>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</si>
  <si>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</si>
  <si>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</si>
  <si>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</si>
  <si>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</si>
  <si>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</si>
  <si>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</si>
  <si>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</si>
  <si>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</si>
  <si>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</si>
  <si>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</si>
  <si>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</si>
  <si>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</si>
  <si>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</si>
  <si>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</si>
  <si>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</si>
  <si>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</si>
  <si>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</si>
  <si>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</si>
  <si>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</si>
  <si>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</si>
  <si>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</si>
  <si>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</si>
  <si>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</si>
  <si>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</si>
  <si>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</si>
  <si>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</si>
  <si>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</si>
  <si>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</si>
  <si>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</si>
  <si>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</si>
  <si>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</si>
  <si>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</si>
  <si>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</si>
  <si>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</si>
  <si>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</si>
  <si>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</si>
  <si>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</si>
  <si>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</si>
  <si>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</si>
  <si>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</si>
  <si>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</si>
  <si>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</si>
  <si>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</si>
  <si>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</si>
  <si>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</si>
  <si>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</si>
  <si>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</si>
  <si>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</si>
  <si>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</si>
  <si>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</si>
  <si>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</si>
  <si>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</si>
  <si>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</si>
  <si>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</si>
  <si>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</si>
  <si>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</si>
  <si>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</si>
  <si>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</si>
  <si>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</si>
  <si>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</si>
  <si>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</si>
  <si>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</si>
  <si>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</si>
  <si>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</si>
  <si>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</si>
  <si>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</si>
  <si>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</si>
  <si>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</si>
  <si>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</si>
  <si>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</si>
  <si>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</si>
  <si>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</si>
  <si>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</si>
  <si>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</si>
  <si>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</si>
  <si>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</si>
  <si>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</si>
  <si>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</si>
  <si>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</si>
  <si>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</si>
  <si>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</si>
  <si>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</si>
  <si>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</si>
  <si>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</si>
  <si>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</si>
  <si>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</si>
  <si>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</si>
  <si>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</si>
  <si>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</si>
  <si>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</si>
  <si>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</si>
  <si>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</si>
  <si>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</si>
  <si>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</si>
  <si>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</si>
  <si>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</si>
  <si>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</si>
  <si>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</si>
  <si>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</si>
  <si>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</si>
  <si>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</si>
  <si>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</si>
  <si>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</si>
  <si>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</si>
  <si>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</si>
  <si>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</si>
  <si>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</si>
  <si>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</si>
  <si>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</si>
  <si>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</si>
  <si>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</si>
  <si>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</si>
  <si>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</si>
  <si>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</si>
  <si>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</si>
  <si>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</si>
  <si>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</si>
  <si>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</si>
  <si>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</si>
  <si>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</si>
  <si>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</si>
  <si>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</si>
  <si>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</si>
  <si>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</si>
  <si>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</si>
  <si>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</si>
  <si>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</si>
  <si>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</si>
  <si>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</si>
  <si>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</si>
  <si>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</si>
  <si>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</si>
  <si>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</si>
  <si>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</si>
  <si>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</si>
  <si>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</si>
  <si>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</si>
  <si>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</si>
  <si>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</si>
  <si>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</si>
  <si>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</si>
  <si>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</si>
  <si>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</si>
  <si>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</si>
  <si>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</si>
  <si>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</si>
  <si>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</si>
  <si>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</si>
  <si>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</si>
  <si>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</si>
  <si>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</si>
  <si>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</si>
  <si>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</si>
  <si>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</si>
  <si>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</si>
  <si>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</si>
  <si>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</si>
  <si>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</si>
  <si>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</si>
  <si>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</si>
  <si>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</si>
  <si>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</si>
  <si>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</si>
  <si>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</si>
  <si>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</si>
  <si>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</si>
  <si>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</si>
  <si>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</si>
  <si>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</si>
  <si>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</si>
  <si>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</si>
  <si>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</si>
  <si>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</si>
  <si>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</si>
  <si>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</si>
  <si>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</si>
  <si>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</si>
  <si>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</si>
  <si>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</si>
  <si>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</si>
  <si>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</si>
  <si>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</si>
  <si>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</si>
  <si>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</si>
  <si>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</si>
  <si>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</si>
  <si>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</si>
  <si>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</si>
  <si>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</si>
  <si>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</si>
  <si>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</si>
  <si>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</si>
  <si>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</si>
  <si>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</si>
  <si>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</si>
  <si>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</si>
  <si>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</si>
  <si>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</si>
  <si>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</si>
  <si>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</si>
  <si>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</si>
  <si>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</si>
  <si>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</si>
  <si>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</si>
  <si>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</si>
  <si>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</si>
  <si>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</si>
  <si>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</si>
  <si>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</si>
  <si>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</si>
  <si>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</si>
  <si>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</si>
  <si>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</si>
  <si>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</si>
  <si>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</si>
  <si>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</si>
  <si>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</si>
  <si>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</si>
  <si>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</si>
  <si>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</si>
  <si>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</si>
  <si>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</si>
  <si>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</si>
  <si>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</si>
  <si>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</si>
  <si>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</si>
  <si>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</si>
  <si>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</si>
  <si>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</si>
  <si>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</si>
  <si>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</si>
  <si>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</si>
  <si>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</si>
  <si>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</si>
  <si>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</si>
  <si>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</si>
  <si>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</si>
  <si>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</si>
  <si>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</si>
  <si>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</si>
  <si>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</si>
  <si>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</si>
  <si>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</si>
  <si>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</si>
  <si>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</si>
  <si>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</si>
  <si>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</si>
  <si>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</si>
  <si>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</si>
  <si>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</si>
  <si>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</si>
  <si>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</si>
  <si>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</si>
  <si>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</si>
  <si>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</si>
  <si>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</si>
  <si>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</si>
  <si>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</si>
  <si>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</si>
  <si>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</si>
  <si>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</si>
  <si>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</si>
  <si>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</si>
  <si>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</si>
  <si>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</si>
  <si>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</si>
  <si>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</si>
  <si>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</si>
  <si>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</si>
  <si>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</si>
  <si>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</si>
  <si>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</si>
  <si>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</si>
  <si>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</si>
  <si>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</si>
  <si>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</si>
  <si>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</si>
  <si>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</si>
  <si>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</si>
  <si>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</si>
  <si>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</si>
  <si>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</si>
  <si>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</si>
  <si>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</si>
  <si>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</si>
  <si>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</si>
  <si>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</si>
  <si>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</si>
  <si>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</si>
  <si>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</si>
  <si>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</si>
  <si>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</si>
  <si>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</si>
  <si>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</si>
  <si>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</si>
  <si>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</si>
  <si>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</si>
  <si>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</si>
  <si>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</si>
  <si>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</si>
  <si>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</si>
  <si>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</si>
  <si>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</si>
  <si>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</si>
  <si>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</si>
  <si>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</si>
  <si>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</si>
  <si>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</si>
  <si>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</si>
  <si>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</si>
  <si>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</si>
  <si>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</si>
  <si>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</si>
  <si>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</si>
  <si>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</si>
  <si>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</si>
  <si>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</si>
  <si>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</si>
  <si>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</si>
  <si>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</si>
  <si>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</si>
  <si>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</si>
  <si>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</si>
  <si>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</si>
  <si>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</si>
  <si>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</si>
  <si>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</si>
  <si>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</si>
  <si>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</si>
  <si>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</si>
  <si>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</si>
  <si>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</si>
  <si>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</si>
  <si>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</si>
  <si>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</si>
  <si>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</si>
  <si>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</si>
  <si>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</si>
  <si>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</si>
  <si>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</si>
  <si>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</si>
  <si>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</si>
  <si>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</si>
  <si>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</si>
  <si>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</si>
  <si>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</si>
  <si>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</si>
  <si>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</si>
  <si>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</si>
  <si>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</si>
  <si>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</si>
  <si>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</si>
  <si>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</si>
  <si>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</si>
  <si>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</si>
  <si>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</si>
  <si>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</si>
  <si>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</si>
  <si>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</si>
  <si>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</si>
  <si>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</si>
  <si>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</si>
  <si>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</si>
  <si>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</si>
  <si>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</si>
  <si>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</si>
  <si>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</si>
  <si>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</si>
  <si>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</si>
  <si>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</si>
  <si>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</si>
  <si>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</si>
  <si>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</si>
  <si>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</si>
  <si>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</si>
  <si>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</si>
  <si>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</si>
  <si>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</si>
  <si>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</si>
  <si>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</si>
  <si>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</si>
  <si>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</si>
  <si>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</si>
  <si>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</si>
  <si>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</si>
  <si>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</si>
  <si>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</si>
  <si>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</si>
  <si>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</si>
  <si>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</si>
  <si>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</si>
  <si>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</si>
  <si>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</si>
  <si>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</si>
  <si>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</si>
  <si>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</si>
  <si>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</si>
  <si>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</si>
  <si>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</si>
  <si>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</si>
  <si>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</si>
  <si>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</si>
  <si>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</si>
  <si>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</si>
  <si>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</si>
  <si>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</si>
  <si>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</si>
  <si>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</si>
  <si>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</si>
  <si>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</si>
  <si>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</si>
  <si>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</si>
  <si>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</si>
  <si>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</si>
  <si>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</si>
  <si>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</si>
  <si>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</si>
  <si>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</si>
  <si>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</si>
  <si>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</si>
  <si>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</si>
  <si>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</si>
  <si>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</si>
  <si>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</si>
  <si>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</si>
  <si>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</si>
  <si>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</si>
  <si>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</si>
  <si>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</si>
  <si>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</si>
  <si>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</si>
  <si>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</si>
  <si>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</si>
  <si>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</si>
  <si>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</si>
  <si>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</si>
  <si>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</si>
  <si>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</si>
  <si>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</si>
  <si>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</si>
  <si>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</si>
  <si>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</si>
  <si>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</si>
  <si>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</si>
  <si>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</si>
  <si>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</si>
  <si>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</si>
  <si>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</si>
  <si>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</si>
  <si>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</si>
  <si>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</si>
  <si>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</si>
  <si>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</si>
  <si>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</si>
  <si>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</si>
  <si>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</si>
  <si>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</si>
  <si>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</si>
  <si>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</si>
  <si>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</si>
  <si>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</si>
  <si>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</si>
  <si>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</si>
  <si>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</si>
  <si>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</si>
  <si>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</si>
  <si>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</si>
  <si>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</si>
  <si>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</si>
  <si>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</si>
  <si>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</si>
  <si>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</si>
  <si>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</si>
  <si>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</si>
  <si>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</si>
  <si>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</si>
  <si>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</si>
  <si>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</si>
  <si>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</si>
  <si>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</si>
  <si>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</si>
  <si>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</si>
  <si>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</si>
  <si>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</si>
  <si>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</si>
  <si>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</si>
  <si>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</si>
  <si>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</si>
  <si>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</si>
  <si>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</si>
  <si>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</si>
  <si>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</si>
  <si>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</si>
  <si>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</si>
  <si>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</si>
  <si>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</si>
  <si>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</si>
  <si>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</si>
  <si>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</si>
  <si>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</si>
  <si>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</si>
  <si>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</si>
  <si>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</si>
  <si>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</si>
  <si>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</si>
  <si>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</si>
  <si>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</si>
  <si>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</si>
  <si>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</si>
  <si>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</si>
  <si>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</si>
  <si>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</si>
  <si>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</si>
  <si>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</si>
  <si>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</si>
  <si>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</si>
  <si>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</si>
  <si>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</si>
  <si>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</si>
  <si>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</si>
  <si>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</si>
  <si>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</si>
  <si>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</si>
  <si>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</si>
  <si>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</si>
  <si>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</si>
  <si>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</si>
  <si>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</si>
  <si>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</si>
  <si>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</si>
  <si>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</si>
  <si>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</si>
  <si>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</si>
  <si>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</si>
  <si>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</si>
  <si>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</si>
  <si>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</si>
  <si>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</si>
  <si>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</si>
  <si>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</si>
  <si>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</si>
  <si>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</si>
  <si>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</si>
  <si>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</si>
  <si>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</si>
  <si>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</si>
  <si>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</si>
  <si>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</si>
  <si>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</si>
  <si>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</si>
  <si>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</si>
  <si>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</si>
  <si>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</si>
  <si>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</si>
  <si>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</si>
  <si>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</si>
  <si>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</si>
  <si>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</si>
  <si>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</si>
  <si>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</si>
  <si>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</si>
  <si>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</si>
  <si>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</si>
  <si>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</si>
  <si>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</si>
  <si>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</si>
  <si>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</si>
  <si>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</si>
  <si>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</si>
  <si>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</si>
  <si>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</si>
  <si>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</si>
  <si>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</si>
  <si>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</si>
  <si>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</si>
  <si>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</si>
  <si>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</si>
  <si>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</si>
  <si>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</si>
  <si>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</si>
  <si>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</si>
  <si>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</si>
  <si>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</si>
  <si>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</si>
  <si>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</si>
  <si>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</si>
  <si>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</si>
  <si>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</si>
  <si>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</si>
  <si>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</si>
  <si>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</si>
  <si>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</si>
  <si>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</si>
  <si>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</si>
  <si>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</si>
  <si>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</si>
  <si>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</si>
  <si>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</si>
  <si>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</si>
  <si>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</si>
  <si>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</si>
  <si>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</si>
  <si>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</si>
  <si>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</si>
  <si>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</si>
  <si>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</si>
  <si>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</si>
  <si>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</si>
  <si>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</si>
  <si>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</si>
  <si>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</si>
  <si>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</si>
  <si>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</si>
  <si>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</si>
  <si>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</si>
  <si>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</si>
  <si>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</si>
  <si>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</si>
  <si>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</si>
  <si>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</si>
  <si>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</si>
  <si>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</si>
  <si>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</si>
  <si>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</si>
  <si>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</si>
  <si>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</si>
  <si>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</si>
  <si>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</si>
  <si>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</si>
  <si>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</si>
  <si>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</si>
  <si>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</si>
  <si>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</si>
  <si>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</si>
  <si>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</si>
  <si>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</si>
  <si>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</si>
  <si>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</si>
  <si>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</si>
  <si>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</si>
  <si>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</si>
  <si>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</si>
  <si>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</si>
  <si>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</si>
  <si>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</si>
  <si>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</si>
  <si>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</si>
  <si>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</si>
  <si>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</si>
  <si>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</si>
  <si>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</si>
  <si>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</si>
  <si>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</si>
  <si>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</si>
  <si>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</si>
  <si>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</si>
  <si>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</si>
  <si>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</si>
  <si>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</si>
  <si>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</si>
  <si>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</si>
  <si>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</si>
  <si>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</si>
  <si>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</si>
  <si>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</si>
  <si>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</si>
  <si>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</si>
  <si>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</si>
  <si>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</si>
  <si>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</si>
  <si>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</si>
  <si>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</si>
  <si>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</si>
  <si>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</si>
  <si>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</si>
  <si>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</si>
  <si>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</si>
  <si>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</si>
  <si>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</si>
  <si>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</si>
  <si>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</si>
  <si>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</si>
  <si>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</si>
  <si>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</si>
  <si>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</si>
  <si>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</si>
  <si>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</si>
  <si>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</si>
  <si>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</si>
  <si>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</si>
  <si>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</si>
  <si>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</si>
  <si>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</si>
  <si>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</si>
  <si>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</si>
  <si>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</si>
  <si>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</si>
  <si>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</si>
  <si>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</si>
  <si>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</si>
  <si>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</si>
  <si>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</si>
  <si>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</si>
  <si>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</si>
  <si>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</si>
  <si>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</si>
  <si>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</si>
  <si>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</si>
  <si>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</si>
  <si>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</si>
  <si>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</si>
  <si>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</si>
  <si>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</si>
  <si>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</si>
  <si>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</si>
  <si>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</si>
  <si>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</si>
  <si>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</si>
  <si>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</si>
  <si>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</si>
  <si>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</si>
  <si>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</si>
  <si>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</si>
  <si>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</si>
  <si>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</si>
  <si>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</si>
  <si>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</si>
  <si>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</si>
  <si>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</si>
  <si>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</si>
  <si>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</si>
  <si>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</si>
  <si>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</si>
  <si>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</si>
  <si>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</si>
  <si>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</si>
  <si>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</si>
  <si>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</si>
  <si>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</si>
  <si>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</si>
  <si>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</si>
  <si>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</si>
  <si>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</si>
  <si>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</si>
  <si>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</si>
  <si>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</si>
  <si>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</si>
  <si>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</si>
  <si>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</si>
  <si>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</si>
  <si>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</si>
  <si>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</si>
  <si>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</si>
  <si>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</si>
  <si>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</si>
  <si>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</si>
  <si>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</si>
  <si>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</si>
  <si>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</si>
  <si>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</si>
  <si>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</si>
  <si>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</si>
  <si>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</si>
  <si>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</si>
  <si>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</si>
  <si>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</si>
  <si>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</si>
  <si>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</si>
  <si>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</si>
  <si>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</si>
  <si>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</si>
  <si>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</si>
  <si>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</si>
  <si>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</si>
  <si>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</si>
  <si>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</si>
  <si>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</si>
  <si>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</si>
  <si>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</si>
  <si>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</si>
  <si>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</si>
  <si>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</si>
  <si>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</si>
  <si>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</si>
  <si>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</si>
  <si>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</si>
  <si>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</si>
  <si>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</si>
  <si>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</si>
  <si>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</si>
  <si>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</si>
  <si>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</si>
  <si>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</si>
  <si>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</si>
  <si>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</si>
  <si>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</si>
  <si>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</si>
  <si>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</si>
  <si>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</si>
  <si>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</si>
  <si>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</si>
  <si>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</si>
  <si>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</si>
  <si>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</si>
  <si>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</si>
  <si>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</si>
  <si>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</si>
  <si>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</si>
  <si>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</si>
  <si>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</si>
  <si>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</si>
  <si>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</si>
  <si>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</si>
  <si>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</si>
  <si>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</si>
  <si>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</si>
  <si>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</si>
  <si>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</si>
  <si>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</si>
  <si>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</si>
  <si>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</si>
  <si>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</si>
  <si>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</si>
  <si>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</si>
  <si>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</si>
  <si>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</si>
  <si>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</si>
  <si>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</si>
  <si>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</si>
  <si>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</si>
  <si>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</si>
  <si>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</si>
  <si>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</si>
  <si>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</si>
  <si>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</si>
  <si>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</si>
  <si>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</si>
  <si>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</si>
  <si>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</si>
  <si>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</si>
  <si>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</si>
  <si>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</si>
  <si>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</si>
  <si>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</si>
  <si>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</si>
  <si>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</si>
  <si>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</si>
  <si>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</si>
  <si>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</si>
  <si>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</si>
  <si>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</si>
  <si>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</si>
  <si>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</si>
  <si>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</si>
  <si>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</si>
  <si>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</si>
  <si>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</si>
  <si>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</si>
  <si>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</si>
  <si>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</si>
  <si>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</si>
  <si>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</si>
  <si>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</si>
  <si>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</si>
  <si>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</si>
  <si>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</si>
  <si>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</si>
  <si>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</si>
  <si>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</si>
  <si>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</si>
  <si>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</si>
  <si>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</si>
  <si>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</si>
  <si>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</si>
  <si>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</si>
  <si>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</si>
  <si>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</si>
  <si>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</si>
  <si>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</si>
  <si>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</si>
  <si>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</si>
  <si>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</si>
  <si>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</si>
  <si>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</si>
  <si>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</si>
  <si>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</si>
  <si>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</si>
  <si>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</si>
  <si>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</si>
  <si>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</si>
  <si>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</si>
  <si>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</si>
  <si>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</si>
  <si>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</si>
  <si>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</si>
  <si>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</si>
  <si>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</si>
  <si>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</si>
  <si>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</si>
  <si>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</si>
  <si>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</si>
  <si>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</si>
  <si>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</si>
  <si>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</si>
  <si>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</si>
  <si>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</si>
  <si>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</si>
  <si>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</si>
  <si>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</si>
  <si>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</si>
  <si>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</si>
  <si>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</si>
  <si>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</si>
  <si>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</si>
  <si>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</si>
  <si>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</si>
  <si>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</si>
  <si>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</si>
  <si>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</si>
  <si>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</si>
  <si>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</si>
  <si>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</si>
  <si>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</si>
  <si>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</si>
  <si>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</si>
  <si>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</si>
  <si>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</si>
  <si>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</si>
  <si>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</si>
  <si>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</si>
  <si>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</si>
  <si>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</si>
  <si>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</si>
  <si>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</si>
  <si>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</si>
  <si>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</si>
  <si>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</si>
  <si>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</si>
  <si>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</si>
  <si>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</si>
  <si>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</si>
  <si>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</si>
  <si>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</si>
  <si>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</si>
  <si>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</si>
  <si>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</si>
  <si>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</si>
  <si>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</si>
  <si>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</si>
  <si>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</si>
  <si>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</si>
  <si>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</si>
  <si>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</si>
  <si>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</si>
  <si>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</si>
  <si>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</si>
  <si>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</si>
  <si>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</si>
  <si>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</si>
  <si>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</si>
  <si>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</si>
  <si>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</si>
  <si>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</si>
  <si>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</si>
  <si>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</si>
  <si>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</si>
  <si>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</si>
  <si>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</si>
  <si>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</si>
  <si>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</si>
  <si>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</si>
  <si>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</si>
  <si>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</si>
  <si>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</si>
  <si>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</si>
  <si>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</si>
  <si>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</si>
  <si>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</si>
  <si>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</si>
  <si>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</si>
  <si>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</si>
  <si>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</si>
  <si>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</si>
  <si>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</si>
  <si>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</si>
  <si>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</si>
  <si>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</si>
  <si>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</si>
  <si>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</si>
  <si>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</si>
  <si>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</si>
  <si>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</si>
  <si>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</si>
  <si>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</si>
  <si>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</si>
  <si>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</si>
  <si>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</si>
  <si>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</si>
  <si>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</si>
  <si>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</si>
  <si>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</si>
  <si>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</si>
  <si>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</si>
  <si>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</si>
  <si>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</si>
  <si>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</si>
  <si>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</si>
  <si>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</si>
  <si>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</si>
  <si>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</si>
  <si>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</si>
  <si>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</si>
  <si>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</si>
  <si>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</si>
  <si>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</si>
  <si>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</si>
  <si>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</si>
  <si>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</si>
  <si>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</si>
  <si>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</si>
  <si>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</si>
  <si>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</si>
  <si>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</si>
  <si>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</si>
  <si>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</si>
  <si>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</si>
  <si>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</si>
  <si>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</si>
  <si>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</si>
  <si>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</si>
  <si>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</si>
  <si>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</si>
  <si>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</si>
  <si>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</si>
  <si>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</si>
  <si>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</si>
  <si>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</si>
  <si>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</si>
  <si>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</si>
  <si>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</si>
  <si>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</si>
  <si>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</si>
  <si>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</si>
  <si>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</si>
  <si>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</si>
  <si>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</si>
  <si>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</si>
  <si>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</si>
  <si>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</si>
  <si>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</si>
  <si>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</si>
  <si>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</si>
  <si>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</si>
  <si>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</si>
  <si>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</si>
  <si>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</si>
  <si>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</si>
  <si>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</si>
  <si>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</si>
  <si>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</si>
  <si>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</si>
  <si>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</si>
  <si>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</si>
  <si>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</si>
  <si>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</si>
  <si>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</si>
  <si>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</si>
  <si>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</si>
  <si>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</si>
  <si>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</si>
  <si>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</si>
  <si>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</si>
  <si>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</si>
  <si>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</si>
  <si>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</si>
  <si>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</si>
  <si>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</si>
  <si>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</si>
  <si>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</si>
  <si>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</si>
  <si>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</si>
  <si>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</si>
  <si>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</si>
  <si>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</si>
  <si>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</si>
  <si>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</si>
  <si>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</si>
  <si>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</si>
  <si>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</si>
  <si>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</si>
  <si>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</si>
  <si>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</si>
  <si>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</si>
  <si>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</si>
  <si>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</si>
  <si>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</si>
  <si>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</si>
  <si>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</si>
  <si>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</si>
  <si>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</si>
  <si>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</si>
  <si>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</si>
  <si>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</si>
  <si>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</si>
  <si>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</si>
  <si>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</si>
  <si>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</si>
  <si>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</si>
  <si>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</si>
  <si>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</si>
  <si>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</si>
  <si>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</si>
  <si>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</si>
  <si>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</si>
  <si>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</si>
  <si>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</si>
  <si>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</si>
  <si>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</si>
  <si>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</si>
  <si>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</si>
  <si>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</si>
  <si>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</si>
  <si>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</si>
  <si>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</si>
  <si>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</si>
  <si>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</si>
  <si>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</si>
  <si>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</si>
  <si>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</si>
  <si>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</si>
  <si>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</si>
  <si>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</si>
  <si>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</si>
  <si>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</si>
  <si>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</si>
  <si>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</si>
  <si>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</si>
  <si>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</si>
  <si>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</si>
  <si>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</si>
  <si>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</si>
  <si>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</si>
  <si>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</si>
  <si>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</si>
  <si>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</si>
  <si>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</si>
  <si>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</si>
  <si>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</si>
  <si>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</si>
  <si>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</si>
  <si>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</si>
  <si>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</si>
  <si>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</si>
  <si>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</si>
  <si>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</si>
  <si>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</si>
  <si>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</si>
  <si>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</si>
  <si>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</si>
  <si>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</si>
  <si>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</si>
  <si>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</si>
  <si>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</si>
  <si>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</si>
  <si>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</si>
  <si>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</si>
  <si>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</si>
  <si>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</si>
  <si>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</si>
  <si>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</si>
  <si>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</si>
  <si>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</si>
  <si>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</si>
  <si>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</si>
  <si>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</si>
  <si>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</si>
  <si>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</si>
  <si>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</si>
  <si>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</si>
  <si>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</si>
  <si>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</si>
  <si>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</si>
  <si>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</si>
  <si>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</si>
  <si>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</si>
  <si>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</si>
  <si>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</si>
  <si>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</si>
  <si>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</si>
  <si>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</si>
  <si>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</si>
  <si>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</si>
  <si>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</si>
  <si>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</si>
  <si>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</si>
  <si>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</si>
  <si>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</si>
  <si>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</si>
  <si>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</si>
  <si>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</si>
  <si>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</si>
  <si>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</si>
  <si>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</si>
  <si>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</si>
  <si>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</si>
  <si>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</si>
  <si>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</si>
  <si>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</si>
  <si>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</si>
  <si>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</si>
  <si>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</si>
  <si>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</si>
  <si>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</si>
  <si>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</si>
  <si>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</si>
  <si>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</si>
  <si>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</si>
  <si>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</si>
  <si>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</si>
  <si>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</si>
  <si>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</si>
  <si>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</si>
  <si>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</si>
  <si>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</si>
  <si>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</si>
  <si>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</si>
  <si>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</si>
  <si>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</si>
  <si>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</si>
  <si>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</si>
  <si>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</si>
  <si>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</si>
  <si>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</si>
  <si>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</si>
  <si>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</si>
  <si>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</si>
  <si>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</si>
  <si>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</si>
  <si>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</si>
  <si>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</si>
  <si>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</si>
  <si>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</si>
  <si>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</si>
  <si>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</si>
  <si>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</si>
  <si>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</si>
  <si>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</si>
  <si>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</si>
  <si>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</si>
  <si>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</si>
  <si>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</si>
  <si>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</si>
  <si>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</si>
  <si>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</si>
  <si>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</si>
  <si>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</si>
  <si>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</si>
  <si>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</si>
  <si>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</si>
  <si>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</si>
  <si>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</si>
  <si>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</si>
  <si>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</si>
  <si>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</si>
  <si>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</si>
  <si>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</si>
  <si>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</si>
  <si>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</si>
  <si>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</si>
  <si>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</si>
  <si>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</si>
  <si>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</si>
  <si>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</si>
  <si>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</si>
  <si>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</si>
  <si>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</si>
  <si>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</si>
  <si>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</si>
  <si>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</si>
  <si>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</si>
  <si>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</si>
  <si>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</si>
  <si>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</si>
  <si>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</si>
  <si>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</si>
  <si>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</si>
  <si>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</si>
  <si>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</si>
  <si>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</si>
  <si>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</si>
  <si>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</si>
  <si>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</si>
  <si>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</si>
  <si>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</si>
  <si>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</si>
  <si>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</si>
  <si>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</si>
  <si>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</si>
  <si>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</si>
  <si>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</si>
  <si>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</si>
  <si>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</si>
  <si>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</si>
  <si>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</si>
  <si>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</si>
  <si>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</si>
  <si>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</si>
  <si>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</si>
  <si>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</si>
  <si>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</si>
  <si>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</si>
  <si>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</si>
  <si>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</si>
  <si>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</si>
  <si>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</si>
  <si>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</si>
  <si>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</si>
  <si>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</si>
  <si>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</si>
  <si>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</si>
  <si>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</si>
  <si>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</si>
  <si>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</si>
  <si>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</si>
  <si>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</si>
  <si>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</si>
  <si>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</si>
  <si>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</si>
  <si>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</si>
  <si>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</si>
  <si>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</si>
  <si>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</si>
  <si>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</si>
  <si>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</si>
  <si>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</si>
  <si>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</si>
  <si>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</si>
  <si>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</si>
  <si>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</si>
  <si>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</si>
  <si>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</si>
  <si>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</si>
  <si>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</si>
  <si>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</si>
  <si>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</si>
  <si>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</si>
  <si>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</si>
  <si>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</si>
  <si>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</si>
  <si>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</si>
  <si>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</si>
  <si>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</si>
  <si>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</si>
  <si>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</si>
  <si>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</si>
  <si>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</si>
  <si>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</si>
  <si>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</si>
  <si>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</si>
  <si>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</si>
  <si>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</si>
  <si>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</si>
  <si>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</si>
  <si>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</si>
  <si>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</si>
  <si>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</si>
  <si>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</si>
  <si>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</si>
  <si>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</si>
  <si>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</si>
  <si>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</si>
  <si>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</si>
  <si>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</si>
  <si>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</si>
  <si>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</si>
  <si>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</si>
  <si>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</si>
  <si>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</si>
  <si>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</si>
  <si>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</si>
  <si>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</si>
  <si>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</si>
  <si>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</si>
  <si>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</si>
  <si>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</si>
  <si>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</si>
  <si>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</si>
  <si>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</si>
  <si>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</si>
  <si>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</si>
  <si>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</si>
  <si>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</si>
  <si>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</si>
  <si>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</si>
  <si>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</si>
  <si>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</si>
  <si>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</si>
  <si>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</si>
  <si>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</si>
  <si>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</si>
  <si>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</si>
  <si>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</si>
  <si>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</si>
  <si>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</si>
  <si>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</si>
  <si>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</si>
  <si>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</si>
  <si>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</si>
  <si>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</si>
  <si>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</si>
  <si>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</si>
  <si>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</si>
  <si>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</si>
  <si>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</si>
  <si>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</si>
  <si>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</si>
  <si>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</si>
  <si>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</si>
  <si>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</si>
  <si>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</si>
  <si>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</si>
  <si>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</si>
  <si>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</si>
  <si>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</si>
  <si>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</si>
  <si>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</si>
  <si>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</si>
  <si>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</si>
  <si>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</si>
  <si>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</si>
  <si>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</si>
  <si>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</si>
  <si>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</si>
  <si>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</si>
  <si>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</si>
  <si>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</si>
  <si>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</si>
  <si>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</si>
  <si>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</si>
  <si>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</si>
  <si>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</si>
  <si>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</si>
  <si>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</si>
  <si>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</si>
  <si>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</si>
  <si>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</si>
  <si>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</si>
  <si>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</si>
  <si>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</si>
  <si>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</si>
  <si>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</si>
  <si>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</si>
  <si>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</si>
  <si>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</si>
  <si>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</si>
  <si>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</si>
  <si>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</si>
  <si>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</si>
  <si>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</si>
  <si>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</si>
  <si>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</si>
  <si>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</si>
  <si>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</si>
  <si>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</si>
  <si>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</si>
  <si>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</si>
  <si>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</si>
  <si>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</si>
  <si>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</si>
  <si>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</si>
  <si>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</si>
  <si>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</si>
  <si>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</si>
  <si>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</si>
  <si>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</si>
  <si>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</si>
  <si>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</si>
  <si>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</si>
  <si>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</si>
  <si>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</si>
  <si>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</si>
  <si>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</si>
  <si>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</si>
  <si>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</si>
  <si>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</si>
  <si>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</si>
  <si>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</si>
  <si>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</si>
  <si>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</si>
  <si>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</si>
  <si>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</si>
  <si>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</si>
  <si>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</si>
  <si>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</si>
  <si>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</si>
  <si>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</si>
  <si>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</si>
  <si>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</si>
  <si>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</si>
  <si>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</si>
  <si>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</si>
  <si>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</si>
  <si>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</si>
  <si>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</si>
  <si>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</si>
  <si>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</si>
  <si>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</si>
  <si>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</si>
  <si>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</si>
  <si>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</si>
  <si>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</si>
  <si>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</si>
  <si>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</si>
  <si>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</si>
  <si>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</si>
  <si>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</si>
  <si>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</si>
  <si>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</si>
  <si>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</si>
  <si>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</si>
  <si>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</si>
  <si>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</si>
  <si>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</si>
  <si>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</si>
  <si>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</si>
  <si>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</si>
  <si>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</si>
  <si>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</si>
  <si>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</si>
  <si>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</si>
  <si>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</si>
  <si>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</si>
  <si>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</si>
  <si>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</si>
  <si>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</si>
  <si>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</si>
  <si>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</si>
  <si>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</si>
  <si>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</si>
  <si>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</si>
  <si>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</si>
  <si>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</si>
  <si>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</si>
  <si>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</si>
  <si>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</si>
  <si>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</si>
  <si>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</si>
  <si>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</si>
  <si>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</si>
  <si>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</si>
  <si>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</si>
  <si>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</si>
  <si>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</si>
  <si>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</si>
  <si>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</si>
  <si>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</si>
  <si>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</si>
  <si>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</si>
  <si>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</si>
  <si>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</si>
  <si>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</si>
  <si>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</si>
  <si>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</si>
  <si>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</si>
  <si>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</si>
  <si>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</si>
  <si>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</si>
  <si>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</si>
  <si>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</si>
  <si>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</si>
  <si>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</si>
  <si>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</si>
  <si>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</si>
  <si>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</si>
  <si>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</si>
  <si>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</si>
  <si>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</si>
  <si>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</si>
  <si>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</si>
  <si>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</si>
  <si>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</si>
  <si>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</si>
  <si>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</si>
  <si>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</si>
  <si>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</si>
  <si>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</si>
  <si>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</si>
  <si>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</si>
  <si>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</si>
  <si>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</si>
  <si>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</si>
  <si>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</si>
  <si>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</si>
  <si>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</si>
  <si>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</si>
  <si>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</si>
  <si>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</si>
  <si>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</si>
  <si>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</si>
  <si>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</si>
  <si>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</si>
  <si>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</si>
  <si>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</si>
  <si>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</si>
  <si>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</si>
  <si>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</si>
  <si>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</si>
  <si>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</si>
  <si>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</si>
  <si>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</si>
  <si>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</si>
  <si>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</si>
  <si>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</si>
  <si>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</si>
  <si>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</si>
  <si>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</si>
  <si>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</si>
  <si>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</si>
  <si>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</si>
  <si>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</si>
  <si>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</si>
  <si>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</si>
  <si>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</si>
  <si>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</si>
  <si>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</si>
  <si>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</si>
  <si>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</si>
  <si>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</si>
  <si>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</si>
  <si>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</si>
  <si>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</si>
  <si>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</si>
  <si>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</si>
  <si>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</si>
  <si>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</si>
  <si>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</si>
  <si>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</si>
  <si>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</si>
  <si>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</si>
  <si>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</si>
  <si>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</si>
  <si>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</si>
  <si>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</si>
  <si>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</si>
  <si>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</si>
  <si>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</si>
  <si>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</si>
  <si>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</si>
  <si>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</si>
  <si>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</si>
  <si>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</si>
  <si>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</si>
  <si>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</si>
  <si>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</si>
  <si>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</si>
  <si>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</si>
  <si>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</si>
  <si>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</si>
  <si>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</si>
  <si>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</si>
  <si>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</si>
  <si>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</si>
  <si>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</si>
  <si>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</si>
  <si>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</si>
  <si>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</si>
  <si>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</si>
  <si>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</si>
  <si>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</si>
  <si>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</si>
  <si>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</si>
  <si>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</si>
  <si>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</si>
  <si>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</si>
  <si>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</si>
  <si>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</si>
  <si>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</si>
  <si>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</si>
  <si>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</si>
  <si>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</si>
  <si>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</si>
  <si>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</si>
  <si>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</si>
  <si>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</si>
  <si>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</si>
  <si>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</si>
  <si>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</si>
  <si>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</si>
  <si>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</si>
  <si>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</si>
  <si>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</si>
  <si>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</si>
  <si>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</si>
  <si>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</si>
  <si>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</si>
  <si>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</si>
  <si>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</si>
  <si>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</si>
  <si>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</si>
  <si>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</si>
  <si>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</si>
  <si>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</si>
  <si>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</si>
  <si>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</si>
  <si>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</si>
  <si>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</si>
  <si>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</si>
  <si>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</si>
  <si>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</si>
  <si>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</si>
  <si>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</si>
  <si>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</si>
  <si>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</si>
  <si>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</si>
  <si>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</si>
  <si>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</si>
  <si>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</si>
  <si>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</si>
  <si>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</si>
  <si>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</si>
  <si>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</si>
  <si>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</si>
  <si>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</si>
  <si>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</si>
  <si>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</si>
  <si>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</si>
  <si>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</si>
  <si>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</si>
  <si>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</si>
  <si>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</si>
  <si>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</si>
  <si>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</si>
  <si>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</si>
  <si>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</si>
  <si>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</si>
  <si>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</si>
  <si>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</si>
  <si>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</si>
  <si>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</si>
  <si>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</si>
  <si>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</si>
  <si>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</si>
  <si>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</si>
  <si>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</si>
  <si>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</si>
  <si>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</si>
  <si>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</si>
  <si>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</si>
  <si>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</si>
  <si>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</si>
  <si>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</si>
  <si>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</si>
  <si>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</si>
  <si>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</si>
  <si>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</si>
  <si>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</si>
  <si>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</si>
  <si>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</si>
  <si>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</si>
  <si>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</si>
  <si>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</si>
  <si>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</si>
  <si>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</si>
  <si>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</si>
  <si>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</si>
  <si>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</si>
  <si>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</si>
  <si>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</si>
  <si>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</si>
  <si>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</si>
  <si>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</si>
  <si>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</si>
  <si>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</si>
  <si>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</si>
  <si>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</si>
  <si>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</si>
  <si>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</si>
  <si>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</si>
  <si>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</si>
  <si>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</si>
  <si>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</si>
  <si>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</si>
  <si>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</si>
  <si>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</si>
  <si>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</si>
  <si>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</si>
  <si>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</si>
  <si>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</si>
  <si>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</si>
  <si>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</si>
  <si>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</si>
  <si>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</si>
  <si>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</si>
  <si>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</si>
  <si>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</si>
  <si>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</si>
  <si>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</si>
  <si>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</si>
  <si>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</si>
  <si>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</si>
  <si>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</si>
  <si>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</si>
  <si>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</si>
  <si>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</si>
  <si>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</si>
  <si>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</si>
  <si>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</si>
  <si>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</si>
  <si>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</si>
  <si>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</si>
  <si>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</si>
  <si>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</si>
  <si>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</si>
  <si>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</si>
  <si>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</si>
  <si>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</si>
  <si>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</si>
  <si>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</si>
  <si>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</si>
  <si>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</si>
  <si>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</si>
  <si>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</si>
  <si>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</si>
  <si>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</si>
  <si>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</si>
  <si>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</si>
  <si>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</si>
  <si>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</si>
  <si>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</si>
  <si>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</si>
  <si>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</si>
  <si>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</si>
  <si>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</si>
  <si>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</si>
  <si>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</si>
  <si>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</si>
  <si>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</si>
  <si>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Em intrvalo as 11:19h</t>
  </si>
  <si>
    <t>Avaria na loco 9206</t>
  </si>
  <si>
    <t>Fredson</t>
  </si>
  <si>
    <t>Inspeção de via P1 - PGS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</si>
  <si>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</si>
  <si>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</si>
  <si>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</si>
  <si>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</si>
  <si>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</si>
  <si>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</si>
  <si>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</si>
  <si>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</si>
  <si>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</si>
  <si>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</si>
  <si>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</si>
  <si>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</si>
  <si>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Execução de solda  linha principal</t>
  </si>
  <si>
    <t>Inspeção de auto, apenas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</si>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</sst>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5" fillId="38" borderId="13" xfId="0" applyFont="1" applyFill="1" applyBorder="1" applyAlignment="1" applyProtection="1">
      <alignment horizontal="center" vertical="center"/>
      <protection locked="0"/>
    </xf>
    <xf numFmtId="1" fontId="15" fillId="38" borderId="13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" tableBorderDxfId="1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3"/>
    <tableColumn id="8" xr3:uid="{69D5AC3B-4F64-4F8F-AD2A-0AD158918DDD}" name="CORRELATO" dataDxfId="1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topLeftCell="Y468" activePane="topRight" state="frozen"/>
      <selection pane="topRight" activeCell="AD474" sqref="AD474:AF47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1</v>
      </c>
      <c r="BI455" s="178"/>
      <c r="BJ455" s="370" t="s">
        <v>1895</v>
      </c>
      <c r="BK455" s="178" t="s">
        <v>1896</v>
      </c>
      <c r="BL455" s="177"/>
      <c r="BM455" s="173"/>
      <c r="BN455" s="173"/>
      <c r="BO455" s="203"/>
      <c r="BP455" s="179"/>
      <c r="BQ455" s="12" t="str">
        <f t="shared" si="11"/>
        <v>Produção</v>
      </c>
      <c r="BR455" s="18">
        <f t="shared" si="12"/>
        <v>1.5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1</v>
      </c>
      <c r="BI457" s="178"/>
      <c r="BJ457" s="370" t="s">
        <v>1897</v>
      </c>
      <c r="BK457" s="178" t="s">
        <v>1898</v>
      </c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0.99999999999999911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/>
      <c r="AU458" s="285"/>
      <c r="AV458" s="285"/>
      <c r="AW458" s="285"/>
      <c r="AX458" s="175"/>
      <c r="AY458" s="288" t="str">
        <f t="shared" si="10"/>
        <v>ERRO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1</v>
      </c>
      <c r="BI458" s="178"/>
      <c r="BJ458" s="370" t="s">
        <v>1900</v>
      </c>
      <c r="BK458" s="178" t="s">
        <v>1901</v>
      </c>
      <c r="BL458" s="177"/>
      <c r="BM458" s="173"/>
      <c r="BN458" s="173"/>
      <c r="BO458" s="203"/>
      <c r="BP458" s="179"/>
      <c r="BQ458" s="12" t="e">
        <f t="shared" si="11"/>
        <v>#VALUE!</v>
      </c>
      <c r="BR458" s="18" t="e">
        <f t="shared" si="12"/>
        <v>#VALUE!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1902</v>
      </c>
      <c r="BK460" s="370" t="s">
        <v>1902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1903</v>
      </c>
      <c r="W462" s="335" t="s">
        <v>1904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1</v>
      </c>
      <c r="BI462" s="178"/>
      <c r="BJ462" s="370" t="s">
        <v>1905</v>
      </c>
      <c r="BK462" s="178" t="s">
        <v>1906</v>
      </c>
      <c r="BL462" s="177"/>
      <c r="BM462" s="173"/>
      <c r="BN462" s="173"/>
      <c r="BO462" s="203"/>
      <c r="BP462" s="179"/>
      <c r="BQ462" s="12" t="str">
        <f t="shared" si="11"/>
        <v>Produção</v>
      </c>
      <c r="BR462" s="18">
        <f t="shared" si="12"/>
        <v>1.0000000000000004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1907</v>
      </c>
      <c r="W464" s="335" t="s">
        <v>1908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1</v>
      </c>
      <c r="BI464" s="178"/>
      <c r="BJ464" s="370" t="s">
        <v>1909</v>
      </c>
      <c r="BK464" s="178" t="s">
        <v>1910</v>
      </c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0.99999999999999911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70" t="s">
        <v>1911</v>
      </c>
      <c r="BK465" s="178" t="s">
        <v>1912</v>
      </c>
      <c r="BL465" s="177"/>
      <c r="BM465" s="173"/>
      <c r="BN465" s="173"/>
      <c r="BO465" s="203"/>
      <c r="BP465" s="179"/>
      <c r="BQ465" s="12" t="str">
        <f t="shared" si="11"/>
        <v>Produção</v>
      </c>
      <c r="BR465" s="18">
        <f t="shared" si="12"/>
        <v>1.0000000000000004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1913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1914</v>
      </c>
      <c r="BK466" s="370" t="s">
        <v>1914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1915</v>
      </c>
      <c r="N469" s="193" t="s">
        <v>1916</v>
      </c>
      <c r="O469" s="158">
        <v>0.33333333333333331</v>
      </c>
      <c r="P469" s="158">
        <v>4.1666666666666664E-2</v>
      </c>
      <c r="Q469" s="171"/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e">
        <f t="shared" si="11"/>
        <v>#DIV/0!</v>
      </c>
      <c r="BR469" s="18">
        <f t="shared" si="12"/>
        <v>0</v>
      </c>
      <c r="BS469" s="18" t="e">
        <f t="shared" si="13"/>
        <v>#DIV/0!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/>
      <c r="I471" s="158"/>
      <c r="J471" s="219">
        <v>98</v>
      </c>
      <c r="K471" s="219">
        <v>713</v>
      </c>
      <c r="L471" s="171">
        <v>716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/>
      <c r="P471" s="158"/>
      <c r="Q471" s="171"/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713</v>
      </c>
      <c r="AQ471" s="268">
        <f>IF(BS_CONTROLE[[#This Row],[KM - Fim]]=0, "-", BS_CONTROLE[[#This Row],[KM - Fim]])</f>
        <v>716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e">
        <f t="shared" si="11"/>
        <v>#DIV/0!</v>
      </c>
      <c r="BR471" s="18" t="e">
        <f t="shared" si="12"/>
        <v>#DIV/0!</v>
      </c>
      <c r="BS471" s="18" t="e">
        <f t="shared" si="13"/>
        <v>#DIV/0!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>W7046051</v>
      </c>
      <c r="B473" s="162">
        <v>46051</v>
      </c>
      <c r="C473" s="8">
        <f>IF(BS_CONTROLE[[#This Row],[DATA]]="","",WEEKNUM(BS_CONTROLE[[#This Row],[DATA]]))</f>
        <v>5</v>
      </c>
      <c r="D473" s="51" t="s">
        <v>847</v>
      </c>
      <c r="E473" s="289">
        <v>574</v>
      </c>
      <c r="F473" s="166" t="s">
        <v>785</v>
      </c>
      <c r="G473" s="154" t="str">
        <f>IF(D473="","*",VLOOKUP(F473,BS_ATIVIDADE[#All],3,FALSE))</f>
        <v>PEDRA</v>
      </c>
      <c r="H473" s="158"/>
      <c r="I473" s="158"/>
      <c r="J473" s="219">
        <v>98</v>
      </c>
      <c r="K473" s="415">
        <v>710</v>
      </c>
      <c r="L473" s="416">
        <v>708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3" s="193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73" s="158"/>
      <c r="P473" s="158"/>
      <c r="Q473" s="171"/>
      <c r="R473" s="10" t="str">
        <f>IFERROR(_xlfn.XLOOKUP(F473, BS_ATIVIDADE[ATIVIDADE],BS_ATIVIDADE[UNIDADE] ), "*")</f>
        <v>VAGÕES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3" s="155" t="str">
        <f>IFERROR(_xlfn.XLOOKUP(J473, BASE_MAPA!$E$2:$E$359, BASE_MAPA!$J$2:$J$359), "ERRO")</f>
        <v>ALTO ARAGUAIA - RONDONOPOLIS</v>
      </c>
      <c r="V473" s="282" t="s">
        <v>1338</v>
      </c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PEDRA - DESCARGA</v>
      </c>
      <c r="AJ473" s="9" t="str">
        <f>IF(D473="","*",VLOOKUP(AI473,BS_ATIVIDADE[#Data],3,FALSE))</f>
        <v>PEDRA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TAL-TSF</v>
      </c>
      <c r="AN473" s="283">
        <f>IF(BS_CONTROLE[[#This Row],[SB]]=0, "-", BS_CONTROLE[[#This Row],[SB]])</f>
        <v>699710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710</v>
      </c>
      <c r="AQ473" s="268">
        <f>IF(BS_CONTROLE[[#This Row],[KM - Fim]]=0, "-", BS_CONTROLE[[#This Row],[KM - Fim]])</f>
        <v>708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VAGÕES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e">
        <f t="shared" si="11"/>
        <v>#DIV/0!</v>
      </c>
      <c r="BR473" s="18" t="e">
        <f t="shared" si="12"/>
        <v>#DIV/0!</v>
      </c>
      <c r="BS473" s="18" t="e">
        <f t="shared" si="13"/>
        <v>#DIV/0!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>E4646051</v>
      </c>
      <c r="B474" s="162">
        <v>46051</v>
      </c>
      <c r="C474" s="8">
        <f>IF(BS_CONTROLE[[#This Row],[DATA]]="","",WEEKNUM(BS_CONTROLE[[#This Row],[DATA]]))</f>
        <v>5</v>
      </c>
      <c r="D474" s="51" t="s">
        <v>757</v>
      </c>
      <c r="E474" s="289">
        <v>575</v>
      </c>
      <c r="F474" s="156" t="s">
        <v>677</v>
      </c>
      <c r="G474" s="154" t="str">
        <f>IF(D474="","*",VLOOKUP(F474,BS_ATIVIDADE[#All],3,FALSE))</f>
        <v>TRILHEIRO - DESCARGA</v>
      </c>
      <c r="H474" s="158" t="s">
        <v>597</v>
      </c>
      <c r="I474" s="158" t="s">
        <v>1890</v>
      </c>
      <c r="J474" s="219">
        <v>98</v>
      </c>
      <c r="K474" s="219">
        <v>532.83100000000002</v>
      </c>
      <c r="L474" s="171">
        <v>531.51</v>
      </c>
      <c r="M474" s="193" t="s">
        <v>23</v>
      </c>
      <c r="N474" s="193" t="s">
        <v>24</v>
      </c>
      <c r="O474" s="158">
        <v>0.45833333333333331</v>
      </c>
      <c r="P474" s="158">
        <v>0.125</v>
      </c>
      <c r="Q474" s="171">
        <v>1248</v>
      </c>
      <c r="R474" s="10" t="s">
        <v>636</v>
      </c>
      <c r="S474" s="13" t="s">
        <v>14</v>
      </c>
      <c r="T474" s="13" t="s">
        <v>18</v>
      </c>
      <c r="U474" s="155" t="s">
        <v>17</v>
      </c>
      <c r="V474" s="282" t="s">
        <v>1338</v>
      </c>
      <c r="W474" s="335" t="s">
        <v>1891</v>
      </c>
      <c r="X474" s="205" t="s">
        <v>968</v>
      </c>
      <c r="Y474" s="173"/>
      <c r="Z474" s="173"/>
      <c r="AA474" s="171">
        <v>2</v>
      </c>
      <c r="AB474" s="156" t="s">
        <v>970</v>
      </c>
      <c r="AC474" s="156"/>
      <c r="AD474" s="158">
        <v>7636</v>
      </c>
      <c r="AE474" s="171">
        <v>9323</v>
      </c>
      <c r="AF474" s="171">
        <v>9425</v>
      </c>
      <c r="AG474" s="171"/>
      <c r="AH474" s="174"/>
      <c r="AI474" s="166" t="str">
        <f>IF(BS_CONTROLE[[#This Row],[Atividade]]=0, "-", BS_CONTROLE[[#This Row],[Atividade]])</f>
        <v>TRILHEIRO - DESCARGA</v>
      </c>
      <c r="AJ474" s="9" t="str">
        <f>IF(D474="","*",VLOOKUP(AI474,BS_ATIVIDADE[#Data],3,FALSE))</f>
        <v>TRILHEIRO - DESCARGA</v>
      </c>
      <c r="AK474" s="283" t="str">
        <f>IF(BS_CONTROLE[[#This Row],[Local - Partida]]=0, "-", BS_CONTROLE[[#This Row],[Local - Partida]])</f>
        <v>TGR2</v>
      </c>
      <c r="AL474" s="283" t="str">
        <f>IF(BS_CONTROLE[[#This Row],[Local - Encerramento]]=0, "-", BS_CONTROLE[[#This Row],[Local - Encerramento]])</f>
        <v>TCS/TIN</v>
      </c>
      <c r="AM474" s="283" t="str">
        <f>IF(BS_CONTROLE[[#This Row],[Entre - Estações]]=0, "-", BS_CONTROLE[[#This Row],[Entre - Estações]])</f>
        <v>TBE-TRM</v>
      </c>
      <c r="AN474" s="283" t="str">
        <f>IF(BS_CONTROLE[[#This Row],[SB]]=0, "-", BS_CONTROLE[[#This Row],[SB]])</f>
        <v>TBE539</v>
      </c>
      <c r="AO474" s="267">
        <f>IF(BS_CONTROLE[[#This Row],[SUB]]=0, "-", BS_CONTROLE[[#This Row],[SUB]])</f>
        <v>98</v>
      </c>
      <c r="AP474" s="268">
        <f>IF(BS_CONTROLE[[#This Row],[KM - Inicio]]=0, "-", BS_CONTROLE[[#This Row],[KM - Inicio]])</f>
        <v>532.83100000000002</v>
      </c>
      <c r="AQ474" s="268">
        <f>IF(BS_CONTROLE[[#This Row],[KM - Fim]]=0, "-", BS_CONTROLE[[#This Row],[KM - Fim]])</f>
        <v>531.51</v>
      </c>
      <c r="AR474" s="284"/>
      <c r="AS474" s="284"/>
      <c r="AT474" s="284"/>
      <c r="AU474" s="285"/>
      <c r="AV474" s="285"/>
      <c r="AW474" s="285"/>
      <c r="AX474" s="175"/>
      <c r="AY474" s="288">
        <f t="shared" si="10"/>
        <v>0</v>
      </c>
      <c r="AZ474" s="156"/>
      <c r="BA474" s="176"/>
      <c r="BB474" s="172" t="str">
        <f>IFERROR(_xlfn.XLOOKUP(AI474, BS_ATIVIDADE[ATIVIDADE],BS_ATIVIDADE[UNIDADE] ), "*")</f>
        <v>M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4" s="157" t="str">
        <f>IFERROR(_xlfn.XLOOKUP(AO474, BASE_MAPA!$E$2:$E$359, BASE_MAPA!$J$2:$J$359), "ERRO")</f>
        <v>ALTO ARAGUAIA - RONDONOPOLIS</v>
      </c>
      <c r="BF474" s="269" t="str">
        <f>IF(BS_CONTROLE[[#This Row],[Responsavel pelo boletim]]=0, "-", BS_CONTROLE[[#This Row],[Responsavel pelo boletim]])</f>
        <v>Camila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Produção e Intervalo</v>
      </c>
      <c r="BR474" s="18">
        <f t="shared" si="12"/>
        <v>0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>ELSON (TF-526)46051</v>
      </c>
      <c r="B475" s="162">
        <v>46051</v>
      </c>
      <c r="C475" s="8">
        <f>IF(BS_CONTROLE[[#This Row],[DATA]]="","",WEEKNUM(BS_CONTROLE[[#This Row],[DATA]]))</f>
        <v>5</v>
      </c>
      <c r="D475" s="51" t="s">
        <v>898</v>
      </c>
      <c r="E475" s="289">
        <v>576</v>
      </c>
      <c r="F475" s="166" t="s">
        <v>792</v>
      </c>
      <c r="G475" s="154" t="str">
        <f>IF(D475="","*",VLOOKUP(F475,BS_ATIVIDADE[#All],3,FALSE))</f>
        <v>SOLDA</v>
      </c>
      <c r="H475" s="158" t="s">
        <v>566</v>
      </c>
      <c r="I475" s="158" t="s">
        <v>609</v>
      </c>
      <c r="J475" s="219">
        <v>74</v>
      </c>
      <c r="K475" s="219">
        <v>403.13</v>
      </c>
      <c r="L475" s="171" t="s">
        <v>609</v>
      </c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5" s="158">
        <v>0.375</v>
      </c>
      <c r="P475" s="158">
        <v>8.3333333333333329E-2</v>
      </c>
      <c r="Q475" s="171">
        <v>1</v>
      </c>
      <c r="R475" s="10" t="str">
        <f>IFERROR(_xlfn.XLOOKUP(F475, BS_ATIVIDADE[ATIVIDADE],BS_ATIVIDADE[UNIDADE] ), "*")</f>
        <v>Nº DE SOLDA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5" s="155" t="str">
        <f>IFERROR(_xlfn.XLOOKUP(J475, BASE_MAPA!$E$2:$E$359, BASE_MAPA!$J$2:$J$359), "ERRO")</f>
        <v>MARCO INICIAL - ALTO ARAGUAIA</v>
      </c>
      <c r="V475" s="282" t="s">
        <v>1677</v>
      </c>
      <c r="W475" s="335" t="s">
        <v>1917</v>
      </c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PDM - SOLDA</v>
      </c>
      <c r="AJ475" s="9" t="str">
        <f>IF(D475="","*",VLOOKUP(AI475,BS_ATIVIDADE[#Data],3,FALSE))</f>
        <v>SOLDA</v>
      </c>
      <c r="AK475" s="283" t="str">
        <f>IF(BS_CONTROLE[[#This Row],[Local - Partida]]=0, "-", BS_CONTROLE[[#This Row],[Local - Partida]])</f>
        <v>TMT1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TMT</v>
      </c>
      <c r="AN475" s="283" t="str">
        <f>IF(BS_CONTROLE[[#This Row],[SB]]=0, "-", BS_CONTROLE[[#This Row],[SB]])</f>
        <v>TMT1</v>
      </c>
      <c r="AO475" s="267">
        <f>IF(BS_CONTROLE[[#This Row],[SUB]]=0, "-", BS_CONTROLE[[#This Row],[SUB]])</f>
        <v>74</v>
      </c>
      <c r="AP475" s="268">
        <f>IF(BS_CONTROLE[[#This Row],[KM - Inicio]]=0, "-", BS_CONTROLE[[#This Row],[KM - Inicio]])</f>
        <v>403.13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>
        <f t="shared" si="10"/>
        <v>0</v>
      </c>
      <c r="AZ475" s="156"/>
      <c r="BA475" s="176"/>
      <c r="BB475" s="172" t="str">
        <f>IFERROR(_xlfn.XLOOKUP(AI475, BS_ATIVIDADE[ATIVIDADE],BS_ATIVIDADE[UNIDADE] ), "*")</f>
        <v>Nº DE SOLDA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5" s="157" t="str">
        <f>IFERROR(_xlfn.XLOOKUP(AO475, BASE_MAPA!$E$2:$E$359, BASE_MAPA!$J$2:$J$359), "ERRO")</f>
        <v>MARCO INICIAL - ALTO ARAGUAIA</v>
      </c>
      <c r="BF475" s="269" t="str">
        <f>IF(BS_CONTROLE[[#This Row],[Responsavel pelo boletim]]=0, "-", BS_CONTROLE[[#This Row],[Responsavel pelo boletim]])</f>
        <v>Elton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Produção e Intervalo</v>
      </c>
      <c r="BR475" s="18">
        <f t="shared" si="12"/>
        <v>0</v>
      </c>
      <c r="BS475" s="18">
        <f t="shared" si="13"/>
        <v>0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6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>W5046051</v>
      </c>
      <c r="B478" s="162">
        <v>46051</v>
      </c>
      <c r="C478" s="8">
        <f>IF(BS_CONTROLE[[#This Row],[DATA]]="","",WEEKNUM(BS_CONTROLE[[#This Row],[DATA]]))</f>
        <v>5</v>
      </c>
      <c r="D478" s="51" t="s">
        <v>838</v>
      </c>
      <c r="E478" s="289">
        <v>579</v>
      </c>
      <c r="F478" s="166" t="s">
        <v>747</v>
      </c>
      <c r="G478" s="154" t="str">
        <f>IF(D478="","*",VLOOKUP(F478,BS_ATIVIDADE[#All],3,FALSE))</f>
        <v>MODERNIZAÇÃO</v>
      </c>
      <c r="H478" s="158" t="s">
        <v>264</v>
      </c>
      <c r="I478" s="158" t="s">
        <v>264</v>
      </c>
      <c r="J478" s="219">
        <v>74</v>
      </c>
      <c r="K478" s="219">
        <v>245.8</v>
      </c>
      <c r="L478" s="171">
        <v>244.8</v>
      </c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8" s="193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8" s="158">
        <v>0.35416666666666669</v>
      </c>
      <c r="P478" s="158">
        <v>0.125</v>
      </c>
      <c r="Q478" s="171">
        <v>500</v>
      </c>
      <c r="R478" s="10" t="str">
        <f>IFERROR(_xlfn.XLOOKUP(F478, BS_ATIVIDADE[ATIVIDADE],BS_ATIVIDADE[UNIDADE] ), "*")</f>
        <v>Nº DE DORMENTES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8" s="155" t="str">
        <f>IFERROR(_xlfn.XLOOKUP(J478, BASE_MAPA!$E$2:$E$359, BASE_MAPA!$J$2:$J$359), "ERRO")</f>
        <v>MARCO INICIAL - ALTO ARAGUAIA</v>
      </c>
      <c r="V478" s="282" t="s">
        <v>1857</v>
      </c>
      <c r="W478" s="335" t="s">
        <v>1858</v>
      </c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MODERNIZAÇÃO - RECOLHIMENTO DE DORMENTE</v>
      </c>
      <c r="AJ478" s="9" t="str">
        <f>IF(D478="","*",VLOOKUP(AI478,BS_ATIVIDADE[#Data],3,FALSE))</f>
        <v>MODERNIZAÇÃO</v>
      </c>
      <c r="AK478" s="283" t="str">
        <f>IF(BS_CONTROLE[[#This Row],[Local - Partida]]=0, "-", BS_CONTROLE[[#This Row],[Local - Partida]])</f>
        <v>TCS</v>
      </c>
      <c r="AL478" s="283" t="str">
        <f>IF(BS_CONTROLE[[#This Row],[Local - Encerramento]]=0, "-", BS_CONTROLE[[#This Row],[Local - Encerramento]])</f>
        <v>TCS</v>
      </c>
      <c r="AM478" s="283" t="str">
        <f>IF(BS_CONTROLE[[#This Row],[Entre - Estações]]=0, "-", BS_CONTROLE[[#This Row],[Entre - Estações]])</f>
        <v>TVI-TJA</v>
      </c>
      <c r="AN478" s="283">
        <f>IF(BS_CONTROLE[[#This Row],[SB]]=0, "-", BS_CONTROLE[[#This Row],[SB]])</f>
        <v>239251</v>
      </c>
      <c r="AO478" s="267">
        <f>IF(BS_CONTROLE[[#This Row],[SUB]]=0, "-", BS_CONTROLE[[#This Row],[SUB]])</f>
        <v>74</v>
      </c>
      <c r="AP478" s="268">
        <f>IF(BS_CONTROLE[[#This Row],[KM - Inicio]]=0, "-", BS_CONTROLE[[#This Row],[KM - Inicio]])</f>
        <v>245.8</v>
      </c>
      <c r="AQ478" s="268">
        <f>IF(BS_CONTROLE[[#This Row],[KM - Fim]]=0, "-", BS_CONTROLE[[#This Row],[KM - Fim]])</f>
        <v>244.8</v>
      </c>
      <c r="AR478" s="284"/>
      <c r="AS478" s="284"/>
      <c r="AT478" s="284"/>
      <c r="AU478" s="285"/>
      <c r="AV478" s="285"/>
      <c r="AW478" s="285"/>
      <c r="AX478" s="175"/>
      <c r="AY478" s="288">
        <f t="shared" si="10"/>
        <v>0</v>
      </c>
      <c r="AZ478" s="156"/>
      <c r="BA478" s="176"/>
      <c r="BB478" s="172" t="str">
        <f>IFERROR(_xlfn.XLOOKUP(AI478, BS_ATIVIDADE[ATIVIDADE],BS_ATIVIDADE[UNIDADE] ), "*")</f>
        <v>Nº DE DORMENTES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8" s="157" t="str">
        <f>IFERROR(_xlfn.XLOOKUP(AO478, BASE_MAPA!$E$2:$E$359, BASE_MAPA!$J$2:$J$359), "ERRO")</f>
        <v>MARCO INICIAL - ALTO ARAGUAIA</v>
      </c>
      <c r="BF478" s="269" t="str">
        <f>IF(BS_CONTROLE[[#This Row],[Responsavel pelo boletim]]=0, "-", BS_CONTROLE[[#This Row],[Responsavel pelo boletim]])</f>
        <v>Augusto / Efraim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Produção e Intervalo</v>
      </c>
      <c r="BR478" s="18">
        <f t="shared" si="12"/>
        <v>0</v>
      </c>
      <c r="BS478" s="18">
        <f t="shared" si="13"/>
        <v>0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6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>A6246051</v>
      </c>
      <c r="B480" s="162">
        <v>46051</v>
      </c>
      <c r="C480" s="8">
        <f>IF(BS_CONTROLE[[#This Row],[DATA]]="","",WEEKNUM(BS_CONTROLE[[#This Row],[DATA]]))</f>
        <v>5</v>
      </c>
      <c r="D480" s="51" t="s">
        <v>708</v>
      </c>
      <c r="E480" s="290">
        <v>581</v>
      </c>
      <c r="F480" s="166" t="s">
        <v>683</v>
      </c>
      <c r="G480" s="154" t="str">
        <f>IF(D480="","*",VLOOKUP(F480,BS_ATIVIDADE[#All],3,FALSE))</f>
        <v>OUTROS</v>
      </c>
      <c r="H480" s="158" t="s">
        <v>228</v>
      </c>
      <c r="I480" s="158" t="s">
        <v>252</v>
      </c>
      <c r="J480" s="219">
        <v>74</v>
      </c>
      <c r="K480" s="219">
        <v>109</v>
      </c>
      <c r="L480" s="171">
        <v>226</v>
      </c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80" s="158">
        <v>0.35416666666666669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0" s="155" t="str">
        <f>IFERROR(_xlfn.XLOOKUP(J480, BASE_MAPA!$E$2:$E$359, BASE_MAPA!$J$2:$J$359), "ERRO")</f>
        <v>MARCO INICIAL - ALTO ARAGUAIA</v>
      </c>
      <c r="V480" s="282" t="s">
        <v>1285</v>
      </c>
      <c r="W480" s="335" t="s">
        <v>1918</v>
      </c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INSPEÇÃO AUTO DE LINHA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TIN</v>
      </c>
      <c r="AL480" s="283" t="str">
        <f>IF(BS_CONTROLE[[#This Row],[Local - Encerramento]]=0, "-", BS_CONTROLE[[#This Row],[Local - Encerramento]])</f>
        <v>TVI</v>
      </c>
      <c r="AM480" s="283" t="str">
        <f>IF(BS_CONTROLE[[#This Row],[Entre - Estações]]=0, "-", BS_CONTROLE[[#This Row],[Entre - Estações]])</f>
        <v>TIN</v>
      </c>
      <c r="AN480" s="283" t="str">
        <f>IF(BS_CONTROLE[[#This Row],[SB]]=0, "-", BS_CONTROLE[[#This Row],[SB]])</f>
        <v>TIN1</v>
      </c>
      <c r="AO480" s="267">
        <f>IF(BS_CONTROLE[[#This Row],[SUB]]=0, "-", BS_CONTROLE[[#This Row],[SUB]])</f>
        <v>74</v>
      </c>
      <c r="AP480" s="268">
        <f>IF(BS_CONTROLE[[#This Row],[KM - Inicio]]=0, "-", BS_CONTROLE[[#This Row],[KM - Inicio]])</f>
        <v>109</v>
      </c>
      <c r="AQ480" s="268">
        <f>IF(BS_CONTROLE[[#This Row],[KM - Fim]]=0, "-", BS_CONTROLE[[#This Row],[KM - Fim]])</f>
        <v>226</v>
      </c>
      <c r="AR480" s="284"/>
      <c r="AS480" s="284"/>
      <c r="AT480" s="284"/>
      <c r="AU480" s="285"/>
      <c r="AV480" s="285"/>
      <c r="AW480" s="285"/>
      <c r="AX480" s="175"/>
      <c r="AY480" s="288">
        <f t="shared" si="10"/>
        <v>0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0" s="157" t="str">
        <f>IFERROR(_xlfn.XLOOKUP(AO480, BASE_MAPA!$E$2:$E$359, BASE_MAPA!$J$2:$J$359), "ERRO")</f>
        <v>MARCO INICIAL - ALTO ARAGUAIA</v>
      </c>
      <c r="BF480" s="269" t="str">
        <f>IF(BS_CONTROLE[[#This Row],[Responsavel pelo boletim]]=0, "-", BS_CONTROLE[[#This Row],[Responsavel pelo boletim]])</f>
        <v>Herbert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Produção e Intervalo</v>
      </c>
      <c r="BR480" s="18">
        <f t="shared" si="12"/>
        <v>0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6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51" priority="18455" operator="equal">
      <formula>"ERRO"</formula>
    </cfRule>
  </conditionalFormatting>
  <conditionalFormatting sqref="X4 Y1:Z368 Y369:Y446">
    <cfRule type="cellIs" dxfId="150" priority="18444" operator="equal">
      <formula>"OPORTUNIDADE"</formula>
    </cfRule>
  </conditionalFormatting>
  <conditionalFormatting sqref="AZ6:AZ416">
    <cfRule type="expression" dxfId="149" priority="18439">
      <formula>$BU6=1</formula>
    </cfRule>
  </conditionalFormatting>
  <conditionalFormatting sqref="BQ6:BQ507">
    <cfRule type="cellIs" dxfId="148" priority="18450" operator="equal">
      <formula>"Produção e Intervalo"</formula>
    </cfRule>
    <cfRule type="cellIs" dxfId="147" priority="18451" operator="equal">
      <formula>"Aderente"</formula>
    </cfRule>
    <cfRule type="cellIs" dxfId="146" priority="18452" operator="equal">
      <formula>"Intervalo"</formula>
    </cfRule>
    <cfRule type="cellIs" dxfId="145" priority="18453" operator="equal">
      <formula>"Produção"</formula>
    </cfRule>
    <cfRule type="cellIs" dxfId="144" priority="18454" operator="equal">
      <formula>"ERRO"</formula>
    </cfRule>
  </conditionalFormatting>
  <conditionalFormatting sqref="BR6:BS507">
    <cfRule type="cellIs" dxfId="143" priority="18432" operator="equal">
      <formula>"*"</formula>
    </cfRule>
    <cfRule type="cellIs" dxfId="142" priority="18433" operator="greaterThanOrEqual">
      <formula>1</formula>
    </cfRule>
    <cfRule type="cellIs" dxfId="141" priority="18434" operator="lessThan">
      <formula>1</formula>
    </cfRule>
  </conditionalFormatting>
  <conditionalFormatting sqref="Y6:Z368 X370:X416 X418 X420 Y369:Y44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X370:X416 X418 X420">
    <cfRule type="cellIs" dxfId="138" priority="18379" operator="equal">
      <formula>"OPORTUNIDADE"</formula>
    </cfRule>
  </conditionalFormatting>
  <conditionalFormatting sqref="Z369:Z416">
    <cfRule type="cellIs" dxfId="137" priority="18377" operator="equal">
      <formula>"NÃO"</formula>
    </cfRule>
    <cfRule type="cellIs" dxfId="136" priority="18378" operator="equal">
      <formula>"SIM"</formula>
    </cfRule>
  </conditionalFormatting>
  <conditionalFormatting sqref="Z369:Z416">
    <cfRule type="cellIs" dxfId="135" priority="18376" operator="equal">
      <formula>"OPORTUNIDADE"</formula>
    </cfRule>
  </conditionalFormatting>
  <conditionalFormatting sqref="Y1048483:Y1048576">
    <cfRule type="cellIs" dxfId="134" priority="18261" operator="equal">
      <formula>"OPORTUNIDADE"</formula>
    </cfRule>
  </conditionalFormatting>
  <conditionalFormatting sqref="Y1048483:Y1048576">
    <cfRule type="cellIs" dxfId="133" priority="18259" operator="equal">
      <formula>"NÃO"</formula>
    </cfRule>
    <cfRule type="cellIs" dxfId="132" priority="18260" operator="equal">
      <formula>"SIM"</formula>
    </cfRule>
  </conditionalFormatting>
  <conditionalFormatting sqref="Z417:Z444">
    <cfRule type="cellIs" dxfId="131" priority="17996" operator="equal">
      <formula>"OPORTUNIDADE"</formula>
    </cfRule>
  </conditionalFormatting>
  <conditionalFormatting sqref="Z417:Z444">
    <cfRule type="cellIs" dxfId="130" priority="17994" operator="equal">
      <formula>"NÃO"</formula>
    </cfRule>
    <cfRule type="cellIs" dxfId="129" priority="17995" operator="equal">
      <formula>"SIM"</formula>
    </cfRule>
  </conditionalFormatting>
  <conditionalFormatting sqref="Z443">
    <cfRule type="cellIs" dxfId="128" priority="17979" operator="equal">
      <formula>"NÃO"</formula>
    </cfRule>
    <cfRule type="cellIs" dxfId="127" priority="17980" operator="equal">
      <formula>"SIM"</formula>
    </cfRule>
  </conditionalFormatting>
  <conditionalFormatting sqref="Z443">
    <cfRule type="cellIs" dxfId="126" priority="17978" operator="equal">
      <formula>"OPORTUNIDADE"</formula>
    </cfRule>
  </conditionalFormatting>
  <conditionalFormatting sqref="BI443">
    <cfRule type="iconSet" priority="17987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88">
      <iconSet showValue="0">
        <cfvo type="percent" val="0"/>
        <cfvo type="num" val="1"/>
        <cfvo type="num" val="1" gte="0"/>
      </iconSet>
    </cfRule>
    <cfRule type="iconSet" priority="17989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5" priority="18598">
      <formula>$BU386=1</formula>
    </cfRule>
  </conditionalFormatting>
  <conditionalFormatting sqref="AZ419:AZ443">
    <cfRule type="expression" dxfId="124" priority="18758">
      <formula>$BU391=1</formula>
    </cfRule>
  </conditionalFormatting>
  <conditionalFormatting sqref="BI417:BI442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1">
      <iconSet showValue="0">
        <cfvo type="percent" val="0"/>
        <cfvo type="num" val="1"/>
        <cfvo type="num" val="1" gte="0"/>
      </iconSet>
    </cfRule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 BK450 BK460 BK466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9 BK461:BK465 BK467:BK507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8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4">
      <iconSet showValue="0">
        <cfvo type="percent" val="0"/>
        <cfvo type="num" val="1"/>
        <cfvo type="num" val="1" gte="0"/>
      </iconSet>
    </cfRule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3" priority="18" operator="equal">
      <formula>"OPORTUNIDADE"</formula>
    </cfRule>
  </conditionalFormatting>
  <conditionalFormatting sqref="Y464:Y466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0">
    <cfRule type="cellIs" dxfId="120" priority="15" operator="equal">
      <formula>"OPORTUNIDADE"</formula>
    </cfRule>
  </conditionalFormatting>
  <conditionalFormatting sqref="Y450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3">
    <cfRule type="cellIs" dxfId="117" priority="12" operator="equal">
      <formula>"OPORTUNIDADE"</formula>
    </cfRule>
  </conditionalFormatting>
  <conditionalFormatting sqref="Y453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8">
    <cfRule type="cellIs" dxfId="114" priority="9" operator="equal">
      <formula>"OPORTUNIDADE"</formula>
    </cfRule>
  </conditionalFormatting>
  <conditionalFormatting sqref="Y458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57 Y455">
    <cfRule type="cellIs" dxfId="111" priority="6" operator="equal">
      <formula>"OPORTUNIDADE"</formula>
    </cfRule>
  </conditionalFormatting>
  <conditionalFormatting sqref="Y457 Y455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62 Y460">
    <cfRule type="cellIs" dxfId="108" priority="3" operator="equal">
      <formula>"OPORTUNIDADE"</formula>
    </cfRule>
  </conditionalFormatting>
  <conditionalFormatting sqref="Y462 Y460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475:F481 F471 F473 F6:F469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1919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1920</v>
      </c>
      <c r="E3" s="291" t="s">
        <v>1921</v>
      </c>
      <c r="F3" s="291" t="s">
        <v>1922</v>
      </c>
      <c r="G3" s="291" t="s">
        <v>1923</v>
      </c>
      <c r="H3" s="291" t="s">
        <v>1924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1925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1926</v>
      </c>
      <c r="G10" s="292" t="s">
        <v>1927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1928</v>
      </c>
      <c r="G11" s="292" t="s">
        <v>1929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1930</v>
      </c>
      <c r="G12" s="292" t="s">
        <v>1929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1931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1932</v>
      </c>
      <c r="C4" s="296" t="s">
        <v>1933</v>
      </c>
      <c r="D4" s="296" t="s">
        <v>1934</v>
      </c>
      <c r="E4" s="296" t="s">
        <v>1935</v>
      </c>
      <c r="F4" s="296" t="s">
        <v>7</v>
      </c>
      <c r="G4" s="296" t="s">
        <v>1936</v>
      </c>
      <c r="H4" s="181"/>
    </row>
    <row r="5" spans="1:8">
      <c r="A5" s="181"/>
      <c r="B5" s="297" t="s">
        <v>1937</v>
      </c>
      <c r="C5" s="297">
        <v>309525</v>
      </c>
      <c r="D5" s="297" t="s">
        <v>1938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1939</v>
      </c>
      <c r="C6" s="297">
        <v>257410</v>
      </c>
      <c r="D6" s="297" t="s">
        <v>1940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1941</v>
      </c>
      <c r="C7" s="297">
        <v>256875</v>
      </c>
      <c r="D7" s="297" t="s">
        <v>1942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1943</v>
      </c>
      <c r="C8" s="297">
        <v>257278</v>
      </c>
      <c r="D8" s="297" t="s">
        <v>1944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1945</v>
      </c>
      <c r="C9" s="297">
        <v>261794</v>
      </c>
      <c r="D9" s="297" t="s">
        <v>1946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1947</v>
      </c>
      <c r="C10" s="297">
        <v>257033</v>
      </c>
      <c r="D10" s="297" t="s">
        <v>1948</v>
      </c>
      <c r="E10" s="297" t="s">
        <v>838</v>
      </c>
      <c r="F10" s="297" t="s">
        <v>194</v>
      </c>
      <c r="G10" s="297" t="s">
        <v>1949</v>
      </c>
      <c r="H10" s="181"/>
    </row>
    <row r="11" spans="1:8">
      <c r="A11" s="181"/>
      <c r="B11" s="297" t="s">
        <v>1950</v>
      </c>
      <c r="C11" s="297">
        <v>396578</v>
      </c>
      <c r="D11" s="297" t="s">
        <v>1951</v>
      </c>
      <c r="E11" s="297" t="s">
        <v>838</v>
      </c>
      <c r="F11" s="297" t="s">
        <v>194</v>
      </c>
      <c r="G11" s="297" t="s">
        <v>1949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47" sqref="A447:U4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1952</v>
      </c>
      <c r="W1" s="406"/>
      <c r="X1" s="406"/>
      <c r="Y1" s="103"/>
    </row>
    <row r="2" spans="1:25" s="100" customFormat="1" ht="11.25" customHeight="1">
      <c r="A2" s="104" t="s">
        <v>1953</v>
      </c>
      <c r="B2" s="104" t="s">
        <v>1954</v>
      </c>
      <c r="C2" s="104" t="s">
        <v>605</v>
      </c>
      <c r="D2" s="105" t="s">
        <v>1178</v>
      </c>
      <c r="E2" s="105" t="s">
        <v>1179</v>
      </c>
      <c r="F2" s="105" t="s">
        <v>1955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1956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TAL-TSF</v>
      </c>
      <c r="L468" s="303" t="str">
        <f>IF(FN_MC!N471="","*",FN_MC!N471)</f>
        <v>710TSF</v>
      </c>
      <c r="M468" s="110">
        <f>IF(FN_MC!J471="","*",FN_MC!J471)</f>
        <v>98</v>
      </c>
      <c r="N468" s="278">
        <f>IF(FN_MC!K471="","*",FN_MC!K471)</f>
        <v>713</v>
      </c>
      <c r="O468" s="278">
        <f>IF(FN_MC!L471="","*",FN_MC!L471)</f>
        <v>716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>
        <f ca="1">_xlfn.XLOOKUP(G468&amp;$V$2,BS_CONTROLE[CHAVE],BS_CONTROLE[Quantidade_11],"-")</f>
        <v>800</v>
      </c>
      <c r="W468" s="111">
        <f ca="1">_xlfn.XLOOKUP(G468&amp;$W$2,BS_CONTROLE[CHAVE],BS_CONTROLE[Quantidade_11],"-")</f>
        <v>4703</v>
      </c>
      <c r="X468" s="111">
        <f ca="1">_xlfn.XLOOKUP(G468&amp;$X$2,BS_CONTROLE[CHAVE],BS_CONTROLE[Quantidade_11],"-")</f>
        <v>1353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W70</v>
      </c>
      <c r="H470" s="109" t="str">
        <f>IF(FN_MC!F473="","*",FN_MC!F473)</f>
        <v>PDM - PEDRA - DESCARGA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TAL-TSF</v>
      </c>
      <c r="L470" s="303">
        <f>IF(FN_MC!N473="","*",FN_MC!N473)</f>
        <v>699710</v>
      </c>
      <c r="M470" s="110">
        <f>IF(FN_MC!J473="","*",FN_MC!J473)</f>
        <v>98</v>
      </c>
      <c r="N470" s="278">
        <f>IF(FN_MC!K473="","*",FN_MC!K473)</f>
        <v>710</v>
      </c>
      <c r="O470" s="278">
        <f>IF(FN_MC!L473="","*",FN_MC!L473)</f>
        <v>708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Camila</v>
      </c>
      <c r="U470" s="109" t="str">
        <f>IF(FN_MC!W473="","*",FN_MC!W473)</f>
        <v>*</v>
      </c>
      <c r="V470" s="111">
        <f ca="1">_xlfn.XLOOKUP(G470&amp;$V$2,BS_CONTROLE[CHAVE],BS_CONTROLE[Quantidade_11],"-")</f>
        <v>27</v>
      </c>
      <c r="W470" s="111">
        <f ca="1">_xlfn.XLOOKUP(G470&amp;$W$2,BS_CONTROLE[CHAVE],BS_CONTROLE[Quantidade_11],"-")</f>
        <v>0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Contrato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TGR-TRO</v>
      </c>
      <c r="F471" s="109">
        <f>IF(FN_MC!B474="","*",FN_MC!B474)</f>
        <v>46051</v>
      </c>
      <c r="G471" s="109" t="str">
        <f>IF(FN_MC!D474="","*",FN_MC!D474)</f>
        <v>E46</v>
      </c>
      <c r="H471" s="109" t="str">
        <f>IF(FN_MC!F474="","*",FN_MC!F474)</f>
        <v>TRILHEIRO - DESCARGA</v>
      </c>
      <c r="I471" s="109" t="str">
        <f>IF(FN_MC!H474="","*",FN_MC!H474)</f>
        <v>TGR2</v>
      </c>
      <c r="J471" s="109" t="str">
        <f>IF(FN_MC!I474="","*",FN_MC!I474)</f>
        <v>TCS/TIN</v>
      </c>
      <c r="K471" s="109" t="str">
        <f>IF(FN_MC!M474="","*",FN_MC!M474)</f>
        <v>TBE-TRM</v>
      </c>
      <c r="L471" s="303" t="str">
        <f>IF(FN_MC!N474="","*",FN_MC!N474)</f>
        <v>TBE539</v>
      </c>
      <c r="M471" s="110">
        <f>IF(FN_MC!J474="","*",FN_MC!J474)</f>
        <v>98</v>
      </c>
      <c r="N471" s="278">
        <f>IF(FN_MC!K474="","*",FN_MC!K474)</f>
        <v>532.83100000000002</v>
      </c>
      <c r="O471" s="278">
        <f>IF(FN_MC!L474="","*",FN_MC!L474)</f>
        <v>531.51</v>
      </c>
      <c r="P471" s="110"/>
      <c r="Q471" s="127">
        <f>IF(FN_MC!O474="","*",FN_MC!O474)</f>
        <v>0.45833333333333331</v>
      </c>
      <c r="R471" s="127">
        <f>IF(FN_MC!P474="","*",FN_MC!P474)</f>
        <v>0.125</v>
      </c>
      <c r="S471" s="109" t="str">
        <f>IF(FN_MC!Q474="","*",CONCATENATE(FN_MC!Q474," ",FN_MC!R474))</f>
        <v>1248 M</v>
      </c>
      <c r="T471" s="109" t="str">
        <f>IF(FN_MC!V474="","*",FN_MC!V474)</f>
        <v>Camila</v>
      </c>
      <c r="U471" s="109" t="str">
        <f>IF(FN_MC!W474="","*",FN_MC!W474)</f>
        <v>2 barras - 98/532291-532831tg
2 barras - 98/531510-531970tg após descarga segue para TIN, ou TCS se não tiver jornada pra prosseguir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FERRONORTE</v>
      </c>
      <c r="E472" s="109" t="str">
        <f>IF(FN_MC!T475="","*",FN_MC!T475)</f>
        <v>TCS-TGR</v>
      </c>
      <c r="F472" s="109">
        <f>IF(FN_MC!B475="","*",FN_MC!B475)</f>
        <v>46051</v>
      </c>
      <c r="G472" s="109" t="str">
        <f>IF(FN_MC!D475="","*",FN_MC!D475)</f>
        <v>ELSON (TF-526)</v>
      </c>
      <c r="H472" s="109" t="str">
        <f>IF(FN_MC!F475="","*",FN_MC!F475)</f>
        <v>PDM - SOLDA</v>
      </c>
      <c r="I472" s="109" t="str">
        <f>IF(FN_MC!H475="","*",FN_MC!H475)</f>
        <v>TMT1</v>
      </c>
      <c r="J472" s="109" t="str">
        <f>IF(FN_MC!I475="","*",FN_MC!I475)</f>
        <v>-</v>
      </c>
      <c r="K472" s="109" t="str">
        <f>IF(FN_MC!M475="","*",FN_MC!M475)</f>
        <v>TMT</v>
      </c>
      <c r="L472" s="303" t="str">
        <f>IF(FN_MC!N475="","*",FN_MC!N475)</f>
        <v>TMT1</v>
      </c>
      <c r="M472" s="110">
        <f>IF(FN_MC!J475="","*",FN_MC!J475)</f>
        <v>74</v>
      </c>
      <c r="N472" s="278">
        <f>IF(FN_MC!K475="","*",FN_MC!K475)</f>
        <v>403.13</v>
      </c>
      <c r="O472" s="278" t="str">
        <f>IF(FN_MC!L475="","*",FN_MC!L475)</f>
        <v>-</v>
      </c>
      <c r="P472" s="110"/>
      <c r="Q472" s="127">
        <f>IF(FN_MC!O475="","*",FN_MC!O475)</f>
        <v>0.375</v>
      </c>
      <c r="R472" s="127">
        <f>IF(FN_MC!P475="","*",FN_MC!P475)</f>
        <v>8.3333333333333329E-2</v>
      </c>
      <c r="S472" s="109" t="str">
        <f>IF(FN_MC!Q475="","*",CONCATENATE(FN_MC!Q475," ",FN_MC!R475))</f>
        <v>1 Nº DE SOLDA</v>
      </c>
      <c r="T472" s="109" t="str">
        <f>IF(FN_MC!V475="","*",FN_MC!V475)</f>
        <v>Elton</v>
      </c>
      <c r="U472" s="109" t="str">
        <f>IF(FN_MC!W475="","*",FN_MC!W475)</f>
        <v>Execução de solda  linha principal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FERRONORTE</v>
      </c>
      <c r="E475" s="109" t="str">
        <f>IF(FN_MC!T478="","*",FN_MC!T478)</f>
        <v>TMI-TCS</v>
      </c>
      <c r="F475" s="109">
        <f>IF(FN_MC!B478="","*",FN_MC!B478)</f>
        <v>46051</v>
      </c>
      <c r="G475" s="109" t="str">
        <f>IF(FN_MC!D478="","*",FN_MC!D478)</f>
        <v>W50</v>
      </c>
      <c r="H475" s="109" t="str">
        <f>IF(FN_MC!F478="","*",FN_MC!F478)</f>
        <v>MODERNIZAÇÃO - RECOLHIMENTO DE DORMENTE</v>
      </c>
      <c r="I475" s="109" t="str">
        <f>IF(FN_MC!H478="","*",FN_MC!H478)</f>
        <v>TCS</v>
      </c>
      <c r="J475" s="109" t="str">
        <f>IF(FN_MC!I478="","*",FN_MC!I478)</f>
        <v>TCS</v>
      </c>
      <c r="K475" s="109" t="str">
        <f>IF(FN_MC!M478="","*",FN_MC!M478)</f>
        <v>TVI-TJA</v>
      </c>
      <c r="L475" s="303">
        <f>IF(FN_MC!N478="","*",FN_MC!N478)</f>
        <v>239251</v>
      </c>
      <c r="M475" s="110">
        <f>IF(FN_MC!J478="","*",FN_MC!J478)</f>
        <v>74</v>
      </c>
      <c r="N475" s="278">
        <f>IF(FN_MC!K478="","*",FN_MC!K478)</f>
        <v>245.8</v>
      </c>
      <c r="O475" s="278">
        <f>IF(FN_MC!L478="","*",FN_MC!L478)</f>
        <v>244.8</v>
      </c>
      <c r="P475" s="110"/>
      <c r="Q475" s="127">
        <f>IF(FN_MC!O478="","*",FN_MC!O478)</f>
        <v>0.35416666666666669</v>
      </c>
      <c r="R475" s="127">
        <f>IF(FN_MC!P478="","*",FN_MC!P478)</f>
        <v>0.125</v>
      </c>
      <c r="S475" s="109" t="str">
        <f>IF(FN_MC!Q478="","*",CONCATENATE(FN_MC!Q478," ",FN_MC!R478))</f>
        <v>500 Nº DE DORMENTES</v>
      </c>
      <c r="T475" s="109" t="str">
        <f>IF(FN_MC!V478="","*",FN_MC!V478)</f>
        <v>Augusto / Efraim</v>
      </c>
      <c r="U475" s="109" t="str">
        <f>IF(FN_MC!W478="","*",FN_MC!W478)</f>
        <v>Recolhimento de dormentes</v>
      </c>
      <c r="V475" s="111">
        <f ca="1">_xlfn.XLOOKUP(G475&amp;$V$2,BS_CONTROLE[CHAVE],BS_CONTROLE[Quantidade_11],"-")</f>
        <v>624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FERRONORTE</v>
      </c>
      <c r="E477" s="109" t="str">
        <f>IF(FN_MC!T480="","*",FN_MC!T480)</f>
        <v>TMI-TCS</v>
      </c>
      <c r="F477" s="109">
        <f>IF(FN_MC!B480="","*",FN_MC!B480)</f>
        <v>46051</v>
      </c>
      <c r="G477" s="109" t="str">
        <f>IF(FN_MC!D480="","*",FN_MC!D480)</f>
        <v>A62</v>
      </c>
      <c r="H477" s="109" t="str">
        <f>IF(FN_MC!F480="","*",FN_MC!F480)</f>
        <v>INSPEÇÃO AUTO DE LINHA</v>
      </c>
      <c r="I477" s="109" t="str">
        <f>IF(FN_MC!H480="","*",FN_MC!H480)</f>
        <v>TIN</v>
      </c>
      <c r="J477" s="109" t="str">
        <f>IF(FN_MC!I480="","*",FN_MC!I480)</f>
        <v>TVI</v>
      </c>
      <c r="K477" s="109" t="str">
        <f>IF(FN_MC!M480="","*",FN_MC!M480)</f>
        <v>TIN</v>
      </c>
      <c r="L477" s="303" t="str">
        <f>IF(FN_MC!N480="","*",FN_MC!N480)</f>
        <v>TIN1</v>
      </c>
      <c r="M477" s="110">
        <f>IF(FN_MC!J480="","*",FN_MC!J480)</f>
        <v>74</v>
      </c>
      <c r="N477" s="278">
        <f>IF(FN_MC!K480="","*",FN_MC!K480)</f>
        <v>109</v>
      </c>
      <c r="O477" s="278">
        <f>IF(FN_MC!L480="","*",FN_MC!L480)</f>
        <v>226</v>
      </c>
      <c r="P477" s="110"/>
      <c r="Q477" s="127">
        <f>IF(FN_MC!O480="","*",FN_MC!O480)</f>
        <v>0.35416666666666669</v>
      </c>
      <c r="R477" s="127">
        <f>IF(FN_MC!P480="","*",FN_MC!P480)</f>
        <v>4.1666666666666664E-2</v>
      </c>
      <c r="S477" s="109" t="str">
        <f>IF(FN_MC!Q480="","*",CONCATENATE(FN_MC!Q480," ",FN_MC!R480))</f>
        <v>1 BINÁRIO</v>
      </c>
      <c r="T477" s="109" t="str">
        <f>IF(FN_MC!V480="","*",FN_MC!V480)</f>
        <v>Herbert</v>
      </c>
      <c r="U477" s="109" t="str">
        <f>IF(FN_MC!W480="","*",FN_MC!W480)</f>
        <v>Inspeção de auto, apenas circulação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1957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1958</v>
      </c>
      <c r="C2" s="95" t="s">
        <v>1163</v>
      </c>
      <c r="D2" s="95" t="s">
        <v>1165</v>
      </c>
      <c r="E2" s="95" t="s">
        <v>1959</v>
      </c>
      <c r="F2" s="95" t="s">
        <v>1960</v>
      </c>
      <c r="G2" s="95" t="s">
        <v>1961</v>
      </c>
      <c r="H2" s="95" t="s">
        <v>1962</v>
      </c>
      <c r="I2" s="95" t="s">
        <v>1963</v>
      </c>
      <c r="J2" s="95" t="s">
        <v>1964</v>
      </c>
      <c r="K2" s="130" t="s">
        <v>1965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*</v>
      </c>
      <c r="F576" s="136" t="str">
        <f>IF(FN_MC!M471="","*",FN_MC!M471)</f>
        <v>TAL-TSF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>
        <f>IF(FN_MC!B473="","*",FN_MC!B473)</f>
        <v>46051</v>
      </c>
      <c r="D578" s="120" t="str">
        <f>IF(FN_MC!D473="","*",FN_MC!D473)</f>
        <v>W70</v>
      </c>
      <c r="E578" s="120" t="str">
        <f>IF(FN_MC!H473="","*",FN_MC!H473)</f>
        <v>*</v>
      </c>
      <c r="F578" s="136" t="str">
        <f>IF(FN_MC!M473="","*",FN_MC!M473)</f>
        <v>TAL-TSF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>
        <f>IF(FN_MC!B474="","*",FN_MC!B474)</f>
        <v>46051</v>
      </c>
      <c r="D579" s="120" t="str">
        <f>IF(FN_MC!D474="","*",FN_MC!D474)</f>
        <v>E46</v>
      </c>
      <c r="E579" s="120" t="str">
        <f>IF(FN_MC!H474="","*",FN_MC!H474)</f>
        <v>TGR2</v>
      </c>
      <c r="F579" s="136" t="str">
        <f>IF(FN_MC!M474="","*",FN_MC!M474)</f>
        <v>TBE-TRM</v>
      </c>
      <c r="G579" s="120" t="str">
        <f>IF(FN_MC!I474="","*",FN_MC!I474)</f>
        <v>TCS/TIN</v>
      </c>
      <c r="H579" s="120" t="str">
        <f>IF(FN_MC!AB474="","*",FN_MC!AB474)</f>
        <v>ESCALA</v>
      </c>
      <c r="I579" s="120" t="str">
        <f>IF(FN_MC!AC474="","*",FN_MC!AC474)</f>
        <v>*</v>
      </c>
      <c r="J579" s="121">
        <f>IF(FN_MC!AA474="","*",FN_MC!AA474)</f>
        <v>2</v>
      </c>
      <c r="K579" s="133">
        <f>IF(FN_MC!AD474="","*",FN_MC!AD474)</f>
        <v>7636</v>
      </c>
    </row>
    <row r="580" spans="2:11" s="122" customFormat="1" hidden="1">
      <c r="B580" s="119" t="str">
        <f>IF(FN_MC!Y475="","*",FN_MC!Y475)</f>
        <v>*</v>
      </c>
      <c r="C580" s="120">
        <f>IF(FN_MC!B475="","*",FN_MC!B475)</f>
        <v>46051</v>
      </c>
      <c r="D580" s="120" t="str">
        <f>IF(FN_MC!D475="","*",FN_MC!D475)</f>
        <v>ELSON (TF-526)</v>
      </c>
      <c r="E580" s="120" t="str">
        <f>IF(FN_MC!H475="","*",FN_MC!H475)</f>
        <v>TMT1</v>
      </c>
      <c r="F580" s="136" t="str">
        <f>IF(FN_MC!M475="","*",FN_MC!M475)</f>
        <v>TMT</v>
      </c>
      <c r="G580" s="120" t="str">
        <f>IF(FN_MC!I475="","*",FN_MC!I475)</f>
        <v>-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>
        <f>IF(FN_MC!B478="","*",FN_MC!B478)</f>
        <v>46051</v>
      </c>
      <c r="D583" s="120" t="str">
        <f>IF(FN_MC!D478="","*",FN_MC!D478)</f>
        <v>W50</v>
      </c>
      <c r="E583" s="120" t="str">
        <f>IF(FN_MC!H478="","*",FN_MC!H478)</f>
        <v>TCS</v>
      </c>
      <c r="F583" s="136" t="str">
        <f>IF(FN_MC!M478="","*",FN_MC!M478)</f>
        <v>TVI-TJA</v>
      </c>
      <c r="G583" s="120" t="str">
        <f>IF(FN_MC!I478="","*",FN_MC!I478)</f>
        <v>TCS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>
        <f>IF(FN_MC!B480="","*",FN_MC!B480)</f>
        <v>46051</v>
      </c>
      <c r="D585" s="120" t="str">
        <f>IF(FN_MC!D480="","*",FN_MC!D480)</f>
        <v>A62</v>
      </c>
      <c r="E585" s="120" t="str">
        <f>IF(FN_MC!H480="","*",FN_MC!H480)</f>
        <v>TIN</v>
      </c>
      <c r="F585" s="136" t="str">
        <f>IF(FN_MC!M480="","*",FN_MC!M480)</f>
        <v>TIN</v>
      </c>
      <c r="G585" s="120" t="str">
        <f>IF(FN_MC!I480="","*",FN_MC!I480)</f>
        <v>TVI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1966</v>
      </c>
      <c r="D5" s="408"/>
      <c r="E5" s="408"/>
      <c r="F5" s="408"/>
      <c r="G5" s="408"/>
      <c r="H5" s="408"/>
      <c r="I5" s="408"/>
      <c r="J5" s="409"/>
      <c r="K5" s="410" t="s">
        <v>1967</v>
      </c>
      <c r="L5" s="411"/>
      <c r="M5" s="411"/>
      <c r="N5" s="411"/>
      <c r="O5" s="412" t="s">
        <v>1968</v>
      </c>
      <c r="P5" s="413"/>
      <c r="Q5" s="414"/>
    </row>
    <row r="6" spans="1:17" s="93" customFormat="1" ht="15.75" customHeight="1">
      <c r="A6" s="87" t="s">
        <v>1955</v>
      </c>
      <c r="B6" s="94" t="s">
        <v>1954</v>
      </c>
      <c r="C6" s="95" t="s">
        <v>1178</v>
      </c>
      <c r="D6" s="96" t="s">
        <v>1179</v>
      </c>
      <c r="E6" s="95" t="s">
        <v>1969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1970</v>
      </c>
      <c r="M6" s="138" t="s">
        <v>628</v>
      </c>
      <c r="N6" s="139" t="s">
        <v>1173</v>
      </c>
      <c r="O6" s="233" t="s">
        <v>1216</v>
      </c>
      <c r="P6" s="152"/>
      <c r="Q6" s="182" t="s">
        <v>1971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1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1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1</v>
      </c>
      <c r="P547" s="90"/>
      <c r="Q547" s="144" t="str">
        <f>IF($A$2=1,IF(FN_MC!BJ458="","*",FN_MC!BJ458),IF(FN_MC!BK458="","*",FN_MC!BK458))</f>
        <v>Em intrvalo as 11:19h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1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1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*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*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*</v>
      </c>
      <c r="G560" s="99" t="str">
        <f>IF(FN_MC!M471="","*",FN_MC!M471)</f>
        <v>TAL-TSF</v>
      </c>
      <c r="H560" s="149">
        <f>IF(FN_MC!K471="","*",FN_MC!K471)</f>
        <v>713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TAL-TSF</v>
      </c>
      <c r="M560" s="140">
        <f>IF(FN_MC!AP471="","*",FN_MC!AP471)</f>
        <v>713</v>
      </c>
      <c r="N560" s="140" t="str">
        <f>IF(FN_MC!AM471="","*",FN_MC!AM471)</f>
        <v>TAL-TSF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>
        <f>IF(FN_MC!B473="","*",FN_MC!B473)</f>
        <v>46051</v>
      </c>
      <c r="B562" s="98" t="str">
        <f>IF(FN_MC!X473="","*",FN_MC!X473)</f>
        <v>*</v>
      </c>
      <c r="C562" s="99" t="str">
        <f>IF(FN_MC!S473="","*",FN_MC!S473)</f>
        <v>FERRONORTE</v>
      </c>
      <c r="D562" s="99" t="str">
        <f>IF(FN_MC!T473="","*",FN_MC!T473)</f>
        <v>TGR-TRO</v>
      </c>
      <c r="E562" s="99" t="str">
        <f>IF(FN_MC!D473="","*",FN_MC!D473)</f>
        <v>W70</v>
      </c>
      <c r="F562" s="99" t="str">
        <f>IF(FN_MC!H473="","*",FN_MC!H473)</f>
        <v>*</v>
      </c>
      <c r="G562" s="99" t="str">
        <f>IF(FN_MC!M473="","*",FN_MC!M473)</f>
        <v>TAL-TSF</v>
      </c>
      <c r="H562" s="149">
        <f>IF(FN_MC!K473="","*",FN_MC!K473)</f>
        <v>710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TAL-TSF</v>
      </c>
      <c r="M562" s="140">
        <f>IF(FN_MC!AP473="","*",FN_MC!AP473)</f>
        <v>710</v>
      </c>
      <c r="N562" s="140" t="str">
        <f>IF(FN_MC!AM473="","*",FN_MC!AM473)</f>
        <v>TAL-TSF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>
        <f>IF(FN_MC!B474="","*",FN_MC!B474)</f>
        <v>46051</v>
      </c>
      <c r="B563" s="98" t="str">
        <f>IF(FN_MC!X474="","*",FN_MC!X474)</f>
        <v>Contrato</v>
      </c>
      <c r="C563" s="99" t="str">
        <f>IF(FN_MC!S474="","*",FN_MC!S474)</f>
        <v>FERRONORTE</v>
      </c>
      <c r="D563" s="99" t="str">
        <f>IF(FN_MC!T474="","*",FN_MC!T474)</f>
        <v>TGR-TRO</v>
      </c>
      <c r="E563" s="99" t="str">
        <f>IF(FN_MC!D474="","*",FN_MC!D474)</f>
        <v>E46</v>
      </c>
      <c r="F563" s="99" t="str">
        <f>IF(FN_MC!H474="","*",FN_MC!H474)</f>
        <v>TGR2</v>
      </c>
      <c r="G563" s="99" t="str">
        <f>IF(FN_MC!M474="","*",FN_MC!M474)</f>
        <v>TBE-TRM</v>
      </c>
      <c r="H563" s="149">
        <f>IF(FN_MC!K474="","*",FN_MC!K474)</f>
        <v>532.83100000000002</v>
      </c>
      <c r="I563" s="131">
        <f>IF(FN_MC!O474="","*",FN_MC!O474)</f>
        <v>0.45833333333333331</v>
      </c>
      <c r="J563" s="131">
        <f>IF(FN_MC!P474="","*",FN_MC!P474)</f>
        <v>0.125</v>
      </c>
      <c r="K563" s="140" t="str">
        <f>IF(FN_MC!AK474="","*",FN_MC!AK474)</f>
        <v>TGR2</v>
      </c>
      <c r="L563" s="140" t="str">
        <f>IF(FN_MC!AM474="","*",FN_MC!AM474)</f>
        <v>TBE-TRM</v>
      </c>
      <c r="M563" s="140">
        <f>IF(FN_MC!AP474="","*",FN_MC!AP474)</f>
        <v>532.83100000000002</v>
      </c>
      <c r="N563" s="140" t="str">
        <f>IF(FN_MC!AM474="","*",FN_MC!AM474)</f>
        <v>TBE-TRM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>
        <f>IF(FN_MC!B475="","*",FN_MC!B475)</f>
        <v>46051</v>
      </c>
      <c r="B564" s="98" t="str">
        <f>IF(FN_MC!X475="","*",FN_MC!X475)</f>
        <v>*</v>
      </c>
      <c r="C564" s="99" t="str">
        <f>IF(FN_MC!S475="","*",FN_MC!S475)</f>
        <v>FERRONORTE</v>
      </c>
      <c r="D564" s="99" t="str">
        <f>IF(FN_MC!T475="","*",FN_MC!T475)</f>
        <v>TCS-TGR</v>
      </c>
      <c r="E564" s="99" t="str">
        <f>IF(FN_MC!D475="","*",FN_MC!D475)</f>
        <v>ELSON (TF-526)</v>
      </c>
      <c r="F564" s="99" t="str">
        <f>IF(FN_MC!H475="","*",FN_MC!H475)</f>
        <v>TMT1</v>
      </c>
      <c r="G564" s="99" t="str">
        <f>IF(FN_MC!M475="","*",FN_MC!M475)</f>
        <v>TMT</v>
      </c>
      <c r="H564" s="149">
        <f>IF(FN_MC!K475="","*",FN_MC!K475)</f>
        <v>403.13</v>
      </c>
      <c r="I564" s="131">
        <f>IF(FN_MC!O475="","*",FN_MC!O475)</f>
        <v>0.375</v>
      </c>
      <c r="J564" s="131">
        <f>IF(FN_MC!P475="","*",FN_MC!P475)</f>
        <v>8.3333333333333329E-2</v>
      </c>
      <c r="K564" s="140" t="str">
        <f>IF(FN_MC!AK475="","*",FN_MC!AK475)</f>
        <v>TMT1</v>
      </c>
      <c r="L564" s="140" t="str">
        <f>IF(FN_MC!AM475="","*",FN_MC!AM475)</f>
        <v>TMT</v>
      </c>
      <c r="M564" s="140">
        <f>IF(FN_MC!AP475="","*",FN_MC!AP475)</f>
        <v>403.13</v>
      </c>
      <c r="N564" s="140" t="str">
        <f>IF(FN_MC!AM475="","*",FN_MC!AM475)</f>
        <v>TMT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>
        <f>IF(FN_MC!B478="","*",FN_MC!B478)</f>
        <v>46051</v>
      </c>
      <c r="B567" s="98" t="str">
        <f>IF(FN_MC!X478="","*",FN_MC!X478)</f>
        <v>*</v>
      </c>
      <c r="C567" s="99" t="str">
        <f>IF(FN_MC!S478="","*",FN_MC!S478)</f>
        <v>FERRONORTE</v>
      </c>
      <c r="D567" s="99" t="str">
        <f>IF(FN_MC!T478="","*",FN_MC!T478)</f>
        <v>TMI-TCS</v>
      </c>
      <c r="E567" s="99" t="str">
        <f>IF(FN_MC!D478="","*",FN_MC!D478)</f>
        <v>W50</v>
      </c>
      <c r="F567" s="99" t="str">
        <f>IF(FN_MC!H478="","*",FN_MC!H478)</f>
        <v>TCS</v>
      </c>
      <c r="G567" s="99" t="str">
        <f>IF(FN_MC!M478="","*",FN_MC!M478)</f>
        <v>TVI-TJA</v>
      </c>
      <c r="H567" s="149">
        <f>IF(FN_MC!K478="","*",FN_MC!K478)</f>
        <v>245.8</v>
      </c>
      <c r="I567" s="131">
        <f>IF(FN_MC!O478="","*",FN_MC!O478)</f>
        <v>0.35416666666666669</v>
      </c>
      <c r="J567" s="131">
        <f>IF(FN_MC!P478="","*",FN_MC!P478)</f>
        <v>0.125</v>
      </c>
      <c r="K567" s="140" t="str">
        <f>IF(FN_MC!AK478="","*",FN_MC!AK478)</f>
        <v>TCS</v>
      </c>
      <c r="L567" s="140" t="str">
        <f>IF(FN_MC!AM478="","*",FN_MC!AM478)</f>
        <v>TVI-TJA</v>
      </c>
      <c r="M567" s="140">
        <f>IF(FN_MC!AP478="","*",FN_MC!AP478)</f>
        <v>245.8</v>
      </c>
      <c r="N567" s="140" t="str">
        <f>IF(FN_MC!AM478="","*",FN_MC!AM478)</f>
        <v>TVI-TJA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>
        <f>IF(FN_MC!B480="","*",FN_MC!B480)</f>
        <v>46051</v>
      </c>
      <c r="B569" s="98" t="str">
        <f>IF(FN_MC!X480="","*",FN_MC!X480)</f>
        <v>*</v>
      </c>
      <c r="C569" s="99" t="str">
        <f>IF(FN_MC!S480="","*",FN_MC!S480)</f>
        <v>FERRONORTE</v>
      </c>
      <c r="D569" s="99" t="str">
        <f>IF(FN_MC!T480="","*",FN_MC!T480)</f>
        <v>TMI-TCS</v>
      </c>
      <c r="E569" s="99" t="str">
        <f>IF(FN_MC!D480="","*",FN_MC!D480)</f>
        <v>A62</v>
      </c>
      <c r="F569" s="99" t="str">
        <f>IF(FN_MC!H480="","*",FN_MC!H480)</f>
        <v>TIN</v>
      </c>
      <c r="G569" s="99" t="str">
        <f>IF(FN_MC!M480="","*",FN_MC!M480)</f>
        <v>TIN</v>
      </c>
      <c r="H569" s="149">
        <f>IF(FN_MC!K480="","*",FN_MC!K480)</f>
        <v>109</v>
      </c>
      <c r="I569" s="131">
        <f>IF(FN_MC!O480="","*",FN_MC!O480)</f>
        <v>0.35416666666666669</v>
      </c>
      <c r="J569" s="131">
        <f>IF(FN_MC!P480="","*",FN_MC!P480)</f>
        <v>4.1666666666666664E-2</v>
      </c>
      <c r="K569" s="140" t="str">
        <f>IF(FN_MC!AK480="","*",FN_MC!AK480)</f>
        <v>TIN</v>
      </c>
      <c r="L569" s="140" t="str">
        <f>IF(FN_MC!AM480="","*",FN_MC!AM480)</f>
        <v>TIN</v>
      </c>
      <c r="M569" s="140">
        <f>IF(FN_MC!AP480="","*",FN_MC!AP480)</f>
        <v>109</v>
      </c>
      <c r="N569" s="140" t="str">
        <f>IF(FN_MC!AM480="","*",FN_MC!AM480)</f>
        <v>TIN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1971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2026-01-28T17:09:09Z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