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40" documentId="8_{B6337239-1A00-434D-AAD0-422EA1FEB5AE}" xr6:coauthVersionLast="47" xr6:coauthVersionMax="47" xr10:uidLastSave="{D6D8CF7E-EB8B-4BE9-B790-AE3527C526AD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2" i="1" l="1"/>
  <c r="C182" i="1"/>
  <c r="G182" i="1"/>
  <c r="M182" i="1" a="1"/>
  <c r="M182" i="1"/>
  <c r="N182" i="1" a="1"/>
  <c r="N182" i="1"/>
  <c r="R182" i="1"/>
  <c r="S182" i="1" a="1"/>
  <c r="S182" i="1"/>
  <c r="T182" i="1" a="1"/>
  <c r="T182" i="1"/>
  <c r="U182" i="1"/>
  <c r="AI182" i="1"/>
  <c r="AJ182" i="1"/>
  <c r="AK182" i="1"/>
  <c r="AL182" i="1"/>
  <c r="AM182" i="1"/>
  <c r="AN182" i="1"/>
  <c r="AO182" i="1"/>
  <c r="AP182" i="1"/>
  <c r="AQ182" i="1"/>
  <c r="AY182" i="1"/>
  <c r="BB182" i="1"/>
  <c r="BC182" i="1" a="1"/>
  <c r="BC182" i="1"/>
  <c r="BD182" i="1" a="1"/>
  <c r="BD182" i="1"/>
  <c r="BE182" i="1"/>
  <c r="BF182" i="1"/>
  <c r="BR182" i="1"/>
  <c r="BS182" i="1"/>
  <c r="N191" i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4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3" i="1"/>
  <c r="C183" i="1"/>
  <c r="AI183" i="1"/>
  <c r="BB183" i="1" s="1"/>
  <c r="AK183" i="1"/>
  <c r="K211" i="11" s="1"/>
  <c r="AL183" i="1"/>
  <c r="AO183" i="1"/>
  <c r="BE183" i="1" s="1"/>
  <c r="AP183" i="1"/>
  <c r="M21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12" i="11" s="1"/>
  <c r="AL184" i="1"/>
  <c r="AO184" i="1"/>
  <c r="BE184" i="1" s="1"/>
  <c r="M212" i="11"/>
  <c r="AQ184" i="1"/>
  <c r="BC184" i="1" a="1"/>
  <c r="BC184" i="1" s="1"/>
  <c r="BF184" i="1"/>
  <c r="BR184" i="1"/>
  <c r="BS184" i="1"/>
  <c r="BT184" i="1"/>
  <c r="A185" i="1"/>
  <c r="C185" i="1"/>
  <c r="G185" i="1"/>
  <c r="AI185" i="1"/>
  <c r="BB185" i="1" s="1"/>
  <c r="AK185" i="1"/>
  <c r="K213" i="11" s="1"/>
  <c r="AL185" i="1"/>
  <c r="AO185" i="1"/>
  <c r="BE185" i="1" s="1"/>
  <c r="AP185" i="1"/>
  <c r="M21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14" i="11" s="1"/>
  <c r="AL186" i="1"/>
  <c r="AO186" i="1"/>
  <c r="BE186" i="1" s="1"/>
  <c r="AP186" i="1"/>
  <c r="M21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15" i="11" s="1"/>
  <c r="AL187" i="1"/>
  <c r="AO187" i="1"/>
  <c r="BE187" i="1" s="1"/>
  <c r="AP187" i="1"/>
  <c r="M215" i="11" s="1"/>
  <c r="AQ187" i="1"/>
  <c r="BC187" i="1" a="1"/>
  <c r="BC187" i="1" s="1"/>
  <c r="BF187" i="1"/>
  <c r="BR187" i="1"/>
  <c r="BS187" i="1"/>
  <c r="BT187" i="1"/>
  <c r="K185" i="16"/>
  <c r="L185" i="16"/>
  <c r="D185" i="16"/>
  <c r="E185" i="16"/>
  <c r="K216" i="11"/>
  <c r="M216" i="1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03" i="1" l="1"/>
  <c r="AJ202" i="1"/>
  <c r="AJ199" i="1"/>
  <c r="BQ182" i="1"/>
  <c r="AJ181" i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6" i="1"/>
  <c r="BQ175" i="1"/>
  <c r="AJ173" i="1"/>
  <c r="AJ188" i="1"/>
  <c r="AJ184" i="1"/>
  <c r="AJ185" i="1"/>
  <c r="AJ187" i="1"/>
  <c r="AJ179" i="1"/>
  <c r="AJ183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6" i="1"/>
  <c r="BQ18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5" i="1"/>
  <c r="BQ184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3" i="1" a="1"/>
  <c r="BD183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D215" i="11"/>
  <c r="AN187" i="1"/>
  <c r="BD186" i="1" a="1"/>
  <c r="BD186" i="1" s="1"/>
  <c r="D212" i="11"/>
  <c r="C211" i="11"/>
  <c r="AM183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G216" i="11"/>
  <c r="F212" i="13"/>
  <c r="C215" i="11"/>
  <c r="AM187" i="1"/>
  <c r="G215" i="11"/>
  <c r="F211" i="13"/>
  <c r="D214" i="11"/>
  <c r="AN186" i="1"/>
  <c r="D213" i="11"/>
  <c r="AN185" i="1"/>
  <c r="C212" i="11"/>
  <c r="AM184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6" i="1"/>
  <c r="G214" i="11"/>
  <c r="F210" i="13"/>
  <c r="C213" i="11"/>
  <c r="AM185" i="1"/>
  <c r="G213" i="11"/>
  <c r="F209" i="13"/>
  <c r="D211" i="11"/>
  <c r="AN183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5" i="1" a="1"/>
  <c r="BD185" i="1" s="1"/>
  <c r="BD184" i="1" a="1"/>
  <c r="BD184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<sst xmlns="http://schemas.openxmlformats.org/spreadsheetml/2006/main" count="6470" uniqueCount="1715">
  <si>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</si>
  <si>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</si>
  <si>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</si>
  <si>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</si>
  <si>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</si>
  <si>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</si>
  <si>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</si>
  <si>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</si>
  <si>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</si>
  <si>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</si>
  <si>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</si>
  <si>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</si>
  <si>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</si>
  <si>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</si>
  <si>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</si>
  <si>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</si>
  <si>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</si>
  <si>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</si>
  <si>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</si>
  <si>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</si>
  <si>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</si>
  <si>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</si>
  <si>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</si>
  <si>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</si>
  <si>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</si>
  <si>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</si>
  <si>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</si>
  <si>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</si>
  <si>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</si>
  <si>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</si>
  <si>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</si>
  <si>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</si>
  <si>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</si>
  <si>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</si>
  <si>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</si>
  <si>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</si>
  <si>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</si>
  <si>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</si>
  <si>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</si>
  <si>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</si>
  <si>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</si>
  <si>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</si>
  <si>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</si>
  <si>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</si>
  <si>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</si>
  <si>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</si>
  <si>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</si>
  <si>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</si>
  <si>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</si>
  <si>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</si>
  <si>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</si>
  <si>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</si>
  <si>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</si>
  <si>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</si>
  <si>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</si>
  <si>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</si>
  <si>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</si>
  <si>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</si>
  <si>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</si>
  <si>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</si>
  <si>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</si>
  <si>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</si>
  <si>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</si>
  <si>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</si>
  <si>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</si>
  <si>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</si>
  <si>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</si>
  <si>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</si>
  <si>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</si>
  <si>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</si>
  <si>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</si>
  <si>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</si>
  <si>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</si>
  <si>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</si>
  <si>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</si>
  <si>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</si>
  <si>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</si>
  <si>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</si>
  <si>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</si>
  <si>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</si>
  <si>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</si>
  <si>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</si>
  <si>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</si>
  <si>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</si>
  <si>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</si>
  <si>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</si>
  <si>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</si>
  <si>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</si>
  <si>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</si>
  <si>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</si>
  <si>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</si>
  <si>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</si>
  <si>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</si>
  <si>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</si>
  <si>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</si>
  <si>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</si>
  <si>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</si>
  <si>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</si>
  <si>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</si>
  <si>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</si>
  <si>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</si>
  <si>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</si>
  <si>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</si>
  <si>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</si>
  <si>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</si>
  <si>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</si>
  <si>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</si>
  <si>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</si>
  <si>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</si>
  <si>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</si>
  <si>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</si>
  <si>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</si>
  <si>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</si>
  <si>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</si>
  <si>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</si>
  <si>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</si>
  <si>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</si>
  <si>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</si>
  <si>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</si>
  <si>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</si>
  <si>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</si>
  <si>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</si>
  <si>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</si>
  <si>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</si>
  <si>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</si>
  <si>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</si>
  <si>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</si>
  <si>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</si>
  <si>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</si>
  <si>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</si>
  <si>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</si>
  <si>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</si>
  <si>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</si>
  <si>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</si>
  <si>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</si>
  <si>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</si>
  <si>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</si>
  <si>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</si>
  <si>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</si>
  <si>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</si>
  <si>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</si>
  <si>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</si>
  <si>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</si>
  <si>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</si>
  <si>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</si>
  <si>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</si>
  <si>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</si>
  <si>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</si>
  <si>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</si>
  <si>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</si>
  <si>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</si>
  <si>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</si>
  <si>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</si>
  <si>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</si>
  <si>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</si>
  <si>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</si>
  <si>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</si>
  <si>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</si>
  <si>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</si>
  <si>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</si>
  <si>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</si>
  <si>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</si>
  <si>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</si>
  <si>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</si>
  <si>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</si>
  <si>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</si>
  <si>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</si>
  <si>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</si>
  <si>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</si>
  <si>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</si>
  <si>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</si>
  <si>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</si>
  <si>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</si>
  <si>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</si>
  <si>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</si>
  <si>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</si>
  <si>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</si>
  <si>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</si>
  <si>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</si>
  <si>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</si>
  <si>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</si>
  <si>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</si>
  <si>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</si>
  <si>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</si>
  <si>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</si>
  <si>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</si>
  <si>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</si>
  <si>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</si>
  <si>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</si>
  <si>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</si>
  <si>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</si>
  <si>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</si>
  <si>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</si>
  <si>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</si>
  <si>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</si>
  <si>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</si>
  <si>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</si>
  <si>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</si>
  <si>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</si>
  <si>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</si>
  <si>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</si>
  <si>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</si>
  <si>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</si>
  <si>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</si>
  <si>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</si>
  <si>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</si>
  <si>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</si>
  <si>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</si>
  <si>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</si>
  <si>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</si>
  <si>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</si>
  <si>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</si>
  <si>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</si>
  <si>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</si>
  <si>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</si>
  <si>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</si>
  <si>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</si>
  <si>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</si>
  <si>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</si>
  <si>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</si>
  <si>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</si>
  <si>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</si>
  <si>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</si>
  <si>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</si>
  <si>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</si>
  <si>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</si>
  <si>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</si>
  <si>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</si>
  <si>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</si>
  <si>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</si>
  <si>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</si>
  <si>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</si>
  <si>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</si>
  <si>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</si>
  <si>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</si>
  <si>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</si>
  <si>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</si>
  <si>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</si>
  <si>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</si>
  <si>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</si>
  <si>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</si>
  <si>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</si>
  <si>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</si>
  <si>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</si>
  <si>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</si>
  <si>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</si>
  <si>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</si>
  <si>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</si>
  <si>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</si>
  <si>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</si>
  <si>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</si>
  <si>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</si>
  <si>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</si>
  <si>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</si>
  <si>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</si>
  <si>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</si>
  <si>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</si>
  <si>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</si>
  <si>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</si>
  <si>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</si>
  <si>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</si>
  <si>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</si>
  <si>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</si>
  <si>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</si>
  <si>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</si>
  <si>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</si>
  <si>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</si>
  <si>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</si>
  <si>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</si>
  <si>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</si>
  <si>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</si>
  <si>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</si>
  <si>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</si>
  <si>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</si>
  <si>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</si>
  <si>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</si>
  <si>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</si>
  <si>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</si>
  <si>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</si>
  <si>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</si>
  <si>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</si>
  <si>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</si>
  <si>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</si>
  <si>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</si>
  <si>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</si>
  <si>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</si>
  <si>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</si>
  <si>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</si>
  <si>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</si>
  <si>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</si>
  <si>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</si>
  <si>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</si>
  <si>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</si>
  <si>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</si>
  <si>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</si>
  <si>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</si>
  <si>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</si>
  <si>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</si>
  <si>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</si>
  <si>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</si>
  <si>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</si>
  <si>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</si>
  <si>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</si>
  <si>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</si>
  <si>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</si>
  <si>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</si>
  <si>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</si>
  <si>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</si>
  <si>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</si>
  <si>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</si>
  <si>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</si>
  <si>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</si>
  <si>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</si>
  <si>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</si>
  <si>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</si>
  <si>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</si>
  <si>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</si>
  <si>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</si>
  <si>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</si>
  <si>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</si>
  <si>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</si>
  <si>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</si>
  <si>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</si>
  <si>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</si>
  <si>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</si>
  <si>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</si>
  <si>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</si>
  <si>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</si>
  <si>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</si>
  <si>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</si>
  <si>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</si>
  <si>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</si>
  <si>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</si>
  <si>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</si>
  <si>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</si>
  <si>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</si>
  <si>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</si>
  <si>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</si>
  <si>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</si>
  <si>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</si>
  <si>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</si>
  <si>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</si>
  <si>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</si>
  <si>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</si>
  <si>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</si>
  <si>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</si>
  <si>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</si>
  <si>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</si>
  <si>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</si>
  <si>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</si>
  <si>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</si>
  <si>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</si>
  <si>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</si>
  <si>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</si>
  <si>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</si>
  <si>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</si>
  <si>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</si>
  <si>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</si>
  <si>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</si>
  <si>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</si>
  <si>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</si>
  <si>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</si>
  <si>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</si>
  <si>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</si>
  <si>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</si>
  <si>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</si>
  <si>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</si>
  <si>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</si>
  <si>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</si>
  <si>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</si>
  <si>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</si>
  <si>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</si>
  <si>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</si>
  <si>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</si>
  <si>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</si>
  <si>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</si>
  <si>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</si>
  <si>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</si>
  <si>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</si>
  <si>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</si>
  <si>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</si>
  <si>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</si>
  <si>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</si>
  <si>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</si>
  <si>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</si>
  <si>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</si>
  <si>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</si>
  <si>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</si>
  <si>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</si>
  <si>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</si>
  <si>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</si>
  <si>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</si>
  <si>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</si>
  <si>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</si>
  <si>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</si>
  <si>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</si>
  <si>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</si>
  <si>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</si>
  <si>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</si>
  <si>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</si>
  <si>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</si>
  <si>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</si>
  <si>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</si>
  <si>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</si>
  <si>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</si>
  <si>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</si>
  <si>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</si>
  <si>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</si>
  <si>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</si>
  <si>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</si>
  <si>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</si>
  <si>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</si>
  <si>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</si>
  <si>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</si>
  <si>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</si>
  <si>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</si>
  <si>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</si>
  <si>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</si>
  <si>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</si>
  <si>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</si>
  <si>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</si>
  <si>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</si>
  <si>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</si>
  <si>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</si>
  <si>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</si>
  <si>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</si>
  <si>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</si>
  <si>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</si>
  <si>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</si>
  <si>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</si>
  <si>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</si>
  <si>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</si>
  <si>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</si>
  <si>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</si>
  <si>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</si>
  <si>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</si>
  <si>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</si>
  <si>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</si>
  <si>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</si>
  <si>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</si>
  <si>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</si>
  <si>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</si>
  <si>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</si>
  <si>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</si>
  <si>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</si>
  <si>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</si>
  <si>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</si>
  <si>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</si>
  <si>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</si>
  <si>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</si>
  <si>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</si>
  <si>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</si>
  <si>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</si>
  <si>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</si>
  <si>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</si>
  <si>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</si>
  <si>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</si>
  <si>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</si>
  <si>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</si>
  <si>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</si>
  <si>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</si>
  <si>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</si>
  <si>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</si>
  <si>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</si>
  <si>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</si>
  <si>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</si>
  <si>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</si>
  <si>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</si>
  <si>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</si>
  <si>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</si>
  <si>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</si>
  <si>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</si>
  <si>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</si>
  <si>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</si>
  <si>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</si>
  <si>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</si>
  <si>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</si>
  <si>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</si>
  <si>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</si>
  <si>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</si>
  <si>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</si>
  <si>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</si>
  <si>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</si>
  <si>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</si>
  <si>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</si>
  <si>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</si>
  <si>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</si>
  <si>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</si>
  <si>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</si>
  <si>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</si>
  <si>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</si>
  <si>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</si>
  <si>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</si>
  <si>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</si>
  <si>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</si>
  <si>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</si>
  <si>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</si>
  <si>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</si>
  <si>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</si>
  <si>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</si>
  <si>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</si>
  <si>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</si>
  <si>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</si>
  <si>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</si>
  <si>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</si>
  <si>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</si>
  <si>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</si>
  <si>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</si>
  <si>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</si>
  <si>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</si>
  <si>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</si>
  <si>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</si>
  <si>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</si>
  <si>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</si>
  <si>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</si>
  <si>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</si>
  <si>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</si>
  <si>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</si>
  <si>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</si>
  <si>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</si>
  <si>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</si>
  <si>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</si>
  <si>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</si>
  <si>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</si>
  <si>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</si>
  <si>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</si>
  <si>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</si>
  <si>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</si>
  <si>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</si>
  <si>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</si>
  <si>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</si>
  <si>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</si>
  <si>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</si>
  <si>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</si>
  <si>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</si>
  <si>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</si>
  <si>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</si>
  <si>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</si>
  <si>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</si>
  <si>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</si>
  <si>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</si>
  <si>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</si>
  <si>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</si>
  <si>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</si>
  <si>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</si>
  <si>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</si>
  <si>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</si>
  <si>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</si>
  <si>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</si>
  <si>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</si>
  <si>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</si>
  <si>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</si>
  <si>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</si>
  <si>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</si>
  <si>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</si>
  <si>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</si>
  <si>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</si>
  <si>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</si>
  <si>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</si>
  <si>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</si>
  <si>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</si>
  <si>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</si>
  <si>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</si>
  <si>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</si>
  <si>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</si>
  <si>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</si>
  <si>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</si>
  <si>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</si>
  <si>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</si>
  <si>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</si>
  <si>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</si>
  <si>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</si>
  <si>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</si>
  <si>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</si>
  <si>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</si>
  <si>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</si>
  <si>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</si>
  <si>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</si>
  <si>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</si>
  <si>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</si>
  <si>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</si>
  <si>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</si>
  <si>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</si>
  <si>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</si>
  <si>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</si>
  <si>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</si>
  <si>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</si>
  <si>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</si>
  <si>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</si>
  <si>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</si>
  <si>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</si>
  <si>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</si>
  <si>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</si>
  <si>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</si>
  <si>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</si>
  <si>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</si>
  <si>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</si>
  <si>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</si>
  <si>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</si>
  <si>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</si>
  <si>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</si>
  <si>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</si>
  <si>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</si>
  <si>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</si>
  <si>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</si>
  <si>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</si>
  <si>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</si>
  <si>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</si>
  <si>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</si>
  <si>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</si>
  <si>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</si>
  <si>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</si>
  <si>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</si>
  <si>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</si>
  <si>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</si>
  <si>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</si>
  <si>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</si>
  <si>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</si>
  <si>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</si>
  <si>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</si>
  <si>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</si>
  <si>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</si>
  <si>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</si>
  <si>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</si>
  <si>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</si>
  <si>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</si>
  <si>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</si>
  <si>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</si>
  <si>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</si>
  <si>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</si>
  <si>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</si>
  <si>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</si>
  <si>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</si>
  <si>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</si>
  <si>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</si>
  <si>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</si>
  <si>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</si>
  <si>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</si>
  <si>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</si>
  <si>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</si>
  <si>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</si>
  <si>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</si>
  <si>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</si>
  <si>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</si>
  <si>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</si>
  <si>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</si>
  <si>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</si>
  <si>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</si>
  <si>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</si>
  <si>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</si>
  <si>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</si>
  <si>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</si>
  <si>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</si>
  <si>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</si>
  <si>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</si>
  <si>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</si>
  <si>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</si>
  <si>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</si>
  <si>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</si>
  <si>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</si>
  <si>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</si>
  <si>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</si>
  <si>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</si>
  <si>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</si>
  <si>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</si>
  <si>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</si>
  <si>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</si>
  <si>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</si>
  <si>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</si>
  <si>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</si>
  <si>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</si>
  <si>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</si>
  <si>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</si>
  <si>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</si>
  <si>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</si>
  <si>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</si>
  <si>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</si>
  <si>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</si>
  <si>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</si>
  <si>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</si>
  <si>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</si>
  <si>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</si>
  <si>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</si>
  <si>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</si>
  <si>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</si>
  <si>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</si>
  <si>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</si>
  <si>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</si>
  <si>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</si>
  <si>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</si>
  <si>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</si>
  <si>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</si>
  <si>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</si>
  <si>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</si>
  <si>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</si>
  <si>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</si>
  <si>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</si>
  <si>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</si>
  <si>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</si>
  <si>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</si>
  <si>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</si>
  <si>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</si>
  <si>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</si>
  <si>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</si>
  <si>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</si>
  <si>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</si>
  <si>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</si>
  <si>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</si>
  <si>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</si>
  <si>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</si>
  <si>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</si>
  <si>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</si>
  <si>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</si>
  <si>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</si>
  <si>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</si>
  <si>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</si>
  <si>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</si>
  <si>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</si>
  <si>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</si>
  <si>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</si>
  <si>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</si>
  <si>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</si>
  <si>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</si>
  <si>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</si>
  <si>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</si>
  <si>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</si>
  <si>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</si>
  <si>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</si>
  <si>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</si>
  <si>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</si>
  <si>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</si>
  <si>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</si>
  <si>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</si>
  <si>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</si>
  <si>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</si>
  <si>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</si>
  <si>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</si>
  <si>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</si>
  <si>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</si>
  <si>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</si>
  <si>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</si>
  <si>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</si>
  <si>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</si>
  <si>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</si>
  <si>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</si>
  <si>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</si>
  <si>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</si>
  <si>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</si>
  <si>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</si>
  <si>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</si>
  <si>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</si>
  <si>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</si>
  <si>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</si>
  <si>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</si>
  <si>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</si>
  <si>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</si>
  <si>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</si>
  <si>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</si>
  <si>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</si>
  <si>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</si>
  <si>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</si>
  <si>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</si>
  <si>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</si>
  <si>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</si>
  <si>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</si>
  <si>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</si>
  <si>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</si>
  <si>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</si>
  <si>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</si>
  <si>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</si>
  <si>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</si>
  <si>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</si>
  <si>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</si>
  <si>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</si>
  <si>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</si>
  <si>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</si>
  <si>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</si>
  <si>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</si>
  <si>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</si>
  <si>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</si>
  <si>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</si>
  <si>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</si>
  <si>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</si>
  <si>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</si>
  <si>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</si>
  <si>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</si>
  <si>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</si>
  <si>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</si>
  <si>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</si>
  <si>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</si>
  <si>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</si>
  <si>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</si>
  <si>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</si>
  <si>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</si>
  <si>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</si>
  <si>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</si>
  <si>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</si>
  <si>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</si>
  <si>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</si>
  <si>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</si>
  <si>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</si>
  <si>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</si>
  <si>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</si>
  <si>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</si>
  <si>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</si>
  <si>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</si>
  <si>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</si>
  <si>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</si>
  <si>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</si>
  <si>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</si>
  <si>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</si>
  <si>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</si>
  <si>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</si>
  <si>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</si>
  <si>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</si>
  <si>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</si>
  <si>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</si>
  <si>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</si>
  <si>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</si>
  <si>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</si>
  <si>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</si>
  <si>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</si>
  <si>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</si>
  <si>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</si>
  <si>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</si>
  <si>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</si>
  <si>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</si>
  <si>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</si>
  <si>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</si>
  <si>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</si>
  <si>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</si>
  <si>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</si>
  <si>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</si>
  <si>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</si>
  <si>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</si>
  <si>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</si>
  <si>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</si>
  <si>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</si>
  <si>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</si>
  <si>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</si>
  <si>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</si>
  <si>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</si>
  <si>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</si>
  <si>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</si>
  <si>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</si>
  <si>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</si>
  <si>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</si>
  <si>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</si>
  <si>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</si>
  <si>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</si>
  <si>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</si>
  <si>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</si>
  <si>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</si>
  <si>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</si>
  <si>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</si>
  <si>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</si>
  <si>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</si>
  <si>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</si>
  <si>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</si>
  <si>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</si>
  <si>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</si>
  <si>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</si>
  <si>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</si>
  <si>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</si>
  <si>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</si>
  <si>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</si>
  <si>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</si>
  <si>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</si>
  <si>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</si>
  <si>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</si>
  <si>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</si>
  <si>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</si>
  <si>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</si>
  <si>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</si>
  <si>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</si>
  <si>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</si>
  <si>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</si>
  <si>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</si>
  <si>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</si>
  <si>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</si>
  <si>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</si>
  <si>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</si>
  <si>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</si>
  <si>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</si>
  <si>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</si>
  <si>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</si>
  <si>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</si>
  <si>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</si>
  <si>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</si>
  <si>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</si>
  <si>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</si>
  <si>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</si>
  <si>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</si>
  <si>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</si>
  <si>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</si>
  <si>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</si>
  <si>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</si>
  <si>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</si>
  <si>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</si>
  <si>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</si>
  <si>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</si>
  <si>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</si>
  <si>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</si>
  <si>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</si>
  <si>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</si>
  <si>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</si>
  <si>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</si>
  <si>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</si>
  <si>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</si>
  <si>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</si>
  <si>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</si>
  <si>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</si>
  <si>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</si>
  <si>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</si>
  <si>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</si>
  <si>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</si>
  <si>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</si>
  <si>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</si>
  <si>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</si>
  <si>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</si>
  <si>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</si>
  <si>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</si>
  <si>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</si>
  <si>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</si>
  <si>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</si>
  <si>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</si>
  <si>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</si>
  <si>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</si>
  <si>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</si>
  <si>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</si>
  <si>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</si>
  <si>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</si>
  <si>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</si>
  <si>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</si>
  <si>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</si>
  <si>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</si>
  <si>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</si>
  <si>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</si>
  <si>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</si>
  <si>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</si>
  <si>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</si>
  <si>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</si>
  <si>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</si>
  <si>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</si>
  <si>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</si>
  <si>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</si>
  <si>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</si>
  <si>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</si>
  <si>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</si>
  <si>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</si>
  <si>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</si>
  <si>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</si>
  <si>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</si>
  <si>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</si>
  <si>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</si>
  <si>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</si>
  <si>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</si>
  <si>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</si>
  <si>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</si>
  <si>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</si>
  <si>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</si>
  <si>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</si>
  <si>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</si>
  <si>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</si>
  <si>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</si>
  <si>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</si>
  <si>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</si>
  <si>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</si>
  <si>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</si>
  <si>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</si>
  <si>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</si>
  <si>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</si>
  <si>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</si>
  <si>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</si>
  <si>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</si>
  <si>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</si>
  <si>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</si>
  <si>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</si>
  <si>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</si>
  <si>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</si>
  <si>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</si>
  <si>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</si>
  <si>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</si>
  <si>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</si>
  <si>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</si>
  <si>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</si>
  <si>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</si>
  <si>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</si>
  <si>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</si>
  <si>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</si>
  <si>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</si>
  <si>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</si>
  <si>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</si>
  <si>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</si>
  <si>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</si>
  <si>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</si>
  <si>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</si>
  <si>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</si>
  <si>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</si>
  <si>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</si>
  <si>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</si>
  <si>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</si>
  <si>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</si>
  <si>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</si>
  <si>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</si>
  <si>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</si>
  <si>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</si>
  <si>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</si>
  <si>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</si>
  <si>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</si>
  <si>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</si>
  <si>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</si>
  <si>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</si>
  <si>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</si>
  <si>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</si>
  <si>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</si>
  <si>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</si>
  <si>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</si>
  <si>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</si>
  <si>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</si>
  <si>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</si>
  <si>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</si>
  <si>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</si>
  <si>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</si>
  <si>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</si>
  <si>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</si>
  <si>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</si>
  <si>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</si>
  <si>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</si>
  <si>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</si>
  <si>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</si>
  <si>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</si>
  <si>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</si>
  <si>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</si>
  <si>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</si>
  <si>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</si>
  <si>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</si>
  <si>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</si>
  <si>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</si>
  <si>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</si>
  <si>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</si>
  <si>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</si>
  <si>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</si>
  <si>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</si>
  <si>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</si>
  <si>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</si>
  <si>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</si>
  <si>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</si>
  <si>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</si>
  <si>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</si>
  <si>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</si>
  <si>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</si>
  <si>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</si>
  <si>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</si>
  <si>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</si>
  <si>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</si>
  <si>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</si>
  <si>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</si>
  <si>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</si>
  <si>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</si>
  <si>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</si>
  <si>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</si>
  <si>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</si>
  <si>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</si>
  <si>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</si>
  <si>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</si>
  <si>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</si>
  <si>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</si>
  <si>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</si>
  <si>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</si>
  <si>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</si>
  <si>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</si>
  <si>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</si>
  <si>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</si>
  <si>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</si>
  <si>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</si>
  <si>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</si>
  <si>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</si>
  <si>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</si>
  <si>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</si>
  <si>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</si>
  <si>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</si>
  <si>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</si>
  <si>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</si>
  <si>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</si>
  <si>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</si>
  <si>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</si>
  <si>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</si>
  <si>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</si>
  <si>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</si>
  <si>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</si>
  <si>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</si>
  <si>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</si>
  <si>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</si>
  <si>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</si>
  <si>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</si>
  <si>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</si>
  <si>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</si>
  <si>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</si>
  <si>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</si>
  <si>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</si>
  <si>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</si>
  <si>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</si>
  <si>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</si>
  <si>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</si>
  <si>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</si>
  <si>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</si>
  <si>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</si>
  <si>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</si>
  <si>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</si>
  <si>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</si>
  <si>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</si>
  <si>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</si>
  <si>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</si>
  <si>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</si>
  <si>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</si>
  <si>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</si>
  <si>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</si>
  <si>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</si>
  <si>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</si>
  <si>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</si>
  <si>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</si>
  <si>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</si>
  <si>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</si>
  <si>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</si>
  <si>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</si>
  <si>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</si>
  <si>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</si>
  <si>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</si>
  <si>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</si>
  <si>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</si>
  <si>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</si>
  <si>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</si>
  <si>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</si>
  <si>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</si>
  <si>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</si>
  <si>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</si>
  <si>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</si>
  <si>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</si>
  <si>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</si>
  <si>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</si>
  <si>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</si>
  <si>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</si>
  <si>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</si>
  <si>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</si>
  <si>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</si>
  <si>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</si>
  <si>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</si>
  <si>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</si>
  <si>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</si>
  <si>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</si>
  <si>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</si>
  <si>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</si>
  <si>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</si>
  <si>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</si>
  <si>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</si>
  <si>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</si>
  <si>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</si>
  <si>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</si>
  <si>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</si>
  <si>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</si>
  <si>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</si>
  <si>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</si>
  <si>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</si>
  <si>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</si>
  <si>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</si>
  <si>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</si>
  <si>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</si>
  <si>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</si>
  <si>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</si>
  <si>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</si>
  <si>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</si>
  <si>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</si>
  <si>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</si>
  <si>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</si>
  <si>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</si>
  <si>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</si>
  <si>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</si>
  <si>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</si>
  <si>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</si>
  <si>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</si>
  <si>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</si>
  <si>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</si>
  <si>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</si>
  <si>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</si>
  <si>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</si>
  <si>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</si>
  <si>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</si>
  <si>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</si>
  <si>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</si>
  <si>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</si>
  <si>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</si>
  <si>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</si>
  <si>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</si>
  <si>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</si>
  <si>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</si>
  <si>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</si>
  <si>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</si>
  <si>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</si>
  <si>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</si>
  <si>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</si>
  <si>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</si>
  <si>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</si>
  <si>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</si>
  <si>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</si>
  <si>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</si>
  <si>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</si>
  <si>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</si>
  <si>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</si>
  <si>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</si>
  <si>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</si>
  <si>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</si>
  <si>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</si>
  <si>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</si>
  <si>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</si>
  <si>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</si>
  <si>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</si>
  <si>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</si>
  <si>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</si>
  <si>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</si>
  <si>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</si>
  <si>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</si>
  <si>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</si>
  <si>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</si>
  <si>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</si>
  <si>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</si>
  <si>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</si>
  <si>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</si>
  <si>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</si>
  <si>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</si>
  <si>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</si>
  <si>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</si>
  <si>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</si>
  <si>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</si>
  <si>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</si>
  <si>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</si>
  <si>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</si>
  <si>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</si>
  <si>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</si>
  <si>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</si>
  <si>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</si>
  <si>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</si>
  <si>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</si>
  <si>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</si>
  <si>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</si>
  <si>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</si>
  <si>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</si>
  <si>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</si>
  <si>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</si>
  <si>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</si>
  <si>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</si>
  <si>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</si>
  <si>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</si>
  <si>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</si>
  <si>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</si>
  <si>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</si>
  <si>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</si>
  <si>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</si>
  <si>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</si>
  <si>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</si>
  <si>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</si>
  <si>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</si>
  <si>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</si>
  <si>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</si>
  <si>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</si>
  <si>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</si>
  <si>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</si>
  <si>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</si>
  <si>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</si>
  <si>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</si>
  <si>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</si>
  <si>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</si>
  <si>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</si>
  <si>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</si>
  <si>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</si>
  <si>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</si>
  <si>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</si>
  <si>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</si>
  <si>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</si>
  <si>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</si>
  <si>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</si>
  <si>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</si>
  <si>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</si>
  <si>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</si>
  <si>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</si>
  <si>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</si>
  <si>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</si>
  <si>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</si>
  <si>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</si>
  <si>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</si>
  <si>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</si>
  <si>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</si>
  <si>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</si>
  <si>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</si>
  <si>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</si>
  <si>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</si>
  <si>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</si>
  <si>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</si>
  <si>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</si>
  <si>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</si>
  <si>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</si>
  <si>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</si>
  <si>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</si>
  <si>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</si>
  <si>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</si>
  <si>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</si>
  <si>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</si>
  <si>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</si>
  <si>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</si>
  <si>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</si>
  <si>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</si>
  <si>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</si>
  <si>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</si>
  <si>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</si>
  <si>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</si>
  <si>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</si>
  <si>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</si>
  <si>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</si>
  <si>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</si>
  <si>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</si>
  <si>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</si>
  <si>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</si>
  <si>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</si>
  <si>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</si>
  <si>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</si>
  <si>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</si>
  <si>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</si>
  <si>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</si>
  <si>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</si>
  <si>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</si>
  <si>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</si>
  <si>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</si>
  <si>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</si>
  <si>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</si>
  <si>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</si>
  <si>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</si>
  <si>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</si>
  <si>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</si>
  <si>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</si>
  <si>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</si>
  <si>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</si>
  <si>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</si>
  <si>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</si>
  <si>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</si>
  <si>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</si>
  <si>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</si>
  <si>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</si>
  <si>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</si>
  <si>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</si>
  <si>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</si>
  <si>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</si>
  <si>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</si>
  <si>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</si>
  <si>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</si>
  <si>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</si>
  <si>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</si>
  <si>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</si>
  <si>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</si>
  <si>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</si>
  <si>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</si>
  <si>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</si>
  <si>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</si>
  <si>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</si>
  <si>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</si>
  <si>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</si>
  <si>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</si>
  <si>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</si>
  <si>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</si>
  <si>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</si>
  <si>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</si>
  <si>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</si>
  <si>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</si>
  <si>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</si>
  <si>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</si>
  <si>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</si>
  <si>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</si>
  <si>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</si>
  <si>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</si>
  <si>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</si>
  <si>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</si>
  <si>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</si>
  <si>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</si>
  <si>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</si>
  <si>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</si>
  <si>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</si>
  <si>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</si>
  <si>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</si>
  <si>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</si>
  <si>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</si>
  <si>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</si>
  <si>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</si>
  <si>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</si>
  <si>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</si>
  <si>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</si>
  <si>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</si>
  <si>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</si>
  <si>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</si>
  <si>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</si>
  <si>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</si>
  <si>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</si>
  <si>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</si>
  <si>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</si>
  <si>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</si>
  <si>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</si>
  <si>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</si>
  <si>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</si>
  <si>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</si>
  <si>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</si>
  <si>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</si>
  <si>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</si>
  <si>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</si>
  <si>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</si>
  <si>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</si>
  <si>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</si>
  <si>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</si>
  <si>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</si>
  <si>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</si>
  <si>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</si>
  <si>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</si>
  <si>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</si>
  <si>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</si>
  <si>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</si>
  <si>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</si>
  <si>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</si>
  <si>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</si>
  <si>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</si>
  <si>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</si>
  <si>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</si>
  <si>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</si>
  <si>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</si>
  <si>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</si>
  <si>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</si>
  <si>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</si>
  <si>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</si>
  <si>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</si>
  <si>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</si>
  <si>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</si>
  <si>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</si>
  <si>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</si>
  <si>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</si>
  <si>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</si>
  <si>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</si>
  <si>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</si>
  <si>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</si>
  <si>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</si>
  <si>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</si>
  <si>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</si>
  <si>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</si>
  <si>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</si>
  <si>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</si>
  <si>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</si>
  <si>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</si>
  <si>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</si>
  <si>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</si>
  <si>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</si>
  <si>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</si>
  <si>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</si>
  <si>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</si>
  <si>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</si>
  <si>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</si>
  <si>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</si>
  <si>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</si>
  <si>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</si>
  <si>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</si>
  <si>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</si>
  <si>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</si>
  <si>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</si>
  <si>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</si>
  <si>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</si>
  <si>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</si>
  <si>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</si>
  <si>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</si>
  <si>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</si>
  <si>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</si>
  <si>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</si>
  <si>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</si>
  <si>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</si>
  <si>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</si>
  <si>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</si>
  <si>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</si>
  <si>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</si>
  <si>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</si>
  <si>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</si>
  <si>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</si>
  <si>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</si>
  <si>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</si>
  <si>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</si>
  <si>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</si>
  <si>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</si>
  <si>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</si>
  <si>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</si>
  <si>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</si>
  <si>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</si>
  <si>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</si>
  <si>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</si>
  <si>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</si>
  <si>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</si>
  <si>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</si>
  <si>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</si>
  <si>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</si>
  <si>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</si>
  <si>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</si>
  <si>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</si>
  <si>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</si>
  <si>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</si>
  <si>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</si>
  <si>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</si>
  <si>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</si>
  <si>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</si>
  <si>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</si>
  <si>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</si>
  <si>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</si>
  <si>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</si>
  <si>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</si>
  <si>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</si>
  <si>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</si>
  <si>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</si>
  <si>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</si>
  <si>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</si>
  <si>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</si>
  <si>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</si>
  <si>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</si>
  <si>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</si>
  <si>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</si>
  <si>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</si>
  <si>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</si>
  <si>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</si>
  <si>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</si>
  <si>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</si>
  <si>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</si>
  <si>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</si>
  <si>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</si>
  <si>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</si>
  <si>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</si>
  <si>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</si>
  <si>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</si>
  <si>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</si>
  <si>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</si>
  <si>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</si>
  <si>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</si>
  <si>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</si>
  <si>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</si>
  <si>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</si>
  <si>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</si>
  <si>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</si>
  <si>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</si>
  <si>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</si>
  <si>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</si>
  <si>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</si>
  <si>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</si>
  <si>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</si>
  <si>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</si>
  <si>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</si>
  <si>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</si>
  <si>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</si>
  <si>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</si>
  <si>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</si>
  <si>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</si>
  <si>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</si>
  <si>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</si>
  <si>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</si>
  <si>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</si>
  <si>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</si>
  <si>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</si>
  <si>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</si>
  <si>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</si>
  <si>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</si>
  <si>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</si>
  <si>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</si>
  <si>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</si>
  <si>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</si>
  <si>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</si>
  <si>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</si>
  <si>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</si>
  <si>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</si>
  <si>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</si>
  <si>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</si>
  <si>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</si>
  <si>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</si>
  <si>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</si>
  <si>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</si>
  <si>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</si>
  <si>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</si>
  <si>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</si>
  <si>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</si>
  <si>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</si>
  <si>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</si>
  <si>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</si>
  <si>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</si>
  <si>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</si>
  <si>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</si>
  <si>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</si>
  <si>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</si>
  <si>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</si>
  <si>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</si>
  <si>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</si>
  <si>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</si>
  <si>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</si>
  <si>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</si>
  <si>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</si>
  <si>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</si>
  <si>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</si>
  <si>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</si>
  <si>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</si>
  <si>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</si>
  <si>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</si>
  <si>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</si>
  <si>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</si>
  <si>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</si>
  <si>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</si>
  <si>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</si>
  <si>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</si>
  <si>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</si>
  <si>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</si>
  <si>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</si>
  <si>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</si>
  <si>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</si>
  <si>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</si>
  <si>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</si>
  <si>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</si>
  <si>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</si>
  <si>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</si>
  <si>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</si>
  <si>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</si>
  <si>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</si>
  <si>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</si>
  <si>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</si>
  <si>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</si>
  <si>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</si>
  <si>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</si>
  <si>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</si>
  <si>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</si>
  <si>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</si>
  <si>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</si>
  <si>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</si>
  <si>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</si>
  <si>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</si>
  <si>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</si>
  <si>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</si>
  <si>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</si>
  <si>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</si>
  <si>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MC1 as 08:41h - Negado sem faixa</t>
  </si>
  <si>
    <t>Pronto as 07:26h - colicitou no km 617,8</t>
  </si>
  <si>
    <t>Previsão de MC1 as 10:00h</t>
  </si>
  <si>
    <t>Pronto as 07:40h - Solicitou no km 498,9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</si>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</sst>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H172" activePane="topRight" state="frozen"/>
      <selection pane="topRight" activeCell="BJ184" sqref="BJ1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IF(D180="","*",IFERROR(IF(ISODD(COUNT(AS180:AX183)),"ERRO",SUM((AT180-AS180),(AV180-AU180),(AX180-AW180))),"ERRO"))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7" t="s">
        <v>1635</v>
      </c>
      <c r="BK180" s="247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8" t="str">
        <f t="shared" si="22"/>
        <v>OKOK</v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IF(D181="","*",IFERROR(IF(ISODD(COUNT(AS181:AX184)),"ERRO",SUM((AT181-AS181),(AV181-AU181),(AX181-AW181))),"ERRO"))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198" t="str">
        <f>D182&amp;B182</f>
        <v/>
      </c>
      <c r="B182" s="199"/>
      <c r="C182" s="7" t="str">
        <f>IF(BS_CONTROLE[[#This Row],[DATA]]="","",WEEKNUM(BS_CONTROLE[[#This Row],[DATA]]))</f>
        <v/>
      </c>
      <c r="D182" s="45"/>
      <c r="E182" s="181"/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/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201"/>
      <c r="W182" s="202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203" t="str">
        <f>IF(BS_CONTROLE[[#This Row],[Local - Partida]]=0, "-", BS_CONTROLE[[#This Row],[Local - Partida]])</f>
        <v>-</v>
      </c>
      <c r="AL182" s="203" t="str">
        <f>IF(BS_CONTROLE[[#This Row],[Local - Encerramento]]=0, "-", BS_CONTROLE[[#This Row],[Local - Encerramento]])</f>
        <v>-</v>
      </c>
      <c r="AM182" s="203" t="str">
        <f>IF(BS_CONTROLE[[#This Row],[Entre - Estações]]=0, "-", BS_CONTROLE[[#This Row],[Entre - Estações]])</f>
        <v>-</v>
      </c>
      <c r="AN182" s="203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204"/>
      <c r="AS182" s="204"/>
      <c r="AT182" s="204"/>
      <c r="AU182" s="204"/>
      <c r="AV182" s="204"/>
      <c r="AW182" s="204"/>
      <c r="AX182" s="32"/>
      <c r="AY182" s="180" t="str">
        <f>IF(D182="","*",IFERROR(IF(ISODD(COUNT(AS182:AX184)),"ERRO",SUM((AT182-AS182),(AV182-AU182),(AX182-AW182))),"ERRO"))</f>
        <v>*</v>
      </c>
      <c r="AZ182" s="11"/>
      <c r="BA182" s="295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205"/>
      <c r="BK182" s="14"/>
      <c r="BL182" s="13"/>
      <c r="BM182" s="12"/>
      <c r="BN182" s="12"/>
      <c r="BO182" s="130"/>
      <c r="BP182" s="14"/>
      <c r="BQ182" s="10" t="str">
        <f>IF(AND(BR182&lt;1,BS182&lt;1),"Produção e Intervalo",IF(BR182&lt;1,"Intervalo",IF(BS182&lt;1,"Produção","Aderente")))</f>
        <v>Aderente</v>
      </c>
      <c r="BR182" s="15" t="str">
        <f>IF(OR(B182="",F182=""),"*",AY182/P182)</f>
        <v>*</v>
      </c>
      <c r="BS182" s="15" t="str">
        <f>IF(OR(B182="",F182=""),"*",BA182/Q182)</f>
        <v>*</v>
      </c>
      <c r="BT182" s="238"/>
    </row>
    <row r="183" spans="1:72">
      <c r="A183" s="44" t="str">
        <f t="shared" si="23"/>
        <v>V8646071</v>
      </c>
      <c r="B183" s="132">
        <v>46071</v>
      </c>
      <c r="C183" s="7">
        <f>IF(BS_CONTROLE[[#This Row],[DATA]]="","",WEEKNUM(BS_CONTROLE[[#This Row],[DATA]]))</f>
        <v>8</v>
      </c>
      <c r="D183" s="45" t="s">
        <v>217</v>
      </c>
      <c r="E183" s="181">
        <v>174</v>
      </c>
      <c r="F183" s="133" t="s">
        <v>116</v>
      </c>
      <c r="G183" s="8" t="s">
        <v>116</v>
      </c>
      <c r="H183" s="134" t="s">
        <v>617</v>
      </c>
      <c r="I183" s="134" t="s">
        <v>1574</v>
      </c>
      <c r="J183" s="150">
        <v>98</v>
      </c>
      <c r="K183" s="150">
        <v>659.976</v>
      </c>
      <c r="L183" s="71">
        <v>662.91099999999994</v>
      </c>
      <c r="M183" s="148" t="s">
        <v>632</v>
      </c>
      <c r="N183" s="148" t="s">
        <v>1639</v>
      </c>
      <c r="O183" s="134">
        <v>0.4375</v>
      </c>
      <c r="P183" s="134">
        <v>0.125</v>
      </c>
      <c r="Q183" s="71">
        <v>1680</v>
      </c>
      <c r="R183" s="9" t="s">
        <v>37</v>
      </c>
      <c r="S183" s="176" t="s">
        <v>370</v>
      </c>
      <c r="T183" s="176" t="s">
        <v>578</v>
      </c>
      <c r="U183" s="195" t="s">
        <v>577</v>
      </c>
      <c r="V183" s="142" t="s">
        <v>1274</v>
      </c>
      <c r="W183" s="134" t="s">
        <v>1275</v>
      </c>
      <c r="X183" s="151" t="s">
        <v>1000</v>
      </c>
      <c r="Y183" s="129" t="s">
        <v>999</v>
      </c>
      <c r="Z183" s="129"/>
      <c r="AA183" s="71">
        <v>1</v>
      </c>
      <c r="AB183" s="59" t="s">
        <v>997</v>
      </c>
      <c r="AC183" s="59"/>
      <c r="AD183" s="134">
        <v>0.29166666666666669</v>
      </c>
      <c r="AE183" s="71">
        <v>6236</v>
      </c>
      <c r="AF183" s="71">
        <v>6636</v>
      </c>
      <c r="AG183" s="71"/>
      <c r="AH183" s="42"/>
      <c r="AI183" s="119" t="str">
        <f>IF(BS_CONTROLE[[#This Row],[Atividade]]=0, "-", BS_CONTROLE[[#This Row],[Atividade]])</f>
        <v>MECANIZAÇÃO - SOCADORA</v>
      </c>
      <c r="AJ183" s="8" t="str">
        <f>IF(D183="","*",VLOOKUP(AI183,BS_ATIVIDADE[#Data],3,FALSE))</f>
        <v>MECANIZAÇÃO - SOCADORA</v>
      </c>
      <c r="AK183" s="171" t="str">
        <f>IF(BS_CONTROLE[[#This Row],[Local - Partida]]=0, "-", BS_CONTROLE[[#This Row],[Local - Partida]])</f>
        <v>TIQ</v>
      </c>
      <c r="AL183" s="171" t="str">
        <f>IF(BS_CONTROLE[[#This Row],[Local - Encerramento]]=0, "-", BS_CONTROLE[[#This Row],[Local - Encerramento]])</f>
        <v xml:space="preserve">TIQ </v>
      </c>
      <c r="AM183" s="171" t="str">
        <f>IF(BS_CONTROLE[[#This Row],[Entre - Estações]]=0, "-", BS_CONTROLE[[#This Row],[Entre - Estações]])</f>
        <v>TBS</v>
      </c>
      <c r="AN183" s="171" t="str">
        <f>IF(BS_CONTROLE[[#This Row],[SB]]=0, "-", BS_CONTROLE[[#This Row],[SB]])</f>
        <v>TBS1/TBS671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659.976</v>
      </c>
      <c r="AQ183" s="173">
        <f>IF(BS_CONTROLE[[#This Row],[KM - Fim]]=0, "-", BS_CONTROLE[[#This Row],[KM - Fim]])</f>
        <v>662.91099999999994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Antonioni</v>
      </c>
      <c r="BG183" s="13"/>
      <c r="BH183" s="14">
        <v>0</v>
      </c>
      <c r="BI183" s="14"/>
      <c r="BJ183" s="14" t="s">
        <v>1640</v>
      </c>
      <c r="BK183" s="14" t="s">
        <v>1641</v>
      </c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BRUNO (TF-525)46071</v>
      </c>
      <c r="B184" s="132">
        <v>46071</v>
      </c>
      <c r="C184" s="7">
        <f>IF(BS_CONTROLE[[#This Row],[DATA]]="","",WEEKNUM(BS_CONTROLE[[#This Row],[DATA]]))</f>
        <v>8</v>
      </c>
      <c r="D184" s="45" t="s">
        <v>278</v>
      </c>
      <c r="E184" s="181">
        <v>206</v>
      </c>
      <c r="F184" s="133" t="s">
        <v>193</v>
      </c>
      <c r="G184" s="8" t="str">
        <f>IF(D184="","*",VLOOKUP(F184,BS_ATIVIDADE[#All],3,FALSE))</f>
        <v>SOLDA</v>
      </c>
      <c r="H184" s="134" t="s">
        <v>597</v>
      </c>
      <c r="I184" s="134" t="s">
        <v>11</v>
      </c>
      <c r="J184" s="150">
        <v>98</v>
      </c>
      <c r="K184" s="150">
        <v>661.84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4" s="134">
        <v>0.375</v>
      </c>
      <c r="P184" s="134">
        <v>6.25E-2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195" t="str">
        <f>IFERROR(_xlfn.XLOOKUP(J184, BASE_MAPA!$B$2:$B$420, BASE_MAPA!$G$2:$G$420), "ERRO")</f>
        <v>ALTO ARAGUAIA - RONDONOPOLIS</v>
      </c>
      <c r="V184" s="142" t="s">
        <v>1317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TEP1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TBS-TAL</v>
      </c>
      <c r="AN184" s="171" t="s">
        <v>621</v>
      </c>
      <c r="AO184" s="172">
        <f>IF(BS_CONTROLE[[#This Row],[SUB]]=0, "-", BS_CONTROLE[[#This Row],[SUB]])</f>
        <v>98</v>
      </c>
      <c r="AP184" s="173">
        <v>617.79999999999995</v>
      </c>
      <c r="AQ184" s="173" t="str">
        <f>IF(BS_CONTROLE[[#This Row],[KM - Fim]]=0, "-", BS_CONTROLE[[#This Row],[KM - Fim]])</f>
        <v>-</v>
      </c>
      <c r="AR184" s="32">
        <v>0.30972222222222223</v>
      </c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96" t="str">
        <f>IFERROR(_xlfn.XLOOKUP(AO184, BASE_MAPA!$B$2:$B$420, BASE_MAPA!$G$2:$G$420), "ERRO")</f>
        <v>ALTO ARAGUAIA - RONDONOPOLIS</v>
      </c>
      <c r="BF184" s="174" t="str">
        <f>IF(BS_CONTROLE[[#This Row],[Responsavel pelo boletim]]=0, "-", BS_CONTROLE[[#This Row],[Responsavel pelo boletim]])</f>
        <v>Bruno</v>
      </c>
      <c r="BG184" s="13"/>
      <c r="BH184" s="14"/>
      <c r="BI184" s="14"/>
      <c r="BJ184" s="14" t="s">
        <v>1642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W7046071</v>
      </c>
      <c r="B185" s="132">
        <v>46071</v>
      </c>
      <c r="C185" s="7">
        <f>IF(BS_CONTROLE[[#This Row],[DATA]]="","",WEEKNUM(BS_CONTROLE[[#This Row],[DATA]]))</f>
        <v>8</v>
      </c>
      <c r="D185" s="45" t="s">
        <v>249</v>
      </c>
      <c r="E185" s="181">
        <v>207</v>
      </c>
      <c r="F185" s="133" t="s">
        <v>186</v>
      </c>
      <c r="G185" s="8" t="str">
        <f>IF(D185="","*",VLOOKUP(F185,BS_ATIVIDADE[#All],3,FALSE))</f>
        <v>PEDRA</v>
      </c>
      <c r="H185" s="134" t="s">
        <v>562</v>
      </c>
      <c r="I185" s="134" t="s">
        <v>11</v>
      </c>
      <c r="J185" s="150">
        <v>74</v>
      </c>
      <c r="K185" s="150">
        <v>444.66</v>
      </c>
      <c r="L185" s="71">
        <v>444</v>
      </c>
      <c r="M185" s="148" t="s">
        <v>558</v>
      </c>
      <c r="N185" s="148" t="s">
        <v>562</v>
      </c>
      <c r="O185" s="134">
        <v>0.41666666666666669</v>
      </c>
      <c r="P185" s="134">
        <v>0.125</v>
      </c>
      <c r="Q185" s="71">
        <v>10</v>
      </c>
      <c r="R185" s="9" t="s">
        <v>62</v>
      </c>
      <c r="S185" s="176" t="s">
        <v>370</v>
      </c>
      <c r="T185" s="176" t="s">
        <v>480</v>
      </c>
      <c r="U185" s="195" t="s">
        <v>373</v>
      </c>
      <c r="V185" s="142" t="s">
        <v>1565</v>
      </c>
      <c r="W185" s="134" t="s">
        <v>1611</v>
      </c>
      <c r="X185" s="151" t="s">
        <v>1000</v>
      </c>
      <c r="Y185" s="129" t="s">
        <v>999</v>
      </c>
      <c r="Z185" s="129"/>
      <c r="AA185" s="71" t="s">
        <v>1266</v>
      </c>
      <c r="AB185" s="59" t="s">
        <v>997</v>
      </c>
      <c r="AC185" s="59"/>
      <c r="AD185" s="134">
        <v>0.29166666666666669</v>
      </c>
      <c r="AE185" s="71" t="s">
        <v>1532</v>
      </c>
      <c r="AF185" s="71">
        <v>9292</v>
      </c>
      <c r="AG185" s="71"/>
      <c r="AH185" s="42"/>
      <c r="AI185" s="119" t="str">
        <f>IF(BS_CONTROLE[[#This Row],[Atividade]]=0, "-", BS_CONTROLE[[#This Row],[Atividade]])</f>
        <v>PDM - PEDRA - DESCARGA</v>
      </c>
      <c r="AJ185" s="8" t="str">
        <f>IF(D185="","*",VLOOKUP(AI185,BS_ATIVIDADE[#Data],3,FALSE))</f>
        <v>PEDRA</v>
      </c>
      <c r="AK185" s="171" t="str">
        <f>IF(BS_CONTROLE[[#This Row],[Local - Partida]]=0, "-", BS_CONTROLE[[#This Row],[Local - Partida]])</f>
        <v>464TBR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TVL-TBR</v>
      </c>
      <c r="AN185" s="171" t="str">
        <f>IF(BS_CONTROLE[[#This Row],[SB]]=0, "-", BS_CONTROLE[[#This Row],[SB]])</f>
        <v>464TBR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444.66</v>
      </c>
      <c r="AQ185" s="173">
        <f>IF(BS_CONTROLE[[#This Row],[KM - Fim]]=0, "-", BS_CONTROLE[[#This Row],[KM - Fim]])</f>
        <v>444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VAGÕES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Elton</v>
      </c>
      <c r="BG185" s="13"/>
      <c r="BH185" s="14"/>
      <c r="BI185" s="14"/>
      <c r="BJ185" s="14" t="s">
        <v>1643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ELSON (TF-526)46071</v>
      </c>
      <c r="B186" s="132">
        <v>46071</v>
      </c>
      <c r="C186" s="7">
        <f>IF(BS_CONTROLE[[#This Row],[DATA]]="","",WEEKNUM(BS_CONTROLE[[#This Row],[DATA]]))</f>
        <v>8</v>
      </c>
      <c r="D186" s="45" t="s">
        <v>303</v>
      </c>
      <c r="E186" s="181">
        <v>208</v>
      </c>
      <c r="F186" s="133" t="s">
        <v>193</v>
      </c>
      <c r="G186" s="8" t="str">
        <f>IF(D186="","*",VLOOKUP(F186,BS_ATIVIDADE[#All],3,FALSE))</f>
        <v>SOLDA</v>
      </c>
      <c r="H186" s="134" t="s">
        <v>553</v>
      </c>
      <c r="I186" s="134" t="s">
        <v>11</v>
      </c>
      <c r="J186" s="150">
        <v>74</v>
      </c>
      <c r="K186" s="150">
        <v>430.26799999999997</v>
      </c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6" s="134">
        <v>0.41666666666666669</v>
      </c>
      <c r="P186" s="134">
        <v>6.25E-2</v>
      </c>
      <c r="Q186" s="71">
        <v>1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1290</v>
      </c>
      <c r="W186" s="134" t="s">
        <v>1318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1" t="str">
        <f>IF(BS_CONTROLE[[#This Row],[Local - Partida]]=0, "-", BS_CONTROLE[[#This Row],[Local - Partida]])</f>
        <v>TPC440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TPC-TVL</v>
      </c>
      <c r="AN186" s="171" t="str">
        <f>IF(BS_CONTROLE[[#This Row],[SB]]=0, "-", BS_CONTROLE[[#This Row],[SB]])</f>
        <v>TPC440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430.26799999999997</v>
      </c>
      <c r="AQ186" s="173" t="str">
        <f>IF(BS_CONTROLE[[#This Row],[KM - Fim]]=0, "-", BS_CONTROLE[[#This Row],[KM - Fim]])</f>
        <v>-</v>
      </c>
      <c r="AR186" s="32">
        <v>0.31944444444444442</v>
      </c>
      <c r="AS186" s="32"/>
      <c r="AT186" s="32"/>
      <c r="AU186" s="32"/>
      <c r="AV186" s="32"/>
      <c r="AW186" s="32"/>
      <c r="AX186" s="32"/>
      <c r="AY186" s="180">
        <f>IF(D186="","*",IFERROR(IF(ISODD(COUNT(AS186:AX187)),"ERRO",SUM((AT186-AS186),(AV186-AU186),(AX186-AW186))),"ERRO"))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Elson</v>
      </c>
      <c r="BG186" s="13"/>
      <c r="BH186" s="14"/>
      <c r="BI186" s="14"/>
      <c r="BJ186" s="14" t="s">
        <v>1644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A6046071</v>
      </c>
      <c r="B187" s="132">
        <v>46071</v>
      </c>
      <c r="C187" s="7">
        <f>IF(BS_CONTROLE[[#This Row],[DATA]]="","",WEEKNUM(BS_CONTROLE[[#This Row],[DATA]]))</f>
        <v>8</v>
      </c>
      <c r="D187" s="45" t="s">
        <v>106</v>
      </c>
      <c r="E187" s="181">
        <v>209</v>
      </c>
      <c r="F187" s="133" t="s">
        <v>32</v>
      </c>
      <c r="G187" s="8" t="str">
        <f>IF(D187="","*",VLOOKUP(F187,BS_ATIVIDADE[#All],3,FALSE))</f>
        <v>DETECÇÃO</v>
      </c>
      <c r="H187" s="134" t="s">
        <v>473</v>
      </c>
      <c r="I187" s="134" t="s">
        <v>572</v>
      </c>
      <c r="J187" s="150">
        <v>74</v>
      </c>
      <c r="K187" s="150">
        <v>291</v>
      </c>
      <c r="L187" s="71">
        <v>502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7" s="134">
        <v>0.33333333333333331</v>
      </c>
      <c r="P187" s="134">
        <v>4.1666666666666664E-2</v>
      </c>
      <c r="Q187" s="71">
        <v>200</v>
      </c>
      <c r="R187" s="9" t="str">
        <f>IFERROR(_xlfn.XLOOKUP(F187, BS_ATIVIDADE[ATIVIDADE],BS_ATIVIDADE[UNIDADE] ), "*")</f>
        <v>KM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95" t="str">
        <f>IFERROR(_xlfn.XLOOKUP(J187, BASE_MAPA!$B$2:$B$420, BASE_MAPA!$G$2:$G$420), "ERRO")</f>
        <v>MARCO INICIAL - ALTO ARAGUAIA</v>
      </c>
      <c r="V187" s="142" t="s">
        <v>1298</v>
      </c>
      <c r="W187" s="134" t="s">
        <v>1367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5487</v>
      </c>
      <c r="AF187" s="71"/>
      <c r="AG187" s="71"/>
      <c r="AH187" s="42"/>
      <c r="AI187" s="119" t="str">
        <f>IF(BS_CONTROLE[[#This Row],[Atividade]]=0, "-", BS_CONTROLE[[#This Row],[Atividade]])</f>
        <v>DETECÇÃO - RONDA 7 DIAS</v>
      </c>
      <c r="AJ187" s="8" t="str">
        <f>IF(D187="","*",VLOOKUP(AI187,BS_ATIVIDADE[#Data],3,FALSE))</f>
        <v>DETECÇÃO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>TGR</v>
      </c>
      <c r="AM187" s="171" t="str">
        <f>IF(BS_CONTROLE[[#This Row],[Entre - Estações]]=0, "-", BS_CONTROLE[[#This Row],[Entre - Estações]])</f>
        <v>TCS-TRC</v>
      </c>
      <c r="AN187" s="171" t="str">
        <f>IF(BS_CONTROLE[[#This Row],[SB]]=0, "-", BS_CONTROLE[[#This Row],[SB]])</f>
        <v>291TRC1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291</v>
      </c>
      <c r="AQ187" s="173">
        <f>IF(BS_CONTROLE[[#This Row],[KM - Fim]]=0, "-", BS_CONTROLE[[#This Row],[KM - Fim]])</f>
        <v>502</v>
      </c>
      <c r="AR187" s="32">
        <v>0.34722222222222221</v>
      </c>
      <c r="AS187" s="32"/>
      <c r="AT187" s="32"/>
      <c r="AU187" s="32"/>
      <c r="AV187" s="32"/>
      <c r="AW187" s="32"/>
      <c r="AX187" s="32"/>
      <c r="AY187" s="180">
        <f>IF(D187="","*",IFERROR(IF(ISODD(COUNT(AS187:AX188)),"ERRO",SUM((AT187-AS187),(AV187-AU187),(AX187-AW187))),"ERRO"))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KM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Herbert</v>
      </c>
      <c r="BG187" s="13"/>
      <c r="BH187" s="14">
        <v>1</v>
      </c>
      <c r="BI187" s="14"/>
      <c r="BJ187" s="14" t="s">
        <v>1645</v>
      </c>
      <c r="BK187" s="14"/>
      <c r="BL187" s="13"/>
      <c r="BM187" s="12"/>
      <c r="BN187" s="12"/>
      <c r="BO187" s="130"/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1646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>
        <v>0.34930555555555554</v>
      </c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>
        <v>0</v>
      </c>
      <c r="BI188" s="14"/>
      <c r="BJ188" s="14" t="s">
        <v>1647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1648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1649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1650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1649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1651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>
        <v>0.33750000000000002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>
        <v>1</v>
      </c>
      <c r="BI192" s="14"/>
      <c r="BJ192" s="14" t="s">
        <v>1652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1655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1656</v>
      </c>
      <c r="N195" s="148" t="s">
        <v>1657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1658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1659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>V86</v>
      </c>
      <c r="B199" s="132"/>
      <c r="C199" s="7" t="str">
        <f>IF(BS_CONTROLE[[#This Row],[DATA]]="","",WEEKNUM(BS_CONTROLE[[#This Row],[DATA]]))</f>
        <v/>
      </c>
      <c r="D199" s="45" t="s">
        <v>217</v>
      </c>
      <c r="E199" s="181">
        <v>222</v>
      </c>
      <c r="F199" s="133"/>
      <c r="G199" s="8" t="e">
        <f>IF(D199="","*",VLOOKUP(F199,BS_ATIVIDADE[#All],3,FALSE))</f>
        <v>#N/A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 t="s">
        <v>1005</v>
      </c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e">
        <f>IF(D199="","*",VLOOKUP(AI199,BS_ATIVIDADE[#Data],3,FALSE))</f>
        <v>#N/A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>
        <f>IF(D199="","*",IFERROR(IF(ISODD(COUNT(AS199:AX201)),"ERRO",SUM((AT199-AS199),(AV199-AU199),(AX199-AW199))),"ERRO"))</f>
        <v>0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>ELSON46072</v>
      </c>
      <c r="B202" s="132">
        <v>46072</v>
      </c>
      <c r="C202" s="7">
        <f>IF(BS_CONTROLE[[#This Row],[DATA]]="","",WEEKNUM(BS_CONTROLE[[#This Row],[DATA]]))</f>
        <v>8</v>
      </c>
      <c r="D202" s="45" t="s">
        <v>1660</v>
      </c>
      <c r="E202" s="181">
        <v>225</v>
      </c>
      <c r="F202" s="133" t="s">
        <v>193</v>
      </c>
      <c r="G202" s="8" t="str">
        <f>IF(D202="","*",VLOOKUP(F202,BS_ATIVIDADE[#All],3,FALSE))</f>
        <v>SOLDA</v>
      </c>
      <c r="H202" s="134" t="s">
        <v>570</v>
      </c>
      <c r="I202" s="134" t="s">
        <v>11</v>
      </c>
      <c r="J202" s="150">
        <v>74</v>
      </c>
      <c r="K202" s="150">
        <v>498.9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2" s="134">
        <v>0.41666666666666669</v>
      </c>
      <c r="P202" s="134">
        <v>8.3333333333333329E-2</v>
      </c>
      <c r="Q202" s="71">
        <v>2</v>
      </c>
      <c r="R202" s="9" t="str">
        <f>IFERROR(_xlfn.XLOOKUP(F202, BS_ATIVIDADE[ATIVIDADE],BS_ATIVIDADE[UNIDADE] ), "*")</f>
        <v>Nº DE SOLDA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95" t="str">
        <f>IFERROR(_xlfn.XLOOKUP(J202, BASE_MAPA!$B$2:$B$420, BASE_MAPA!$G$2:$G$420), "ERRO")</f>
        <v>MARCO INICIAL - ALTO ARAGUAIA</v>
      </c>
      <c r="V202" s="142" t="s">
        <v>1290</v>
      </c>
      <c r="W202" s="134" t="s">
        <v>1318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SOLDA</v>
      </c>
      <c r="AJ202" s="8" t="str">
        <f>IF(D202="","*",VLOOKUP(AI202,BS_ATIVIDADE[#Data],3,FALSE))</f>
        <v>SOLDA</v>
      </c>
      <c r="AK202" s="171" t="str">
        <f>IF(BS_CONTROLE[[#This Row],[Local - Partida]]=0, "-", BS_CONTROLE[[#This Row],[Local - Partida]])</f>
        <v>499TGR1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TBR-TGR</v>
      </c>
      <c r="AN202" s="171" t="str">
        <f>IF(BS_CONTROLE[[#This Row],[SB]]=0, "-", BS_CONTROLE[[#This Row],[SB]])</f>
        <v>499TGR1</v>
      </c>
      <c r="AO202" s="172">
        <f>IF(BS_CONTROLE[[#This Row],[SUB]]=0, "-", BS_CONTROLE[[#This Row],[SUB]])</f>
        <v>74</v>
      </c>
      <c r="AP202" s="173">
        <f>IF(BS_CONTROLE[[#This Row],[KM - Inicio]]=0, "-", BS_CONTROLE[[#This Row],[KM - Inicio]])</f>
        <v>498.9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>
        <f>IF(D202="","*",IFERROR(IF(ISODD(COUNT(AS202:AX204)),"ERRO",SUM((AT202-AS202),(AV202-AU202),(AX202-AW202))),"ERRO"))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Nº DE SOLDA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96" t="str">
        <f>IFERROR(_xlfn.XLOOKUP(AO202, BASE_MAPA!$B$2:$B$420, BASE_MAPA!$G$2:$G$420), "ERRO")</f>
        <v>MARCO INICIAL - ALTO ARAGUAIA</v>
      </c>
      <c r="BF202" s="174" t="str">
        <f>IF(BS_CONTROLE[[#This Row],[Responsavel pelo boletim]]=0, "-", BS_CONTROLE[[#This Row],[Responsavel pelo boletim]])</f>
        <v>Elson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Produção e Intervalo</v>
      </c>
      <c r="BR202" s="15">
        <f t="shared" si="25"/>
        <v>0</v>
      </c>
      <c r="BS202" s="15">
        <f t="shared" si="26"/>
        <v>0</v>
      </c>
      <c r="BT202" s="238" t="str">
        <f t="shared" si="22"/>
        <v/>
      </c>
    </row>
    <row r="203" spans="1:72" hidden="1">
      <c r="A203" s="44" t="str">
        <f t="shared" si="23"/>
        <v>W7046072</v>
      </c>
      <c r="B203" s="132">
        <v>46072</v>
      </c>
      <c r="C203" s="7">
        <f>IF(BS_CONTROLE[[#This Row],[DATA]]="","",WEEKNUM(BS_CONTROLE[[#This Row],[DATA]]))</f>
        <v>8</v>
      </c>
      <c r="D203" s="45" t="s">
        <v>249</v>
      </c>
      <c r="E203" s="181">
        <v>226</v>
      </c>
      <c r="F203" s="133" t="s">
        <v>186</v>
      </c>
      <c r="G203" s="8" t="str">
        <f>IF(D203="","*",VLOOKUP(F203,BS_ATIVIDADE[#All],3,FALSE))</f>
        <v>PEDRA</v>
      </c>
      <c r="H203" s="134" t="s">
        <v>1293</v>
      </c>
      <c r="I203" s="134" t="s">
        <v>1293</v>
      </c>
      <c r="J203" s="150">
        <v>74</v>
      </c>
      <c r="K203" s="150">
        <v>461</v>
      </c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3" s="134">
        <v>0.41666666666666669</v>
      </c>
      <c r="P203" s="134">
        <v>0.125</v>
      </c>
      <c r="Q203" s="71">
        <v>20</v>
      </c>
      <c r="R203" s="9" t="str">
        <f>IFERROR(_xlfn.XLOOKUP(F203, BS_ATIVIDADE[ATIVIDADE],BS_ATIVIDADE[UNIDADE] ), "*")</f>
        <v>VAGÕES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3" s="195" t="str">
        <f>IFERROR(_xlfn.XLOOKUP(J203, BASE_MAPA!$B$2:$B$420, BASE_MAPA!$G$2:$G$420), "ERRO")</f>
        <v>MARCO INICIAL - ALTO ARAGUAIA</v>
      </c>
      <c r="V203" s="142" t="s">
        <v>1565</v>
      </c>
      <c r="W203" s="134" t="s">
        <v>1611</v>
      </c>
      <c r="X203" s="151" t="s">
        <v>1005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PDM - PEDRA - DESCARGA</v>
      </c>
      <c r="AJ203" s="8" t="str">
        <f>IF(D203="","*",VLOOKUP(AI203,BS_ATIVIDADE[#Data],3,FALSE))</f>
        <v>PEDRA</v>
      </c>
      <c r="AK203" s="171" t="str">
        <f>IF(BS_CONTROLE[[#This Row],[Local - Partida]]=0, "-", BS_CONTROLE[[#This Row],[Local - Partida]])</f>
        <v>TAG</v>
      </c>
      <c r="AL203" s="171" t="str">
        <f>IF(BS_CONTROLE[[#This Row],[Local - Encerramento]]=0, "-", BS_CONTROLE[[#This Row],[Local - Encerramento]])</f>
        <v>TAG</v>
      </c>
      <c r="AM203" s="171" t="str">
        <f>IF(BS_CONTROLE[[#This Row],[Entre - Estações]]=0, "-", BS_CONTROLE[[#This Row],[Entre - Estações]])</f>
        <v>TVL-TBR</v>
      </c>
      <c r="AN203" s="171" t="str">
        <f>IF(BS_CONTROLE[[#This Row],[SB]]=0, "-", BS_CONTROLE[[#This Row],[SB]])</f>
        <v>TVL464</v>
      </c>
      <c r="AO203" s="172">
        <f>IF(BS_CONTROLE[[#This Row],[SUB]]=0, "-", BS_CONTROLE[[#This Row],[SUB]])</f>
        <v>74</v>
      </c>
      <c r="AP203" s="173">
        <f>IF(BS_CONTROLE[[#This Row],[KM - Inicio]]=0, "-", BS_CONTROLE[[#This Row],[KM - Inicio]])</f>
        <v>461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>
        <f>IF(D203="","*",IFERROR(IF(ISODD(COUNT(AS203:AX205)),"ERRO",SUM((AT203-AS203),(AV203-AU203),(AX203-AW203))),"ERRO"))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VAGÕES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3" s="196" t="str">
        <f>IFERROR(_xlfn.XLOOKUP(AO203, BASE_MAPA!$B$2:$B$420, BASE_MAPA!$G$2:$G$420), "ERRO")</f>
        <v>MARCO INICIAL - ALTO ARAGUAIA</v>
      </c>
      <c r="BF203" s="174" t="str">
        <f>IF(BS_CONTROLE[[#This Row],[Responsavel pelo boletim]]=0, "-", BS_CONTROLE[[#This Row],[Responsavel pelo boletim]])</f>
        <v>Elton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 BK180 BK183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2 BK168:BK169 BK171 BK184:BK772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1661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1662</v>
      </c>
      <c r="E3" s="182" t="s">
        <v>1663</v>
      </c>
      <c r="F3" s="182" t="s">
        <v>1664</v>
      </c>
      <c r="G3" s="182" t="s">
        <v>1665</v>
      </c>
      <c r="H3" s="182" t="s">
        <v>1666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1667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1668</v>
      </c>
      <c r="D12" s="183">
        <v>9049</v>
      </c>
      <c r="E12" s="184">
        <v>46044</v>
      </c>
      <c r="F12" s="186" t="s">
        <v>1669</v>
      </c>
      <c r="G12" s="183" t="s">
        <v>1670</v>
      </c>
      <c r="H12" s="183"/>
    </row>
    <row r="13" spans="3:8">
      <c r="C13" s="183" t="s">
        <v>1668</v>
      </c>
      <c r="D13" s="183">
        <v>9044</v>
      </c>
      <c r="E13" s="184">
        <v>46044</v>
      </c>
      <c r="F13" s="186" t="s">
        <v>1671</v>
      </c>
      <c r="G13" s="183" t="s">
        <v>1672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1673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1673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1674</v>
      </c>
      <c r="C2" s="83" t="s">
        <v>1197</v>
      </c>
      <c r="D2" s="83" t="s">
        <v>1199</v>
      </c>
      <c r="E2" s="83" t="s">
        <v>1675</v>
      </c>
      <c r="F2" s="83" t="s">
        <v>1676</v>
      </c>
      <c r="G2" s="83" t="s">
        <v>1677</v>
      </c>
      <c r="H2" s="83" t="s">
        <v>1678</v>
      </c>
      <c r="I2" s="83" t="s">
        <v>1679</v>
      </c>
      <c r="J2" s="83" t="s">
        <v>1680</v>
      </c>
      <c r="K2" s="109" t="s">
        <v>1681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IF(FN_MC!Y183="","*",FN_MC!Y183)</f>
        <v>SIM</v>
      </c>
      <c r="C188" s="101">
        <f>IF(FN_MC!B183="","*",FN_MC!B183)</f>
        <v>46071</v>
      </c>
      <c r="D188" s="101" t="str">
        <f>IF(FN_MC!D183="","*",FN_MC!D183)</f>
        <v>V86</v>
      </c>
      <c r="E188" s="101" t="str">
        <f>IF(FN_MC!H183="","*",FN_MC!H183)</f>
        <v>TIQ</v>
      </c>
      <c r="F188" s="114" t="str">
        <f>IF(FN_MC!M183="","*",FN_MC!M183)</f>
        <v>TBS</v>
      </c>
      <c r="G188" s="101" t="str">
        <f>IF(FN_MC!I183="","*",FN_MC!I183)</f>
        <v xml:space="preserve">TIQ </v>
      </c>
      <c r="H188" s="101" t="str">
        <f>IF(FN_MC!AB183="","*",FN_MC!AB183)</f>
        <v>FIXO</v>
      </c>
      <c r="I188" s="101" t="str">
        <f>IF(FN_MC!AC183="","*",FN_MC!AC183)</f>
        <v>*</v>
      </c>
      <c r="J188" s="102">
        <f>IF(FN_MC!AA183="","*",FN_MC!AA183)</f>
        <v>1</v>
      </c>
      <c r="K188" s="112">
        <f>IF(FN_MC!AD183="","*",FN_MC!AD183)</f>
        <v>0.29166666666666669</v>
      </c>
    </row>
    <row r="189" spans="2:11">
      <c r="B189" s="100" t="str">
        <f>IF(FN_MC!Y184="","*",FN_MC!Y184)</f>
        <v>OPORTUNIDADE</v>
      </c>
      <c r="C189" s="101">
        <f>IF(FN_MC!B184="","*",FN_MC!B184)</f>
        <v>46071</v>
      </c>
      <c r="D189" s="101" t="str">
        <f>IF(FN_MC!D184="","*",FN_MC!D184)</f>
        <v>BRUNO (TF-525)</v>
      </c>
      <c r="E189" s="101" t="str">
        <f>IF(FN_MC!H184="","*",FN_MC!H184)</f>
        <v>TEP1</v>
      </c>
      <c r="F189" s="114" t="str">
        <f>IF(FN_MC!M184="","*",FN_MC!M184)</f>
        <v>TBS-TAL</v>
      </c>
      <c r="G189" s="101" t="str">
        <f>IF(FN_MC!I184="","*",FN_MC!I184)</f>
        <v>-</v>
      </c>
      <c r="H189" s="101" t="str">
        <f>IF(FN_MC!AB184="","*",FN_MC!AB184)</f>
        <v>*</v>
      </c>
      <c r="I189" s="101" t="str">
        <f>IF(FN_MC!AC184="","*",FN_MC!AC184)</f>
        <v>*</v>
      </c>
      <c r="J189" s="102" t="str">
        <f>IF(FN_MC!AA184="","*",FN_MC!AA184)</f>
        <v>*</v>
      </c>
      <c r="K189" s="112" t="str">
        <f>IF(FN_MC!AD184="","*",FN_MC!AD184)</f>
        <v>*</v>
      </c>
    </row>
    <row r="190" spans="2:11">
      <c r="B190" s="100" t="str">
        <f>IF(FN_MC!Y185="","*",FN_MC!Y185)</f>
        <v>SIM</v>
      </c>
      <c r="C190" s="101">
        <f>IF(FN_MC!B185="","*",FN_MC!B185)</f>
        <v>46071</v>
      </c>
      <c r="D190" s="101" t="str">
        <f>IF(FN_MC!D185="","*",FN_MC!D185)</f>
        <v>W70</v>
      </c>
      <c r="E190" s="101" t="str">
        <f>IF(FN_MC!H185="","*",FN_MC!H185)</f>
        <v>464TBR</v>
      </c>
      <c r="F190" s="114" t="str">
        <f>IF(FN_MC!M185="","*",FN_MC!M185)</f>
        <v>TVL-TBR</v>
      </c>
      <c r="G190" s="101" t="str">
        <f>IF(FN_MC!I185="","*",FN_MC!I185)</f>
        <v>-</v>
      </c>
      <c r="H190" s="101" t="str">
        <f>IF(FN_MC!AB185="","*",FN_MC!AB185)</f>
        <v>FIXO</v>
      </c>
      <c r="I190" s="101" t="str">
        <f>IF(FN_MC!AC185="","*",FN_MC!AC185)</f>
        <v>*</v>
      </c>
      <c r="J190" s="102" t="str">
        <f>IF(FN_MC!AA185="","*",FN_MC!AA185)</f>
        <v>2 (Enio e Daniel)</v>
      </c>
      <c r="K190" s="112">
        <f>IF(FN_MC!AD185="","*",FN_MC!AD185)</f>
        <v>0.29166666666666669</v>
      </c>
    </row>
    <row r="191" spans="2:11">
      <c r="B191" s="100" t="str">
        <f>IF(FN_MC!Y186="","*",FN_MC!Y186)</f>
        <v>OPORTUNIDADE</v>
      </c>
      <c r="C191" s="101">
        <f>IF(FN_MC!B186="","*",FN_MC!B186)</f>
        <v>46071</v>
      </c>
      <c r="D191" s="101" t="str">
        <f>IF(FN_MC!D186="","*",FN_MC!D186)</f>
        <v>ELSON (TF-526)</v>
      </c>
      <c r="E191" s="101" t="str">
        <f>IF(FN_MC!H186="","*",FN_MC!H186)</f>
        <v>TPC440</v>
      </c>
      <c r="F191" s="114" t="str">
        <f>IF(FN_MC!M186="","*",FN_MC!M186)</f>
        <v>TPC-TVL</v>
      </c>
      <c r="G191" s="101" t="str">
        <f>IF(FN_MC!I186="","*",FN_MC!I186)</f>
        <v>-</v>
      </c>
      <c r="H191" s="101" t="str">
        <f>IF(FN_MC!AB186="","*",FN_MC!AB186)</f>
        <v>*</v>
      </c>
      <c r="I191" s="101" t="str">
        <f>IF(FN_MC!AC186="","*",FN_MC!AC186)</f>
        <v>*</v>
      </c>
      <c r="J191" s="102" t="str">
        <f>IF(FN_MC!AA186="","*",FN_MC!AA186)</f>
        <v>*</v>
      </c>
      <c r="K191" s="112" t="str">
        <f>IF(FN_MC!AD186="","*",FN_MC!AD186)</f>
        <v>*</v>
      </c>
    </row>
    <row r="192" spans="2:11">
      <c r="B192" s="100" t="str">
        <f>IF(FN_MC!Y187="","*",FN_MC!Y187)</f>
        <v>OPORTUNIDADE</v>
      </c>
      <c r="C192" s="101">
        <f>IF(FN_MC!B187="","*",FN_MC!B187)</f>
        <v>46071</v>
      </c>
      <c r="D192" s="101" t="str">
        <f>IF(FN_MC!D187="","*",FN_MC!D187)</f>
        <v>A60</v>
      </c>
      <c r="E192" s="101" t="str">
        <f>IF(FN_MC!H187="","*",FN_MC!H187)</f>
        <v>TCS</v>
      </c>
      <c r="F192" s="114" t="str">
        <f>IF(FN_MC!M187="","*",FN_MC!M187)</f>
        <v>TCS-TRC</v>
      </c>
      <c r="G192" s="101" t="str">
        <f>IF(FN_MC!I187="","*",FN_MC!I187)</f>
        <v>TGR</v>
      </c>
      <c r="H192" s="101" t="str">
        <f>IF(FN_MC!AB187="","*",FN_MC!AB187)</f>
        <v>FIXO</v>
      </c>
      <c r="I192" s="101" t="str">
        <f>IF(FN_MC!AC187="","*",FN_MC!AC187)</f>
        <v>*</v>
      </c>
      <c r="J192" s="102">
        <f>IF(FN_MC!AA187="","*",FN_MC!AA187)</f>
        <v>1</v>
      </c>
      <c r="K192" s="112">
        <f>IF(FN_MC!AD187="","*",FN_MC!AD187)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IF(FN_MC!Y183="","*",FN_MC!Y183)</f>
        <v>SIM</v>
      </c>
      <c r="C207" s="101">
        <f>IF(FN_MC!B183="","*",FN_MC!B183)</f>
        <v>46071</v>
      </c>
      <c r="D207" s="101" t="str">
        <f>IF(FN_MC!D183="","*",FN_MC!D183)</f>
        <v>V86</v>
      </c>
      <c r="E207" s="101" t="str">
        <f>IF(FN_MC!H183="","*",FN_MC!H183)</f>
        <v>TIQ</v>
      </c>
      <c r="F207" s="114" t="str">
        <f>IF(FN_MC!M183="","*",FN_MC!M183)</f>
        <v>TBS</v>
      </c>
      <c r="G207" s="101" t="str">
        <f>IF(FN_MC!I183="","*",FN_MC!I183)</f>
        <v xml:space="preserve">TIQ </v>
      </c>
      <c r="H207" s="101" t="str">
        <f>IF(FN_MC!AB183="","*",FN_MC!AB183)</f>
        <v>FIXO</v>
      </c>
      <c r="I207" s="101" t="str">
        <f>IF(FN_MC!AC183="","*",FN_MC!AC183)</f>
        <v>*</v>
      </c>
      <c r="J207" s="102">
        <f>IF(FN_MC!AA183="","*",FN_MC!AA183)</f>
        <v>1</v>
      </c>
      <c r="K207" s="112">
        <f>IF(FN_MC!AD183="","*",FN_MC!AD183)</f>
        <v>0.29166666666666669</v>
      </c>
    </row>
    <row r="208" spans="2:11">
      <c r="B208" s="100" t="str">
        <f>IF(FN_MC!Y184="","*",FN_MC!Y184)</f>
        <v>OPORTUNIDADE</v>
      </c>
      <c r="C208" s="101">
        <f>IF(FN_MC!B184="","*",FN_MC!B184)</f>
        <v>46071</v>
      </c>
      <c r="D208" s="101" t="str">
        <f>IF(FN_MC!D184="","*",FN_MC!D184)</f>
        <v>BRUNO (TF-525)</v>
      </c>
      <c r="E208" s="101" t="str">
        <f>IF(FN_MC!H184="","*",FN_MC!H184)</f>
        <v>TEP1</v>
      </c>
      <c r="F208" s="114" t="str">
        <f>IF(FN_MC!M184="","*",FN_MC!M184)</f>
        <v>TBS-TAL</v>
      </c>
      <c r="G208" s="101" t="str">
        <f>IF(FN_MC!I184="","*",FN_MC!I184)</f>
        <v>-</v>
      </c>
      <c r="H208" s="101" t="str">
        <f>IF(FN_MC!AB184="","*",FN_MC!AB184)</f>
        <v>*</v>
      </c>
      <c r="I208" s="101" t="str">
        <f>IF(FN_MC!AC184="","*",FN_MC!AC184)</f>
        <v>*</v>
      </c>
      <c r="J208" s="102" t="str">
        <f>IF(FN_MC!AA184="","*",FN_MC!AA184)</f>
        <v>*</v>
      </c>
      <c r="K208" s="112" t="str">
        <f>IF(FN_MC!AD184="","*",FN_MC!AD184)</f>
        <v>*</v>
      </c>
    </row>
    <row r="209" spans="2:11">
      <c r="B209" s="100" t="str">
        <f>IF(FN_MC!Y185="","*",FN_MC!Y185)</f>
        <v>SIM</v>
      </c>
      <c r="C209" s="101">
        <f>IF(FN_MC!B185="","*",FN_MC!B185)</f>
        <v>46071</v>
      </c>
      <c r="D209" s="101" t="str">
        <f>IF(FN_MC!D185="","*",FN_MC!D185)</f>
        <v>W70</v>
      </c>
      <c r="E209" s="101" t="str">
        <f>IF(FN_MC!H185="","*",FN_MC!H185)</f>
        <v>464TBR</v>
      </c>
      <c r="F209" s="114" t="str">
        <f>IF(FN_MC!M185="","*",FN_MC!M185)</f>
        <v>TVL-TBR</v>
      </c>
      <c r="G209" s="101" t="str">
        <f>IF(FN_MC!I185="","*",FN_MC!I185)</f>
        <v>-</v>
      </c>
      <c r="H209" s="101" t="str">
        <f>IF(FN_MC!AB185="","*",FN_MC!AB185)</f>
        <v>FIXO</v>
      </c>
      <c r="I209" s="101" t="str">
        <f>IF(FN_MC!AC185="","*",FN_MC!AC185)</f>
        <v>*</v>
      </c>
      <c r="J209" s="102" t="str">
        <f>IF(FN_MC!AA185="","*",FN_MC!AA185)</f>
        <v>2 (Enio e Daniel)</v>
      </c>
      <c r="K209" s="112">
        <f>IF(FN_MC!AD185="","*",FN_MC!AD185)</f>
        <v>0.29166666666666669</v>
      </c>
    </row>
    <row r="210" spans="2:11">
      <c r="B210" s="100" t="str">
        <f>IF(FN_MC!Y186="","*",FN_MC!Y186)</f>
        <v>OPORTUNIDADE</v>
      </c>
      <c r="C210" s="101">
        <f>IF(FN_MC!B186="","*",FN_MC!B186)</f>
        <v>46071</v>
      </c>
      <c r="D210" s="101" t="str">
        <f>IF(FN_MC!D186="","*",FN_MC!D186)</f>
        <v>ELSON (TF-526)</v>
      </c>
      <c r="E210" s="101" t="str">
        <f>IF(FN_MC!H186="","*",FN_MC!H186)</f>
        <v>TPC440</v>
      </c>
      <c r="F210" s="114" t="str">
        <f>IF(FN_MC!M186="","*",FN_MC!M186)</f>
        <v>TPC-TVL</v>
      </c>
      <c r="G210" s="101" t="str">
        <f>IF(FN_MC!I186="","*",FN_MC!I186)</f>
        <v>-</v>
      </c>
      <c r="H210" s="101" t="str">
        <f>IF(FN_MC!AB186="","*",FN_MC!AB186)</f>
        <v>*</v>
      </c>
      <c r="I210" s="101" t="str">
        <f>IF(FN_MC!AC186="","*",FN_MC!AC186)</f>
        <v>*</v>
      </c>
      <c r="J210" s="102" t="str">
        <f>IF(FN_MC!AA186="","*",FN_MC!AA186)</f>
        <v>*</v>
      </c>
      <c r="K210" s="112" t="str">
        <f>IF(FN_MC!AD186="","*",FN_MC!AD186)</f>
        <v>*</v>
      </c>
    </row>
    <row r="211" spans="2:11">
      <c r="B211" s="100" t="str">
        <f>IF(FN_MC!Y187="","*",FN_MC!Y187)</f>
        <v>OPORTUNIDADE</v>
      </c>
      <c r="C211" s="101">
        <f>IF(FN_MC!B187="","*",FN_MC!B187)</f>
        <v>46071</v>
      </c>
      <c r="D211" s="101" t="str">
        <f>IF(FN_MC!D187="","*",FN_MC!D187)</f>
        <v>A60</v>
      </c>
      <c r="E211" s="101" t="str">
        <f>IF(FN_MC!H187="","*",FN_MC!H187)</f>
        <v>TCS</v>
      </c>
      <c r="F211" s="114" t="str">
        <f>IF(FN_MC!M187="","*",FN_MC!M187)</f>
        <v>TCS-TRC</v>
      </c>
      <c r="G211" s="101" t="str">
        <f>IF(FN_MC!I187="","*",FN_MC!I187)</f>
        <v>TGR</v>
      </c>
      <c r="H211" s="101" t="str">
        <f>IF(FN_MC!AB187="","*",FN_MC!AB187)</f>
        <v>FIXO</v>
      </c>
      <c r="I211" s="101" t="str">
        <f>IF(FN_MC!AC187="","*",FN_MC!AC187)</f>
        <v>*</v>
      </c>
      <c r="J211" s="102">
        <f>IF(FN_MC!AA187="","*",FN_MC!AA187)</f>
        <v>1</v>
      </c>
      <c r="K211" s="112">
        <f>IF(FN_MC!AD187="","*",FN_MC!AD187)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V86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>
        <f>IF(FN_MC!B202="","*",FN_MC!B202)</f>
        <v>46072</v>
      </c>
      <c r="D227" s="101" t="str">
        <f>IF(FN_MC!D202="","*",FN_MC!D202)</f>
        <v>ELSON</v>
      </c>
      <c r="E227" s="101" t="str">
        <f>IF(FN_MC!H202="","*",FN_MC!H202)</f>
        <v>499TGR1</v>
      </c>
      <c r="F227" s="114" t="str">
        <f>IF(FN_MC!M202="","*",FN_MC!M202)</f>
        <v>TBR-TGR</v>
      </c>
      <c r="G227" s="101" t="str">
        <f>IF(FN_MC!I202="","*",FN_MC!I202)</f>
        <v>-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>
        <f>IF(FN_MC!B203="","*",FN_MC!B203)</f>
        <v>46072</v>
      </c>
      <c r="D228" s="101" t="str">
        <f>IF(FN_MC!D203="","*",FN_MC!D203)</f>
        <v>W70</v>
      </c>
      <c r="E228" s="101" t="str">
        <f>IF(FN_MC!H203="","*",FN_MC!H203)</f>
        <v>TAG</v>
      </c>
      <c r="F228" s="114" t="str">
        <f>IF(FN_MC!M203="","*",FN_MC!M203)</f>
        <v>TVL-TBR</v>
      </c>
      <c r="G228" s="101" t="str">
        <f>IF(FN_MC!I203="","*",FN_MC!I203)</f>
        <v>TAG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1682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1683</v>
      </c>
      <c r="B3" s="91" t="s">
        <v>1684</v>
      </c>
      <c r="C3" s="91" t="s">
        <v>7</v>
      </c>
      <c r="D3" s="92" t="s">
        <v>1212</v>
      </c>
      <c r="E3" s="92" t="s">
        <v>366</v>
      </c>
      <c r="F3" s="92" t="s">
        <v>1685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1686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TGR-TRO</v>
      </c>
      <c r="F180" s="96">
        <f>IF(FN_MC!B183="","*",FN_MC!B183)</f>
        <v>46071</v>
      </c>
      <c r="G180" s="96" t="str">
        <f>IF(FN_MC!D183="","*",FN_MC!D183)</f>
        <v>V86</v>
      </c>
      <c r="H180" s="96" t="str">
        <f>IF(FN_MC!F183="","*",FN_MC!F183)</f>
        <v>MECANIZAÇÃO - SOCADORA</v>
      </c>
      <c r="I180" s="96" t="str">
        <f>IF(FN_MC!H183="","*",FN_MC!H183)</f>
        <v>TIQ</v>
      </c>
      <c r="J180" s="96" t="str">
        <f>IF(FN_MC!I183="","*",FN_MC!I183)</f>
        <v xml:space="preserve">TIQ </v>
      </c>
      <c r="K180" s="96" t="str">
        <f>IF(FN_MC!M183="","*",FN_MC!M183)</f>
        <v>TBS</v>
      </c>
      <c r="L180" s="192" t="str">
        <f>IF(FN_MC!N183="","*",FN_MC!N183)</f>
        <v>TBS1/TBS671</v>
      </c>
      <c r="M180" s="97">
        <f>IF(FN_MC!J183="","*",FN_MC!J183)</f>
        <v>98</v>
      </c>
      <c r="N180" s="179">
        <f>IF(FN_MC!K183="","*",FN_MC!K183)</f>
        <v>659.976</v>
      </c>
      <c r="O180" s="179">
        <f>IF(FN_MC!L183="","*",FN_MC!L183)</f>
        <v>662.91099999999994</v>
      </c>
      <c r="P180" s="107">
        <f>IF(FN_MC!O183="","*",FN_MC!O183)</f>
        <v>0.4375</v>
      </c>
      <c r="Q180" s="107">
        <f>IF(FN_MC!P183="","*",FN_MC!P183)</f>
        <v>0.125</v>
      </c>
      <c r="R180" s="96" t="str">
        <f>IF(FN_MC!Q183="","*",CONCATENATE(FN_MC!Q183," ",FN_MC!R183))</f>
        <v>1680 M</v>
      </c>
      <c r="S180" s="96" t="str">
        <f>IF(FN_MC!V183="","*",FN_MC!V183)</f>
        <v>Antonioni</v>
      </c>
      <c r="T180" s="96" t="str">
        <f>IF(FN_MC!W183="","*",FN_MC!W183)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TGR-TRO</v>
      </c>
      <c r="F181" s="96">
        <f>IF(FN_MC!B184="","*",FN_MC!B184)</f>
        <v>46071</v>
      </c>
      <c r="G181" s="96" t="str">
        <f>IF(FN_MC!D184="","*",FN_MC!D184)</f>
        <v>BRUNO (TF-525)</v>
      </c>
      <c r="H181" s="96" t="str">
        <f>IF(FN_MC!F184="","*",FN_MC!F184)</f>
        <v>PDM - SOLDA</v>
      </c>
      <c r="I181" s="96" t="str">
        <f>IF(FN_MC!H184="","*",FN_MC!H184)</f>
        <v>TEP1</v>
      </c>
      <c r="J181" s="96" t="str">
        <f>IF(FN_MC!I184="","*",FN_MC!I184)</f>
        <v>-</v>
      </c>
      <c r="K181" s="96" t="str">
        <f>IF(FN_MC!M184="","*",FN_MC!M184)</f>
        <v>TBS-TAL</v>
      </c>
      <c r="L181" s="192" t="str">
        <f>IF(FN_MC!N184="","*",FN_MC!N184)</f>
        <v>TBSPAT1</v>
      </c>
      <c r="M181" s="97">
        <f>IF(FN_MC!J184="","*",FN_MC!J184)</f>
        <v>98</v>
      </c>
      <c r="N181" s="179">
        <f>IF(FN_MC!K184="","*",FN_MC!K184)</f>
        <v>661.84</v>
      </c>
      <c r="O181" s="179" t="str">
        <f>IF(FN_MC!L184="","*",FN_MC!L184)</f>
        <v>-</v>
      </c>
      <c r="P181" s="107">
        <f>IF(FN_MC!O184="","*",FN_MC!O184)</f>
        <v>0.375</v>
      </c>
      <c r="Q181" s="107">
        <f>IF(FN_MC!P184="","*",FN_MC!P184)</f>
        <v>6.25E-2</v>
      </c>
      <c r="R181" s="96" t="str">
        <f>IF(FN_MC!Q184="","*",CONCATENATE(FN_MC!Q184," ",FN_MC!R184))</f>
        <v>2 Nº DE SOLDA</v>
      </c>
      <c r="S181" s="96" t="str">
        <f>IF(FN_MC!V184="","*",FN_MC!V184)</f>
        <v>Bruno</v>
      </c>
      <c r="T181" s="96" t="str">
        <f>IF(FN_MC!W184="","*",FN_MC!W184)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IF(FN_MC!Y185="","*",FN_MC!Y185)</f>
        <v>SIM</v>
      </c>
      <c r="B182" s="95" t="str">
        <f>IF(FN_MC!X185="","*",FN_MC!X185)</f>
        <v>Contrato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TCS-TGR</v>
      </c>
      <c r="F182" s="96">
        <f>IF(FN_MC!B185="","*",FN_MC!B185)</f>
        <v>46071</v>
      </c>
      <c r="G182" s="96" t="str">
        <f>IF(FN_MC!D185="","*",FN_MC!D185)</f>
        <v>W70</v>
      </c>
      <c r="H182" s="96" t="str">
        <f>IF(FN_MC!F185="","*",FN_MC!F185)</f>
        <v>PDM - PEDRA - DESCARGA</v>
      </c>
      <c r="I182" s="96" t="str">
        <f>IF(FN_MC!H185="","*",FN_MC!H185)</f>
        <v>464TBR</v>
      </c>
      <c r="J182" s="96" t="str">
        <f>IF(FN_MC!I185="","*",FN_MC!I185)</f>
        <v>-</v>
      </c>
      <c r="K182" s="96" t="str">
        <f>IF(FN_MC!M185="","*",FN_MC!M185)</f>
        <v>TVL-TBR</v>
      </c>
      <c r="L182" s="192" t="str">
        <f>IF(FN_MC!N185="","*",FN_MC!N185)</f>
        <v>464TBR</v>
      </c>
      <c r="M182" s="97">
        <f>IF(FN_MC!J185="","*",FN_MC!J185)</f>
        <v>74</v>
      </c>
      <c r="N182" s="179">
        <f>IF(FN_MC!K185="","*",FN_MC!K185)</f>
        <v>444.66</v>
      </c>
      <c r="O182" s="179">
        <f>IF(FN_MC!L185="","*",FN_MC!L185)</f>
        <v>444</v>
      </c>
      <c r="P182" s="107">
        <f>IF(FN_MC!O185="","*",FN_MC!O185)</f>
        <v>0.41666666666666669</v>
      </c>
      <c r="Q182" s="107">
        <f>IF(FN_MC!P185="","*",FN_MC!P185)</f>
        <v>0.125</v>
      </c>
      <c r="R182" s="96" t="str">
        <f>IF(FN_MC!Q185="","*",CONCATENATE(FN_MC!Q185," ",FN_MC!R185))</f>
        <v>10 VAGÕES</v>
      </c>
      <c r="S182" s="96" t="str">
        <f>IF(FN_MC!V185="","*",FN_MC!V185)</f>
        <v>Elton</v>
      </c>
      <c r="T182" s="96" t="str">
        <f>IF(FN_MC!W185="","*",FN_MC!W185)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TCS-TGR</v>
      </c>
      <c r="F183" s="96">
        <f>IF(FN_MC!B186="","*",FN_MC!B186)</f>
        <v>46071</v>
      </c>
      <c r="G183" s="96" t="str">
        <f>IF(FN_MC!D186="","*",FN_MC!D186)</f>
        <v>ELSON (TF-526)</v>
      </c>
      <c r="H183" s="96" t="str">
        <f>IF(FN_MC!F186="","*",FN_MC!F186)</f>
        <v>PDM - SOLDA</v>
      </c>
      <c r="I183" s="96" t="str">
        <f>IF(FN_MC!H186="","*",FN_MC!H186)</f>
        <v>TPC440</v>
      </c>
      <c r="J183" s="96" t="str">
        <f>IF(FN_MC!I186="","*",FN_MC!I186)</f>
        <v>-</v>
      </c>
      <c r="K183" s="96" t="str">
        <f>IF(FN_MC!M186="","*",FN_MC!M186)</f>
        <v>TPC-TVL</v>
      </c>
      <c r="L183" s="192" t="str">
        <f>IF(FN_MC!N186="","*",FN_MC!N186)</f>
        <v>TPC440</v>
      </c>
      <c r="M183" s="97">
        <f>IF(FN_MC!J186="","*",FN_MC!J186)</f>
        <v>74</v>
      </c>
      <c r="N183" s="179">
        <f>IF(FN_MC!K186="","*",FN_MC!K186)</f>
        <v>430.26799999999997</v>
      </c>
      <c r="O183" s="179" t="str">
        <f>IF(FN_MC!L186="","*",FN_MC!L186)</f>
        <v>-</v>
      </c>
      <c r="P183" s="107">
        <f>IF(FN_MC!O186="","*",FN_MC!O186)</f>
        <v>0.41666666666666669</v>
      </c>
      <c r="Q183" s="107">
        <f>IF(FN_MC!P186="","*",FN_MC!P186)</f>
        <v>6.25E-2</v>
      </c>
      <c r="R183" s="96" t="str">
        <f>IF(FN_MC!Q186="","*",CONCATENATE(FN_MC!Q186," ",FN_MC!R186))</f>
        <v>1 Nº DE SOLDA</v>
      </c>
      <c r="S183" s="96" t="str">
        <f>IF(FN_MC!V186="","*",FN_MC!V186)</f>
        <v>Elson</v>
      </c>
      <c r="T183" s="96" t="str">
        <f>IF(FN_MC!W186="","*",FN_MC!W186)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FERRONORTE</v>
      </c>
      <c r="E184" s="96" t="str">
        <f>IF(FN_MC!T187="","*",FN_MC!T187)</f>
        <v>TCS-TGR</v>
      </c>
      <c r="F184" s="96">
        <f>IF(FN_MC!B187="","*",FN_MC!B187)</f>
        <v>46071</v>
      </c>
      <c r="G184" s="96" t="str">
        <f>IF(FN_MC!D187="","*",FN_MC!D187)</f>
        <v>A60</v>
      </c>
      <c r="H184" s="96" t="str">
        <f>IF(FN_MC!F187="","*",FN_MC!F187)</f>
        <v>DETECÇÃO - RONDA 7 DIAS</v>
      </c>
      <c r="I184" s="96" t="str">
        <f>IF(FN_MC!H187="","*",FN_MC!H187)</f>
        <v>TCS</v>
      </c>
      <c r="J184" s="96" t="str">
        <f>IF(FN_MC!I187="","*",FN_MC!I187)</f>
        <v>TGR</v>
      </c>
      <c r="K184" s="96" t="str">
        <f>IF(FN_MC!M187="","*",FN_MC!M187)</f>
        <v>TCS-TRC</v>
      </c>
      <c r="L184" s="192" t="str">
        <f>IF(FN_MC!N187="","*",FN_MC!N187)</f>
        <v>291TRC1</v>
      </c>
      <c r="M184" s="97">
        <f>IF(FN_MC!J187="","*",FN_MC!J187)</f>
        <v>74</v>
      </c>
      <c r="N184" s="179">
        <f>IF(FN_MC!K187="","*",FN_MC!K187)</f>
        <v>291</v>
      </c>
      <c r="O184" s="179">
        <f>IF(FN_MC!L187="","*",FN_MC!L187)</f>
        <v>502</v>
      </c>
      <c r="P184" s="107">
        <f>IF(FN_MC!O187="","*",FN_MC!O187)</f>
        <v>0.33333333333333331</v>
      </c>
      <c r="Q184" s="107">
        <f>IF(FN_MC!P187="","*",FN_MC!P187)</f>
        <v>4.1666666666666664E-2</v>
      </c>
      <c r="R184" s="96" t="str">
        <f>IF(FN_MC!Q187="","*",CONCATENATE(FN_MC!Q187," ",FN_MC!R187))</f>
        <v>200 KM</v>
      </c>
      <c r="S184" s="96" t="str">
        <f>IF(FN_MC!V187="","*",FN_MC!V187)</f>
        <v>Herbert</v>
      </c>
      <c r="T184" s="96" t="str">
        <f>IF(FN_MC!W187="","*",FN_MC!W187)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V86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ELSON</v>
      </c>
      <c r="H200" s="96" t="str">
        <f>IF(FN_MC!F202="","*",FN_MC!F202)</f>
        <v>PDM - SOLDA</v>
      </c>
      <c r="I200" s="96" t="str">
        <f>IF(FN_MC!H202="","*",FN_MC!H202)</f>
        <v>499TGR1</v>
      </c>
      <c r="J200" s="96" t="str">
        <f>IF(FN_MC!I202="","*",FN_MC!I202)</f>
        <v>-</v>
      </c>
      <c r="K200" s="96" t="str">
        <f>IF(FN_MC!M202="","*",FN_MC!M202)</f>
        <v>TBR-TGR</v>
      </c>
      <c r="L200" s="192" t="str">
        <f>IF(FN_MC!N202="","*",FN_MC!N202)</f>
        <v>499TGR1</v>
      </c>
      <c r="M200" s="97">
        <f>IF(FN_MC!J202="","*",FN_MC!J202)</f>
        <v>74</v>
      </c>
      <c r="N200" s="179">
        <f>IF(FN_MC!K202="","*",FN_MC!K202)</f>
        <v>498.9</v>
      </c>
      <c r="O200" s="179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8.3333333333333329E-2</v>
      </c>
      <c r="R200" s="96" t="str">
        <f>IF(FN_MC!Q202="","*",CONCATENATE(FN_MC!Q202," ",FN_MC!R202))</f>
        <v>2 Nº DE SOLDA</v>
      </c>
      <c r="S200" s="96" t="str">
        <f>IF(FN_MC!V202="","*",FN_MC!V202)</f>
        <v>Elson</v>
      </c>
      <c r="T200" s="96" t="str">
        <f>IF(FN_MC!W202="","*",FN_MC!W202)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TCS-TGR</v>
      </c>
      <c r="F201" s="96">
        <f>IF(FN_MC!B203="","*",FN_MC!B203)</f>
        <v>46072</v>
      </c>
      <c r="G201" s="96" t="str">
        <f>IF(FN_MC!D203="","*",FN_MC!D203)</f>
        <v>W70</v>
      </c>
      <c r="H201" s="96" t="str">
        <f>IF(FN_MC!F203="","*",FN_MC!F203)</f>
        <v>PDM - PEDRA - DESCARGA</v>
      </c>
      <c r="I201" s="96" t="str">
        <f>IF(FN_MC!H203="","*",FN_MC!H203)</f>
        <v>TAG</v>
      </c>
      <c r="J201" s="96" t="str">
        <f>IF(FN_MC!I203="","*",FN_MC!I203)</f>
        <v>TAG</v>
      </c>
      <c r="K201" s="96" t="str">
        <f>IF(FN_MC!M203="","*",FN_MC!M203)</f>
        <v>TVL-TBR</v>
      </c>
      <c r="L201" s="192" t="str">
        <f>IF(FN_MC!N203="","*",FN_MC!N203)</f>
        <v>TVL464</v>
      </c>
      <c r="M201" s="97">
        <f>IF(FN_MC!J203="","*",FN_MC!J203)</f>
        <v>74</v>
      </c>
      <c r="N201" s="179">
        <f>IF(FN_MC!K203="","*",FN_MC!K203)</f>
        <v>461</v>
      </c>
      <c r="O201" s="179" t="str">
        <f>IF(FN_MC!L203="","*",FN_MC!L203)</f>
        <v>-</v>
      </c>
      <c r="P201" s="107">
        <f>IF(FN_MC!O203="","*",FN_MC!O203)</f>
        <v>0.41666666666666669</v>
      </c>
      <c r="Q201" s="107">
        <f>IF(FN_MC!P203="","*",FN_MC!P203)</f>
        <v>0.125</v>
      </c>
      <c r="R201" s="96" t="str">
        <f>IF(FN_MC!Q203="","*",CONCATENATE(FN_MC!Q203," ",FN_MC!R203))</f>
        <v>20 VAGÕES</v>
      </c>
      <c r="S201" s="96" t="str">
        <f>IF(FN_MC!V203="","*",FN_MC!V203)</f>
        <v>Elton</v>
      </c>
      <c r="T201" s="96" t="str">
        <f>IF(FN_MC!W203="","*",FN_MC!W203)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1687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1688</v>
      </c>
      <c r="C4" s="187" t="s">
        <v>1689</v>
      </c>
      <c r="D4" s="187" t="s">
        <v>1690</v>
      </c>
      <c r="E4" s="187" t="s">
        <v>1691</v>
      </c>
      <c r="F4" s="187" t="s">
        <v>366</v>
      </c>
      <c r="G4" s="187" t="s">
        <v>1692</v>
      </c>
    </row>
    <row r="5" spans="2:7">
      <c r="B5" s="188" t="s">
        <v>1693</v>
      </c>
      <c r="C5" s="188">
        <v>309525</v>
      </c>
      <c r="D5" s="188" t="s">
        <v>1694</v>
      </c>
      <c r="E5" s="188" t="s">
        <v>249</v>
      </c>
      <c r="F5" s="188" t="s">
        <v>1695</v>
      </c>
      <c r="G5" s="189">
        <v>46296</v>
      </c>
    </row>
    <row r="6" spans="2:7">
      <c r="B6" s="188" t="s">
        <v>1696</v>
      </c>
      <c r="C6" s="188">
        <v>257410</v>
      </c>
      <c r="D6" s="188" t="s">
        <v>1697</v>
      </c>
      <c r="E6" s="188" t="s">
        <v>249</v>
      </c>
      <c r="F6" s="188" t="s">
        <v>1695</v>
      </c>
      <c r="G6" s="189"/>
    </row>
    <row r="7" spans="2:7">
      <c r="B7" s="188" t="s">
        <v>1484</v>
      </c>
      <c r="C7" s="188">
        <v>256875</v>
      </c>
      <c r="D7" s="188" t="s">
        <v>1698</v>
      </c>
      <c r="E7" s="188" t="s">
        <v>249</v>
      </c>
      <c r="F7" s="188" t="s">
        <v>1695</v>
      </c>
      <c r="G7" s="189">
        <v>46296</v>
      </c>
    </row>
    <row r="8" spans="2:7">
      <c r="B8" s="188" t="s">
        <v>1699</v>
      </c>
      <c r="C8" s="188">
        <v>257278</v>
      </c>
      <c r="D8" s="188" t="s">
        <v>1700</v>
      </c>
      <c r="E8" s="188" t="s">
        <v>240</v>
      </c>
      <c r="F8" s="188" t="s">
        <v>1701</v>
      </c>
      <c r="G8" s="189">
        <v>46235</v>
      </c>
    </row>
    <row r="9" spans="2:7">
      <c r="B9" s="188" t="s">
        <v>1702</v>
      </c>
      <c r="C9" s="188">
        <v>261794</v>
      </c>
      <c r="D9" s="188" t="s">
        <v>1703</v>
      </c>
      <c r="E9" s="188" t="s">
        <v>240</v>
      </c>
      <c r="F9" s="188" t="s">
        <v>1701</v>
      </c>
      <c r="G9" s="189">
        <v>46082</v>
      </c>
    </row>
    <row r="10" spans="2:7">
      <c r="B10" s="188" t="s">
        <v>1704</v>
      </c>
      <c r="C10" s="188">
        <v>257033</v>
      </c>
      <c r="D10" s="188" t="s">
        <v>1705</v>
      </c>
      <c r="E10" s="188" t="s">
        <v>240</v>
      </c>
      <c r="F10" s="188" t="s">
        <v>480</v>
      </c>
      <c r="G10" s="188" t="s">
        <v>1706</v>
      </c>
    </row>
    <row r="11" spans="2:7">
      <c r="B11" s="188" t="s">
        <v>1707</v>
      </c>
      <c r="C11" s="188">
        <v>396578</v>
      </c>
      <c r="D11" s="188" t="s">
        <v>1708</v>
      </c>
      <c r="E11" s="188" t="s">
        <v>240</v>
      </c>
      <c r="F11" s="188" t="s">
        <v>480</v>
      </c>
      <c r="G11" s="188" t="s">
        <v>1706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1709</v>
      </c>
      <c r="D5" s="288"/>
      <c r="E5" s="288"/>
      <c r="F5" s="288"/>
      <c r="G5" s="288"/>
      <c r="H5" s="288"/>
      <c r="I5" s="288"/>
      <c r="J5" s="289"/>
      <c r="K5" s="290" t="s">
        <v>1710</v>
      </c>
      <c r="L5" s="291"/>
      <c r="M5" s="291"/>
      <c r="N5" s="291"/>
      <c r="O5" s="292" t="s">
        <v>1711</v>
      </c>
      <c r="P5" s="293"/>
      <c r="Q5" s="294"/>
    </row>
    <row r="6" spans="1:17" s="81" customFormat="1" ht="15.75" customHeight="1">
      <c r="A6" s="75" t="s">
        <v>1685</v>
      </c>
      <c r="B6" s="82" t="s">
        <v>1684</v>
      </c>
      <c r="C6" s="83" t="s">
        <v>1212</v>
      </c>
      <c r="D6" s="84" t="s">
        <v>1213</v>
      </c>
      <c r="E6" s="83" t="s">
        <v>1712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1713</v>
      </c>
      <c r="M6" s="116" t="s">
        <v>29</v>
      </c>
      <c r="N6" s="117" t="s">
        <v>1207</v>
      </c>
      <c r="O6" s="161" t="s">
        <v>1250</v>
      </c>
      <c r="P6" s="128"/>
      <c r="Q6" s="138" t="s">
        <v>1714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IF(FN_MC!B183="","*",FN_MC!B183)</f>
        <v>46071</v>
      </c>
      <c r="B211" s="86" t="str">
        <f>IF(FN_MC!X183="","*",FN_MC!X183)</f>
        <v>Contrato</v>
      </c>
      <c r="C211" s="87" t="str">
        <f>IF(FN_MC!S183="","*",FN_MC!S183)</f>
        <v>FERRONORTE</v>
      </c>
      <c r="D211" s="87" t="str">
        <f>IF(FN_MC!T183="","*",FN_MC!T183)</f>
        <v>TGR-TRO</v>
      </c>
      <c r="E211" s="87" t="str">
        <f>IF(FN_MC!D183="","*",FN_MC!D183)</f>
        <v>V86</v>
      </c>
      <c r="F211" s="87" t="str">
        <f>IF(FN_MC!H183="","*",FN_MC!H183)</f>
        <v>TIQ</v>
      </c>
      <c r="G211" s="87" t="str">
        <f>IF(FN_MC!M183="","*",FN_MC!M183)</f>
        <v>TBS</v>
      </c>
      <c r="H211" s="125">
        <f>IF(FN_MC!K183="","*",FN_MC!K183)</f>
        <v>659.976</v>
      </c>
      <c r="I211" s="110">
        <f>IF(FN_MC!O183="","*",FN_MC!O183)</f>
        <v>0.4375</v>
      </c>
      <c r="J211" s="110">
        <f>IF(FN_MC!P183="","*",FN_MC!P183)</f>
        <v>0.125</v>
      </c>
      <c r="K211" s="118" t="str">
        <f>IF(FN_MC!AK183="","*",FN_MC!AK183)</f>
        <v>TIQ</v>
      </c>
      <c r="L211" s="118" t="str">
        <f>IF(FN_MC!AM183="","*",FN_MC!AM183)</f>
        <v>TBS</v>
      </c>
      <c r="M211" s="118">
        <f>IF(FN_MC!AP183="","*",FN_MC!AP183)</f>
        <v>659.976</v>
      </c>
      <c r="N211" s="118" t="str">
        <f>IF(FN_MC!AM183="","*",FN_MC!AM183)</f>
        <v>TBS</v>
      </c>
      <c r="O211" s="135">
        <f>FN_MC!BH183</f>
        <v>0</v>
      </c>
      <c r="P211" s="78"/>
      <c r="Q211" s="120" t="str">
        <f>IF($A$2=1,IF(FN_MC!BJ183="","*",FN_MC!BJ183),IF(FN_MC!BK183="","*",FN_MC!BK183))</f>
        <v>MC1 as 08:41h - Negado sem faixa</v>
      </c>
    </row>
    <row r="212" spans="1:17" hidden="1">
      <c r="A212" s="85">
        <f>IF(FN_MC!B184="","*",FN_MC!B184)</f>
        <v>46071</v>
      </c>
      <c r="B212" s="86" t="str">
        <f>IF(FN_MC!X184="","*",FN_MC!X184)</f>
        <v>Oportunidade</v>
      </c>
      <c r="C212" s="87" t="str">
        <f>IF(FN_MC!S184="","*",FN_MC!S184)</f>
        <v>FERRONORTE</v>
      </c>
      <c r="D212" s="87" t="str">
        <f>IF(FN_MC!T184="","*",FN_MC!T184)</f>
        <v>TGR-TRO</v>
      </c>
      <c r="E212" s="87" t="str">
        <f>IF(FN_MC!D184="","*",FN_MC!D184)</f>
        <v>BRUNO (TF-525)</v>
      </c>
      <c r="F212" s="87" t="str">
        <f>IF(FN_MC!H184="","*",FN_MC!H184)</f>
        <v>TEP1</v>
      </c>
      <c r="G212" s="87" t="str">
        <f>IF(FN_MC!M184="","*",FN_MC!M184)</f>
        <v>TBS-TAL</v>
      </c>
      <c r="H212" s="125">
        <f>IF(FN_MC!K184="","*",FN_MC!K184)</f>
        <v>661.84</v>
      </c>
      <c r="I212" s="110">
        <f>IF(FN_MC!O184="","*",FN_MC!O184)</f>
        <v>0.375</v>
      </c>
      <c r="J212" s="110">
        <f>IF(FN_MC!P184="","*",FN_MC!P184)</f>
        <v>6.25E-2</v>
      </c>
      <c r="K212" s="118" t="str">
        <f>IF(FN_MC!AK184="","*",FN_MC!AK184)</f>
        <v>TEP1</v>
      </c>
      <c r="L212" s="118" t="str">
        <f>IF(FN_MC!AM184="","*",FN_MC!AM184)</f>
        <v>TBS-TAL</v>
      </c>
      <c r="M212" s="118">
        <f>IF(FN_MC!AP184="","*",FN_MC!AP184)</f>
        <v>617.79999999999995</v>
      </c>
      <c r="N212" s="118" t="str">
        <f>IF(FN_MC!AM184="","*",FN_MC!AM184)</f>
        <v>TBS-TAL</v>
      </c>
      <c r="O212" s="135">
        <f>FN_MC!BH184</f>
        <v>0</v>
      </c>
      <c r="P212" s="78"/>
      <c r="Q212" s="120" t="str">
        <f>IF($A$2=1,IF(FN_MC!BJ184="","*",FN_MC!BJ184),IF(FN_MC!BK184="","*",FN_MC!BK184))</f>
        <v>*</v>
      </c>
    </row>
    <row r="213" spans="1:17" hidden="1">
      <c r="A213" s="85">
        <f>IF(FN_MC!B185="","*",FN_MC!B185)</f>
        <v>46071</v>
      </c>
      <c r="B213" s="86" t="str">
        <f>IF(FN_MC!X185="","*",FN_MC!X185)</f>
        <v>Contrato</v>
      </c>
      <c r="C213" s="87" t="str">
        <f>IF(FN_MC!S185="","*",FN_MC!S185)</f>
        <v>FERRONORTE</v>
      </c>
      <c r="D213" s="87" t="str">
        <f>IF(FN_MC!T185="","*",FN_MC!T185)</f>
        <v>TCS-TGR</v>
      </c>
      <c r="E213" s="87" t="str">
        <f>IF(FN_MC!D185="","*",FN_MC!D185)</f>
        <v>W70</v>
      </c>
      <c r="F213" s="87" t="str">
        <f>IF(FN_MC!H185="","*",FN_MC!H185)</f>
        <v>464TBR</v>
      </c>
      <c r="G213" s="87" t="str">
        <f>IF(FN_MC!M185="","*",FN_MC!M185)</f>
        <v>TVL-TBR</v>
      </c>
      <c r="H213" s="125">
        <f>IF(FN_MC!K185="","*",FN_MC!K185)</f>
        <v>444.66</v>
      </c>
      <c r="I213" s="110">
        <f>IF(FN_MC!O185="","*",FN_MC!O185)</f>
        <v>0.41666666666666669</v>
      </c>
      <c r="J213" s="110">
        <f>IF(FN_MC!P185="","*",FN_MC!P185)</f>
        <v>0.125</v>
      </c>
      <c r="K213" s="118" t="str">
        <f>IF(FN_MC!AK185="","*",FN_MC!AK185)</f>
        <v>464TBR</v>
      </c>
      <c r="L213" s="118" t="str">
        <f>IF(FN_MC!AM185="","*",FN_MC!AM185)</f>
        <v>TVL-TBR</v>
      </c>
      <c r="M213" s="118">
        <f>IF(FN_MC!AP185="","*",FN_MC!AP185)</f>
        <v>444.66</v>
      </c>
      <c r="N213" s="118" t="str">
        <f>IF(FN_MC!AM185="","*",FN_MC!AM185)</f>
        <v>TVL-TBR</v>
      </c>
      <c r="O213" s="135">
        <f>FN_MC!BH185</f>
        <v>0</v>
      </c>
      <c r="P213" s="78"/>
      <c r="Q213" s="120" t="str">
        <f>IF($A$2=1,IF(FN_MC!BJ185="","*",FN_MC!BJ185),IF(FN_MC!BK185="","*",FN_MC!BK185))</f>
        <v>*</v>
      </c>
    </row>
    <row r="214" spans="1:17" hidden="1">
      <c r="A214" s="85">
        <f>IF(FN_MC!B186="","*",FN_MC!B186)</f>
        <v>46071</v>
      </c>
      <c r="B214" s="86" t="str">
        <f>IF(FN_MC!X186="","*",FN_MC!X186)</f>
        <v>Oportunidade</v>
      </c>
      <c r="C214" s="87" t="str">
        <f>IF(FN_MC!S186="","*",FN_MC!S186)</f>
        <v>FERRONORTE</v>
      </c>
      <c r="D214" s="87" t="str">
        <f>IF(FN_MC!T186="","*",FN_MC!T186)</f>
        <v>TCS-TGR</v>
      </c>
      <c r="E214" s="87" t="str">
        <f>IF(FN_MC!D186="","*",FN_MC!D186)</f>
        <v>ELSON (TF-526)</v>
      </c>
      <c r="F214" s="87" t="str">
        <f>IF(FN_MC!H186="","*",FN_MC!H186)</f>
        <v>TPC440</v>
      </c>
      <c r="G214" s="87" t="str">
        <f>IF(FN_MC!M186="","*",FN_MC!M186)</f>
        <v>TPC-TVL</v>
      </c>
      <c r="H214" s="125">
        <f>IF(FN_MC!K186="","*",FN_MC!K186)</f>
        <v>430.26799999999997</v>
      </c>
      <c r="I214" s="110">
        <f>IF(FN_MC!O186="","*",FN_MC!O186)</f>
        <v>0.41666666666666669</v>
      </c>
      <c r="J214" s="110">
        <f>IF(FN_MC!P186="","*",FN_MC!P186)</f>
        <v>6.25E-2</v>
      </c>
      <c r="K214" s="118" t="str">
        <f>IF(FN_MC!AK186="","*",FN_MC!AK186)</f>
        <v>TPC440</v>
      </c>
      <c r="L214" s="118" t="str">
        <f>IF(FN_MC!AM186="","*",FN_MC!AM186)</f>
        <v>TPC-TVL</v>
      </c>
      <c r="M214" s="118">
        <f>IF(FN_MC!AP186="","*",FN_MC!AP186)</f>
        <v>430.26799999999997</v>
      </c>
      <c r="N214" s="118" t="str">
        <f>IF(FN_MC!AM186="","*",FN_MC!AM186)</f>
        <v>TPC-TVL</v>
      </c>
      <c r="O214" s="135">
        <f>FN_MC!BH186</f>
        <v>0</v>
      </c>
      <c r="P214" s="78"/>
      <c r="Q214" s="120" t="str">
        <f>IF($A$2=1,IF(FN_MC!BJ186="","*",FN_MC!BJ186),IF(FN_MC!BK186="","*",FN_MC!BK186))</f>
        <v>*</v>
      </c>
    </row>
    <row r="215" spans="1:17" hidden="1">
      <c r="A215" s="85">
        <f>IF(FN_MC!B187="","*",FN_MC!B187)</f>
        <v>46071</v>
      </c>
      <c r="B215" s="86" t="str">
        <f>IF(FN_MC!X187="","*",FN_MC!X187)</f>
        <v>Oportunidade</v>
      </c>
      <c r="C215" s="87" t="str">
        <f>IF(FN_MC!S187="","*",FN_MC!S187)</f>
        <v>FERRONORTE</v>
      </c>
      <c r="D215" s="87" t="str">
        <f>IF(FN_MC!T187="","*",FN_MC!T187)</f>
        <v>TCS-TGR</v>
      </c>
      <c r="E215" s="87" t="str">
        <f>IF(FN_MC!D187="","*",FN_MC!D187)</f>
        <v>A60</v>
      </c>
      <c r="F215" s="87" t="str">
        <f>IF(FN_MC!H187="","*",FN_MC!H187)</f>
        <v>TCS</v>
      </c>
      <c r="G215" s="87" t="str">
        <f>IF(FN_MC!M187="","*",FN_MC!M187)</f>
        <v>TCS-TRC</v>
      </c>
      <c r="H215" s="125">
        <f>IF(FN_MC!K187="","*",FN_MC!K187)</f>
        <v>291</v>
      </c>
      <c r="I215" s="110">
        <f>IF(FN_MC!O187="","*",FN_MC!O187)</f>
        <v>0.33333333333333331</v>
      </c>
      <c r="J215" s="110">
        <f>IF(FN_MC!P187="","*",FN_MC!P187)</f>
        <v>4.1666666666666664E-2</v>
      </c>
      <c r="K215" s="118" t="str">
        <f>IF(FN_MC!AK187="","*",FN_MC!AK187)</f>
        <v>TCS</v>
      </c>
      <c r="L215" s="118" t="str">
        <f>IF(FN_MC!AM187="","*",FN_MC!AM187)</f>
        <v>TCS-TRC</v>
      </c>
      <c r="M215" s="118">
        <f>IF(FN_MC!AP187="","*",FN_MC!AP187)</f>
        <v>291</v>
      </c>
      <c r="N215" s="118" t="str">
        <f>IF(FN_MC!AM187="","*",FN_MC!AM187)</f>
        <v>TCS-TRC</v>
      </c>
      <c r="O215" s="135">
        <f>FN_MC!BH187</f>
        <v>1</v>
      </c>
      <c r="P215" s="78"/>
      <c r="Q215" s="120" t="str">
        <f>IF($A$2=1,IF(FN_MC!BJ187="","*",FN_MC!BJ187),IF(FN_MC!BK187="","*",FN_MC!BK187))</f>
        <v>*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1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Oportunidade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V86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>
        <f>IF(FN_MC!B202="","*",FN_MC!B202)</f>
        <v>46072</v>
      </c>
      <c r="B231" s="86" t="str">
        <f>IF(FN_MC!X202="","*",FN_MC!X202)</f>
        <v>Oportunidade</v>
      </c>
      <c r="C231" s="87" t="str">
        <f>IF(FN_MC!S202="","*",FN_MC!S202)</f>
        <v>FERRONORTE</v>
      </c>
      <c r="D231" s="87" t="str">
        <f>IF(FN_MC!T202="","*",FN_MC!T202)</f>
        <v>TCS-TGR</v>
      </c>
      <c r="E231" s="87" t="str">
        <f>IF(FN_MC!D202="","*",FN_MC!D202)</f>
        <v>ELSON</v>
      </c>
      <c r="F231" s="87" t="str">
        <f>IF(FN_MC!H202="","*",FN_MC!H202)</f>
        <v>499TGR1</v>
      </c>
      <c r="G231" s="87" t="str">
        <f>IF(FN_MC!M202="","*",FN_MC!M202)</f>
        <v>TBR-TGR</v>
      </c>
      <c r="H231" s="125">
        <f>IF(FN_MC!K202="","*",FN_MC!K202)</f>
        <v>498.9</v>
      </c>
      <c r="I231" s="110">
        <f>IF(FN_MC!O202="","*",FN_MC!O202)</f>
        <v>0.41666666666666669</v>
      </c>
      <c r="J231" s="110">
        <f>IF(FN_MC!P202="","*",FN_MC!P202)</f>
        <v>8.3333333333333329E-2</v>
      </c>
      <c r="K231" s="118" t="str">
        <f>IF(FN_MC!AK202="","*",FN_MC!AK202)</f>
        <v>499TGR1</v>
      </c>
      <c r="L231" s="118" t="str">
        <f>IF(FN_MC!AM202="","*",FN_MC!AM202)</f>
        <v>TBR-TGR</v>
      </c>
      <c r="M231" s="118">
        <f>IF(FN_MC!AP202="","*",FN_MC!AP202)</f>
        <v>498.9</v>
      </c>
      <c r="N231" s="118" t="str">
        <f>IF(FN_MC!AM202="","*",FN_MC!AM202)</f>
        <v>TBR-TGR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>
        <f>IF(FN_MC!B203="","*",FN_MC!B203)</f>
        <v>46072</v>
      </c>
      <c r="B232" s="86" t="str">
        <f>IF(FN_MC!X203="","*",FN_MC!X203)</f>
        <v>Oportunidade</v>
      </c>
      <c r="C232" s="87" t="str">
        <f>IF(FN_MC!S203="","*",FN_MC!S203)</f>
        <v>FERRONORTE</v>
      </c>
      <c r="D232" s="87" t="str">
        <f>IF(FN_MC!T203="","*",FN_MC!T203)</f>
        <v>TCS-TGR</v>
      </c>
      <c r="E232" s="87" t="str">
        <f>IF(FN_MC!D203="","*",FN_MC!D203)</f>
        <v>W70</v>
      </c>
      <c r="F232" s="87" t="str">
        <f>IF(FN_MC!H203="","*",FN_MC!H203)</f>
        <v>TAG</v>
      </c>
      <c r="G232" s="87" t="str">
        <f>IF(FN_MC!M203="","*",FN_MC!M203)</f>
        <v>TVL-TBR</v>
      </c>
      <c r="H232" s="125">
        <f>IF(FN_MC!K203="","*",FN_MC!K203)</f>
        <v>461</v>
      </c>
      <c r="I232" s="110">
        <f>IF(FN_MC!O203="","*",FN_MC!O203)</f>
        <v>0.41666666666666669</v>
      </c>
      <c r="J232" s="110">
        <f>IF(FN_MC!P203="","*",FN_MC!P203)</f>
        <v>0.125</v>
      </c>
      <c r="K232" s="118" t="str">
        <f>IF(FN_MC!AK203="","*",FN_MC!AK203)</f>
        <v>TAG</v>
      </c>
      <c r="L232" s="118" t="str">
        <f>IF(FN_MC!AM203="","*",FN_MC!AM203)</f>
        <v>TVL-TBR</v>
      </c>
      <c r="M232" s="118">
        <f>IF(FN_MC!AP203="","*",FN_MC!AP203)</f>
        <v>461</v>
      </c>
      <c r="N232" s="118" t="str">
        <f>IF(FN_MC!AM203="","*",FN_MC!AM203)</f>
        <v>TVL-TBR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2026-02-18T12:16:46Z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