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<sst xmlns="http://schemas.openxmlformats.org/spreadsheetml/2006/main" count="118" uniqueCount="105">
  <si>
    <t xml:space="preserve">A1</t>
  </si>
  <si>
    <t xml:space="preserve">Gravity</t>
  </si>
  <si>
    <t xml:space="preserve">Density</t>
  </si>
  <si>
    <t xml:space="preserve">Main Wing Weight [lbf]</t>
  </si>
  <si>
    <t xml:space="preserve">MainWingVolume</t>
  </si>
  <si>
    <t xml:space="preserve">Hstab Weight [lbf]</t>
  </si>
  <si>
    <t xml:space="preserve">Hstab volume</t>
  </si>
  <si>
    <t xml:space="preserve">Dowel Length</t>
  </si>
  <si>
    <t xml:space="preserve">Vstab Weight [lbf]</t>
  </si>
  <si>
    <t xml:space="preserve">Vstab volume</t>
  </si>
  <si>
    <t xml:space="preserve">Dowel Inner rad</t>
  </si>
  <si>
    <t xml:space="preserve">Dowell Weight [lbf]</t>
  </si>
  <si>
    <t xml:space="preserve">Dowell Volume</t>
  </si>
  <si>
    <t xml:space="preserve">Dowel Outer rad</t>
  </si>
  <si>
    <t xml:space="preserve">Ballast Weight [lbf]</t>
  </si>
  <si>
    <t xml:space="preserve">Ballast Volume</t>
  </si>
  <si>
    <t xml:space="preserve">Ballast Inner rad</t>
  </si>
  <si>
    <t xml:space="preserve">Total Aircraft Weight [lbf]</t>
  </si>
  <si>
    <t xml:space="preserve">Ballast Outer rad</t>
  </si>
  <si>
    <t xml:space="preserve">Ballast Length</t>
  </si>
  <si>
    <t xml:space="preserve">A2</t>
  </si>
  <si>
    <t xml:space="preserve">Sw [ft^2]</t>
  </si>
  <si>
    <t xml:space="preserve">RT</t>
  </si>
  <si>
    <t xml:space="preserve">RA_w</t>
  </si>
  <si>
    <t xml:space="preserve">Span</t>
  </si>
  <si>
    <t xml:space="preserve">rho [slugs/ft^3]</t>
  </si>
  <si>
    <t xml:space="preserve">Launch Energy</t>
  </si>
  <si>
    <t xml:space="preserve">Root Cord</t>
  </si>
  <si>
    <t xml:space="preserve">Launch Velocity [ft/s]</t>
  </si>
  <si>
    <t xml:space="preserve">Mean Cord</t>
  </si>
  <si>
    <t xml:space="preserve">Launch CL</t>
  </si>
  <si>
    <t xml:space="preserve">e</t>
  </si>
  <si>
    <t xml:space="preserve">CD_0</t>
  </si>
  <si>
    <t xml:space="preserve">A3</t>
  </si>
  <si>
    <t xml:space="preserve">W_f [lbf]</t>
  </si>
  <si>
    <t xml:space="preserve">Sigma Foam</t>
  </si>
  <si>
    <t xml:space="preserve">Max RA_w Allowed</t>
  </si>
  <si>
    <t xml:space="preserve">Gamma Foam</t>
  </si>
  <si>
    <t xml:space="preserve">Structurally sound? (y/n)</t>
  </si>
  <si>
    <t xml:space="preserve">yes</t>
  </si>
  <si>
    <t xml:space="preserve">A4</t>
  </si>
  <si>
    <t xml:space="preserve">Best No-Wind Glide Velocity [ft/s]</t>
  </si>
  <si>
    <t xml:space="preserve">No-Wind Glide Ratio</t>
  </si>
  <si>
    <t xml:space="preserve">CD_1</t>
  </si>
  <si>
    <t xml:space="preserve">CL Design</t>
  </si>
  <si>
    <t xml:space="preserve">CD_2</t>
  </si>
  <si>
    <t xml:space="preserve">A6</t>
  </si>
  <si>
    <t xml:space="preserve">Main Wing Mounting Angle [deg]</t>
  </si>
  <si>
    <t xml:space="preserve">A7</t>
  </si>
  <si>
    <t xml:space="preserve">CG x-location [ft]</t>
  </si>
  <si>
    <t xml:space="preserve">A8</t>
  </si>
  <si>
    <t xml:space="preserve">Hstab x-location [ft]</t>
  </si>
  <si>
    <t xml:space="preserve">A9</t>
  </si>
  <si>
    <t xml:space="preserve">Vstab x-location [ft]</t>
  </si>
  <si>
    <t xml:space="preserve">A10</t>
  </si>
  <si>
    <t xml:space="preserve">Main-Wing Dihedral [deg]</t>
  </si>
  <si>
    <t xml:space="preserve">A11</t>
  </si>
  <si>
    <t xml:space="preserve">Hstab Mounting Angle [deg]</t>
  </si>
  <si>
    <t xml:space="preserve">A12</t>
  </si>
  <si>
    <t xml:space="preserve">Dowell CGx [ft]</t>
  </si>
  <si>
    <t xml:space="preserve">A13</t>
  </si>
  <si>
    <t xml:space="preserve">Tungsten CGx [ft]</t>
  </si>
  <si>
    <t xml:space="preserve">Aircraft CGx [ft]</t>
  </si>
  <si>
    <t xml:space="preserve">Aircraft CGy [ft]</t>
  </si>
  <si>
    <t xml:space="preserve">Aircraft CGz [ft]</t>
  </si>
  <si>
    <t xml:space="preserve">A14</t>
  </si>
  <si>
    <t xml:space="preserve">mu [slugs/(ft-s)]</t>
  </si>
  <si>
    <t xml:space="preserve">Dowel</t>
  </si>
  <si>
    <t xml:space="preserve">Af</t>
  </si>
  <si>
    <t xml:space="preserve">As</t>
  </si>
  <si>
    <t xml:space="preserve">Re</t>
  </si>
  <si>
    <t xml:space="preserve">Cf</t>
  </si>
  <si>
    <t xml:space="preserve">Ballast</t>
  </si>
  <si>
    <t xml:space="preserve">Delta CD0_dowel</t>
  </si>
  <si>
    <t xml:space="preserve">Delta CD0_ballast</t>
  </si>
  <si>
    <t xml:space="preserve">Total CD0 due to dowel+ballast</t>
  </si>
  <si>
    <t xml:space="preserve">A15</t>
  </si>
  <si>
    <t xml:space="preserve">CL</t>
  </si>
  <si>
    <t xml:space="preserve">CD</t>
  </si>
  <si>
    <t xml:space="preserve">CD_Machup6</t>
  </si>
  <si>
    <t xml:space="preserve">Cm</t>
  </si>
  <si>
    <t xml:space="preserve">CL,alpha</t>
  </si>
  <si>
    <t xml:space="preserve">Cm,alpha</t>
  </si>
  <si>
    <t xml:space="preserve">CY,beta</t>
  </si>
  <si>
    <t xml:space="preserve">Cl,beta</t>
  </si>
  <si>
    <t xml:space="preserve">Cn,beta</t>
  </si>
  <si>
    <t xml:space="preserve">Static Margin (%)</t>
  </si>
  <si>
    <t xml:space="preserve">A16</t>
  </si>
  <si>
    <t xml:space="preserve">Glide Ratio</t>
  </si>
  <si>
    <t xml:space="preserve">Total Distance [ft]</t>
  </si>
  <si>
    <t xml:space="preserve">A17</t>
  </si>
  <si>
    <t xml:space="preserve">CD0</t>
  </si>
  <si>
    <t xml:space="preserve">CD1</t>
  </si>
  <si>
    <t xml:space="preserve">CD2</t>
  </si>
  <si>
    <t xml:space="preserve">Oswald Efficiency Factor</t>
  </si>
  <si>
    <t xml:space="preserve">A18</t>
  </si>
  <si>
    <t xml:space="preserve">Use your group tab in this spreadsheet</t>
  </si>
  <si>
    <t xml:space="preserve">A19</t>
  </si>
  <si>
    <t xml:space="preserve">A20</t>
  </si>
  <si>
    <t xml:space="preserve">V_min [ft/s]</t>
  </si>
  <si>
    <t xml:space="preserve">Optimal Launch force </t>
  </si>
  <si>
    <t xml:space="preserve">1.9753 lbf</t>
  </si>
  <si>
    <t xml:space="preserve">V_MD [ft/s]</t>
  </si>
  <si>
    <t xml:space="preserve">V_MDV [ft/s]</t>
  </si>
  <si>
    <t xml:space="preserve">A21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</si>
</sst>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00E+00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theme="1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E105" activeCellId="0" sqref="E10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7.37"/>
    <col collapsed="false" customWidth="true" hidden="false" outlineLevel="0" max="2" min="2" style="1" width="12.36"/>
    <col collapsed="false" customWidth="true" hidden="false" outlineLevel="0" max="4" min="4" style="0" width="18"/>
    <col collapsed="false" customWidth="true" hidden="false" outlineLevel="0" max="5" min="5" style="0" width="15.91"/>
    <col collapsed="false" customWidth="true" hidden="false" outlineLevel="0" max="6" min="6" style="0" width="11.82"/>
  </cols>
  <sheetData>
    <row r="1" customFormat="false" ht="15" hidden="false" customHeight="false" outlineLevel="0" collapsed="false">
      <c r="A1" s="2" t="s">
        <v>0</v>
      </c>
      <c r="B1" s="1" t="s">
        <v>1</v>
      </c>
      <c r="C1" s="0" t="n">
        <v>32.174</v>
      </c>
      <c r="D1" s="0" t="s">
        <v>2</v>
      </c>
    </row>
    <row r="2" customFormat="false" ht="15" hidden="false" customHeight="false" outlineLevel="0" collapsed="false">
      <c r="A2" s="3" t="s">
        <v>3</v>
      </c>
      <c r="B2" s="1" t="n">
        <f aca="false">F2*D2*$C$1</f>
        <v>0.24210935</v>
      </c>
      <c r="D2" s="0" t="n">
        <v>0.025</v>
      </c>
      <c r="E2" s="0" t="s">
        <v>4</v>
      </c>
      <c r="F2" s="0" t="n">
        <v>0.301</v>
      </c>
    </row>
    <row r="3" customFormat="false" ht="15" hidden="false" customHeight="false" outlineLevel="0" collapsed="false">
      <c r="A3" s="3" t="s">
        <v>5</v>
      </c>
      <c r="B3" s="1" t="n">
        <f aca="false">F3*D3*$C$1</f>
        <v>0.0740002</v>
      </c>
      <c r="D3" s="0" t="n">
        <v>0.025</v>
      </c>
      <c r="E3" s="0" t="s">
        <v>6</v>
      </c>
      <c r="F3" s="0" t="n">
        <v>0.092</v>
      </c>
      <c r="H3" s="0" t="s">
        <v>7</v>
      </c>
      <c r="I3" s="0" t="n">
        <v>6</v>
      </c>
    </row>
    <row r="4" customFormat="false" ht="15" hidden="false" customHeight="false" outlineLevel="0" collapsed="false">
      <c r="A4" s="3" t="s">
        <v>8</v>
      </c>
      <c r="B4" s="1" t="n">
        <f aca="false">F4*D4*$C$1</f>
        <v>0.0370001</v>
      </c>
      <c r="D4" s="0" t="n">
        <v>0.025</v>
      </c>
      <c r="E4" s="0" t="s">
        <v>9</v>
      </c>
      <c r="F4" s="0" t="n">
        <v>0.046</v>
      </c>
      <c r="H4" s="0" t="s">
        <v>10</v>
      </c>
      <c r="I4" s="0" t="n">
        <f aca="false">(9/16)*(1/24)</f>
        <v>0.0234375</v>
      </c>
    </row>
    <row r="5" customFormat="false" ht="15" hidden="false" customHeight="false" outlineLevel="0" collapsed="false">
      <c r="A5" s="3" t="s">
        <v>11</v>
      </c>
      <c r="B5" s="1" t="n">
        <f aca="false">F5*D5*$C$1</f>
        <v>0.194332547860891</v>
      </c>
      <c r="D5" s="0" t="n">
        <v>0.75</v>
      </c>
      <c r="E5" s="0" t="s">
        <v>12</v>
      </c>
      <c r="F5" s="0" t="n">
        <f aca="false">PI()*((I5^2)-(I4^2))*I3</f>
        <v>0.00805339913639962</v>
      </c>
      <c r="H5" s="0" t="s">
        <v>13</v>
      </c>
      <c r="I5" s="0" t="n">
        <f aca="false">(3/4)*(1/24)</f>
        <v>0.03125</v>
      </c>
    </row>
    <row r="6" customFormat="false" ht="15" hidden="false" customHeight="false" outlineLevel="0" collapsed="false">
      <c r="A6" s="3" t="s">
        <v>14</v>
      </c>
      <c r="B6" s="1" t="n">
        <f aca="false">F6*D6*$C$1</f>
        <v>0.239318990368879</v>
      </c>
      <c r="D6" s="0" t="n">
        <v>37.3</v>
      </c>
      <c r="E6" s="0" t="s">
        <v>15</v>
      </c>
      <c r="F6" s="0" t="n">
        <f aca="false">PI()*((I7^2)-(I6^2))*I8</f>
        <v>0.000199417502425133</v>
      </c>
      <c r="H6" s="0" t="s">
        <v>16</v>
      </c>
      <c r="I6" s="0" t="n">
        <v>0.03125</v>
      </c>
    </row>
    <row r="7" customFormat="false" ht="15" hidden="false" customHeight="false" outlineLevel="0" collapsed="false">
      <c r="A7" s="3" t="s">
        <v>17</v>
      </c>
      <c r="B7" s="1" t="n">
        <f aca="false">SUM(B2:B6)</f>
        <v>0.78676118822977</v>
      </c>
      <c r="H7" s="0" t="s">
        <v>18</v>
      </c>
      <c r="I7" s="0" t="n">
        <v>0.05</v>
      </c>
    </row>
    <row r="8" customFormat="false" ht="15" hidden="false" customHeight="false" outlineLevel="0" collapsed="false">
      <c r="A8" s="3"/>
      <c r="H8" s="0" t="s">
        <v>19</v>
      </c>
      <c r="I8" s="0" t="n">
        <f aca="false">0.5/12</f>
        <v>0.0416666666666667</v>
      </c>
    </row>
    <row r="9" customFormat="false" ht="15" hidden="false" customHeight="false" outlineLevel="0" collapsed="false">
      <c r="A9" s="2" t="s">
        <v>20</v>
      </c>
    </row>
    <row r="10" customFormat="false" ht="15" hidden="false" customHeight="false" outlineLevel="0" collapsed="false">
      <c r="A10" s="3" t="s">
        <v>21</v>
      </c>
      <c r="B10" s="1" t="n">
        <v>6.5625</v>
      </c>
      <c r="D10" s="0" t="s">
        <v>22</v>
      </c>
      <c r="E10" s="0" t="n">
        <v>0.4</v>
      </c>
    </row>
    <row r="11" customFormat="false" ht="15" hidden="false" customHeight="false" outlineLevel="0" collapsed="false">
      <c r="A11" s="3" t="s">
        <v>23</v>
      </c>
      <c r="B11" s="1" t="n">
        <f aca="false">E11^2/B10</f>
        <v>23.8095238095238</v>
      </c>
      <c r="D11" s="0" t="s">
        <v>24</v>
      </c>
      <c r="E11" s="0" t="n">
        <v>12.5</v>
      </c>
    </row>
    <row r="12" customFormat="false" ht="15" hidden="false" customHeight="false" outlineLevel="0" collapsed="false">
      <c r="A12" s="3" t="s">
        <v>25</v>
      </c>
      <c r="B12" s="1" t="n">
        <v>0.002048</v>
      </c>
      <c r="C12" s="0" t="s">
        <v>26</v>
      </c>
      <c r="D12" s="0" t="s">
        <v>27</v>
      </c>
      <c r="E12" s="0" t="n">
        <v>0.75</v>
      </c>
    </row>
    <row r="13" customFormat="false" ht="15" hidden="false" customHeight="false" outlineLevel="0" collapsed="false">
      <c r="A13" s="3" t="s">
        <v>28</v>
      </c>
      <c r="B13" s="1" t="n">
        <f aca="false">SQRT(2*C13*C1/B7)</f>
        <v>40.4446480584723</v>
      </c>
      <c r="C13" s="0" t="n">
        <v>20</v>
      </c>
      <c r="D13" s="0" t="s">
        <v>29</v>
      </c>
      <c r="E13" s="0" t="n">
        <f aca="false">B10/E11</f>
        <v>0.525</v>
      </c>
    </row>
    <row r="14" customFormat="false" ht="15" hidden="false" customHeight="false" outlineLevel="0" collapsed="false">
      <c r="A14" s="3" t="s">
        <v>30</v>
      </c>
      <c r="B14" s="1" t="n">
        <f aca="false">B7/(0.5*B13*B13*B10*B12)</f>
        <v>0.071573381043672</v>
      </c>
    </row>
    <row r="15" customFormat="false" ht="15" hidden="false" customHeight="false" outlineLevel="0" collapsed="false">
      <c r="A15" s="3"/>
    </row>
    <row r="16" customFormat="false" ht="15" hidden="false" customHeight="false" outlineLevel="0" collapsed="false">
      <c r="A16" s="2"/>
      <c r="D16" s="0" t="s">
        <v>31</v>
      </c>
      <c r="E16" s="0" t="n">
        <v>0.8</v>
      </c>
    </row>
    <row r="17" customFormat="false" ht="15" hidden="false" customHeight="false" outlineLevel="0" collapsed="false">
      <c r="A17" s="3"/>
      <c r="D17" s="0" t="s">
        <v>32</v>
      </c>
      <c r="E17" s="0" t="n">
        <v>0.013</v>
      </c>
    </row>
    <row r="18" customFormat="false" ht="15" hidden="false" customHeight="false" outlineLevel="0" collapsed="false">
      <c r="A18" s="3"/>
    </row>
    <row r="19" customFormat="false" ht="15" hidden="false" customHeight="false" outlineLevel="0" collapsed="false">
      <c r="A19" s="3"/>
    </row>
    <row r="20" customFormat="false" ht="15" hidden="false" customHeight="false" outlineLevel="0" collapsed="false">
      <c r="A20" s="2" t="s">
        <v>33</v>
      </c>
    </row>
    <row r="21" customFormat="false" ht="15" hidden="false" customHeight="false" outlineLevel="0" collapsed="false">
      <c r="A21" s="3" t="s">
        <v>34</v>
      </c>
      <c r="B21" s="1" t="n">
        <f aca="false">SUM(B5:B6)</f>
        <v>0.43365153822977</v>
      </c>
      <c r="D21" s="0" t="s">
        <v>35</v>
      </c>
      <c r="E21" s="0" t="n">
        <v>7200</v>
      </c>
    </row>
    <row r="22" customFormat="false" ht="15" hidden="false" customHeight="false" outlineLevel="0" collapsed="false">
      <c r="A22" s="3" t="s">
        <v>36</v>
      </c>
      <c r="B22" s="1" t="n">
        <f aca="false">(16*0.12*E21*B2)/(21*B21*E11*E22)</f>
        <v>36.5695014067052</v>
      </c>
      <c r="D22" s="0" t="s">
        <v>37</v>
      </c>
      <c r="E22" s="0" t="n">
        <v>0.804</v>
      </c>
    </row>
    <row r="23" customFormat="false" ht="15" hidden="false" customHeight="false" outlineLevel="0" collapsed="false">
      <c r="A23" s="3" t="s">
        <v>38</v>
      </c>
      <c r="B23" s="1" t="s">
        <v>39</v>
      </c>
    </row>
    <row r="24" customFormat="false" ht="15" hidden="false" customHeight="false" outlineLevel="0" collapsed="false">
      <c r="A24" s="3"/>
    </row>
    <row r="25" customFormat="false" ht="15" hidden="false" customHeight="false" outlineLevel="0" collapsed="false">
      <c r="A25" s="2" t="s">
        <v>40</v>
      </c>
    </row>
    <row r="26" customFormat="false" ht="26.25" hidden="false" customHeight="false" outlineLevel="0" collapsed="false">
      <c r="A26" s="3" t="s">
        <v>41</v>
      </c>
      <c r="B26" s="1" t="n">
        <f aca="false">(SQRT(2)/SQRT(SQRT(PI()*E16*E17*B11)))*SQRT((B7/B10)/(B12))</f>
        <v>11.5213493863012</v>
      </c>
      <c r="D26" s="0" t="s">
        <v>32</v>
      </c>
      <c r="E26" s="0" t="n">
        <v>0.013</v>
      </c>
    </row>
    <row r="27" customFormat="false" ht="15" hidden="false" customHeight="false" outlineLevel="0" collapsed="false">
      <c r="A27" s="3" t="s">
        <v>42</v>
      </c>
      <c r="B27" s="1" t="n">
        <f aca="false">(SQRT(PI()*E16*B11)/(2*SQRT(E26)+E27*SQRT(PI()*E16*B11)))</f>
        <v>33.9229500453083</v>
      </c>
      <c r="D27" s="0" t="s">
        <v>43</v>
      </c>
      <c r="E27" s="0" t="n">
        <v>0</v>
      </c>
    </row>
    <row r="28" customFormat="false" ht="15" hidden="false" customHeight="false" outlineLevel="0" collapsed="false">
      <c r="A28" s="3" t="s">
        <v>44</v>
      </c>
      <c r="B28" s="1" t="n">
        <f aca="false">SQRT(PI()*B11*E17*E16)</f>
        <v>0.881996701178015</v>
      </c>
      <c r="D28" s="0" t="s">
        <v>45</v>
      </c>
      <c r="E28" s="0" t="n">
        <v>0</v>
      </c>
    </row>
    <row r="29" customFormat="false" ht="15" hidden="false" customHeight="false" outlineLevel="0" collapsed="false">
      <c r="A29" s="3"/>
    </row>
    <row r="30" customFormat="false" ht="15" hidden="false" customHeight="false" outlineLevel="0" collapsed="false">
      <c r="A30" s="2" t="s">
        <v>46</v>
      </c>
    </row>
    <row r="31" customFormat="false" ht="15" hidden="false" customHeight="false" outlineLevel="0" collapsed="false">
      <c r="A31" s="3" t="s">
        <v>47</v>
      </c>
      <c r="B31" s="1" t="n">
        <v>6.546</v>
      </c>
    </row>
    <row r="32" customFormat="false" ht="15" hidden="false" customHeight="false" outlineLevel="0" collapsed="false">
      <c r="A32" s="3"/>
    </row>
    <row r="33" customFormat="false" ht="15" hidden="false" customHeight="false" outlineLevel="0" collapsed="false">
      <c r="A33" s="2" t="s">
        <v>48</v>
      </c>
    </row>
    <row r="34" customFormat="false" ht="15" hidden="false" customHeight="false" outlineLevel="0" collapsed="false">
      <c r="A34" s="3" t="s">
        <v>49</v>
      </c>
      <c r="B34" s="1" t="n">
        <v>-0.0124</v>
      </c>
    </row>
    <row r="35" customFormat="false" ht="15" hidden="false" customHeight="false" outlineLevel="0" collapsed="false">
      <c r="A35" s="3"/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3" t="s">
        <v>51</v>
      </c>
      <c r="B37" s="1" t="n">
        <v>-2.0734</v>
      </c>
    </row>
    <row r="38" customFormat="false" ht="15" hidden="false" customHeight="false" outlineLevel="0" collapsed="false">
      <c r="A38" s="3"/>
    </row>
    <row r="39" customFormat="false" ht="15" hidden="false" customHeight="false" outlineLevel="0" collapsed="false">
      <c r="A39" s="2" t="s">
        <v>52</v>
      </c>
    </row>
    <row r="40" customFormat="false" ht="15" hidden="false" customHeight="false" outlineLevel="0" collapsed="false">
      <c r="A40" s="3" t="s">
        <v>53</v>
      </c>
      <c r="B40" s="1" t="n">
        <v>-3.6</v>
      </c>
    </row>
    <row r="41" customFormat="false" ht="15" hidden="false" customHeight="false" outlineLevel="0" collapsed="false">
      <c r="A41" s="3"/>
    </row>
    <row r="42" customFormat="false" ht="15" hidden="false" customHeight="false" outlineLevel="0" collapsed="false">
      <c r="A42" s="2" t="s">
        <v>54</v>
      </c>
    </row>
    <row r="43" customFormat="false" ht="15" hidden="false" customHeight="false" outlineLevel="0" collapsed="false">
      <c r="A43" s="3" t="s">
        <v>55</v>
      </c>
      <c r="B43" s="1" t="n">
        <v>17</v>
      </c>
    </row>
    <row r="44" customFormat="false" ht="15" hidden="false" customHeight="false" outlineLevel="0" collapsed="false">
      <c r="A44" s="3"/>
    </row>
    <row r="45" customFormat="false" ht="15" hidden="false" customHeight="false" outlineLevel="0" collapsed="false">
      <c r="A45" s="2" t="s">
        <v>56</v>
      </c>
    </row>
    <row r="46" customFormat="false" ht="15" hidden="false" customHeight="false" outlineLevel="0" collapsed="false">
      <c r="A46" s="3" t="s">
        <v>57</v>
      </c>
      <c r="B46" s="1" t="n">
        <v>2.357</v>
      </c>
    </row>
    <row r="47" customFormat="false" ht="15" hidden="false" customHeight="false" outlineLevel="0" collapsed="false">
      <c r="A47" s="3"/>
    </row>
    <row r="48" customFormat="false" ht="15" hidden="false" customHeight="false" outlineLevel="0" collapsed="false">
      <c r="A48" s="2" t="s">
        <v>58</v>
      </c>
    </row>
    <row r="49" customFormat="false" ht="15" hidden="false" customHeight="false" outlineLevel="0" collapsed="false">
      <c r="A49" s="3" t="s">
        <v>59</v>
      </c>
      <c r="B49" s="1" t="n">
        <v>-0.6</v>
      </c>
    </row>
    <row r="50" customFormat="false" ht="15" hidden="false" customHeight="false" outlineLevel="0" collapsed="false">
      <c r="A50" s="3"/>
    </row>
    <row r="51" customFormat="false" ht="15" hidden="false" customHeight="false" outlineLevel="0" collapsed="false">
      <c r="A51" s="2" t="s">
        <v>60</v>
      </c>
    </row>
    <row r="52" customFormat="false" ht="15" hidden="false" customHeight="false" outlineLevel="0" collapsed="false">
      <c r="A52" s="3" t="s">
        <v>61</v>
      </c>
      <c r="B52" s="1" t="n">
        <v>1.8117</v>
      </c>
    </row>
    <row r="53" customFormat="false" ht="15" hidden="false" customHeight="false" outlineLevel="0" collapsed="false">
      <c r="A53" s="3" t="s">
        <v>62</v>
      </c>
      <c r="B53" s="1" t="n">
        <v>-0.0124</v>
      </c>
    </row>
    <row r="54" customFormat="false" ht="15" hidden="false" customHeight="false" outlineLevel="0" collapsed="false">
      <c r="A54" s="3" t="s">
        <v>63</v>
      </c>
      <c r="B54" s="1" t="n">
        <v>0</v>
      </c>
    </row>
    <row r="55" customFormat="false" ht="15" hidden="false" customHeight="false" outlineLevel="0" collapsed="false">
      <c r="A55" s="3" t="s">
        <v>64</v>
      </c>
      <c r="B55" s="1" t="n">
        <v>-0.2287</v>
      </c>
    </row>
    <row r="56" customFormat="false" ht="15" hidden="false" customHeight="false" outlineLevel="0" collapsed="false">
      <c r="A56" s="3"/>
    </row>
    <row r="57" customFormat="false" ht="15" hidden="false" customHeight="false" outlineLevel="0" collapsed="false">
      <c r="A57" s="2" t="s">
        <v>65</v>
      </c>
    </row>
    <row r="58" customFormat="false" ht="15" hidden="false" customHeight="false" outlineLevel="0" collapsed="false">
      <c r="A58" s="3" t="s">
        <v>66</v>
      </c>
      <c r="B58" s="4" t="n">
        <v>3.6366E-007</v>
      </c>
      <c r="F58" s="0" t="s">
        <v>7</v>
      </c>
      <c r="G58" s="0" t="n">
        <f aca="false">I3</f>
        <v>6</v>
      </c>
    </row>
    <row r="59" customFormat="false" ht="15" hidden="false" customHeight="false" outlineLevel="0" collapsed="false">
      <c r="A59" s="5" t="s">
        <v>67</v>
      </c>
      <c r="F59" s="0" t="s">
        <v>10</v>
      </c>
      <c r="G59" s="0" t="n">
        <f aca="false">I4</f>
        <v>0.0234375</v>
      </c>
    </row>
    <row r="60" customFormat="false" ht="15" hidden="false" customHeight="false" outlineLevel="0" collapsed="false">
      <c r="A60" s="3" t="s">
        <v>68</v>
      </c>
      <c r="B60" s="1" t="n">
        <f aca="false">PI()*(G60^2)</f>
        <v>0.00306796157577128</v>
      </c>
      <c r="F60" s="0" t="s">
        <v>13</v>
      </c>
      <c r="G60" s="0" t="n">
        <f aca="false">I5</f>
        <v>0.03125</v>
      </c>
    </row>
    <row r="61" customFormat="false" ht="15" hidden="false" customHeight="false" outlineLevel="0" collapsed="false">
      <c r="A61" s="3" t="s">
        <v>69</v>
      </c>
      <c r="B61" s="1" t="n">
        <f aca="false">2*PI()*G60*G58</f>
        <v>1.17809724509617</v>
      </c>
      <c r="F61" s="0" t="s">
        <v>16</v>
      </c>
      <c r="G61" s="0" t="n">
        <f aca="false">I6</f>
        <v>0.03125</v>
      </c>
    </row>
    <row r="62" customFormat="false" ht="15" hidden="false" customHeight="false" outlineLevel="0" collapsed="false">
      <c r="A62" s="3" t="s">
        <v>70</v>
      </c>
      <c r="B62" s="1" t="n">
        <f aca="false">(B12*B26*G58)/(B58)</f>
        <v>389304.133693199</v>
      </c>
      <c r="F62" s="0" t="s">
        <v>18</v>
      </c>
      <c r="G62" s="0" t="n">
        <f aca="false">I7</f>
        <v>0.05</v>
      </c>
    </row>
    <row r="63" customFormat="false" ht="15" hidden="false" customHeight="false" outlineLevel="0" collapsed="false">
      <c r="A63" s="3" t="s">
        <v>71</v>
      </c>
      <c r="B63" s="1" t="n">
        <f aca="false">0.455/((LN(0.06*B62))^2)</f>
        <v>0.00449704482252771</v>
      </c>
      <c r="F63" s="0" t="s">
        <v>19</v>
      </c>
      <c r="G63" s="0" t="n">
        <f aca="false">I8</f>
        <v>0.0416666666666667</v>
      </c>
    </row>
    <row r="64" customFormat="false" ht="15" hidden="false" customHeight="false" outlineLevel="0" collapsed="false">
      <c r="A64" s="3"/>
    </row>
    <row r="65" customFormat="false" ht="15" hidden="false" customHeight="false" outlineLevel="0" collapsed="false">
      <c r="A65" s="5" t="s">
        <v>72</v>
      </c>
    </row>
    <row r="66" customFormat="false" ht="15" hidden="false" customHeight="false" outlineLevel="0" collapsed="false">
      <c r="A66" s="3" t="s">
        <v>68</v>
      </c>
      <c r="B66" s="1" t="n">
        <f aca="false">PI()*G62^2</f>
        <v>0.00785398163397448</v>
      </c>
    </row>
    <row r="67" customFormat="false" ht="15" hidden="false" customHeight="false" outlineLevel="0" collapsed="false">
      <c r="A67" s="3" t="s">
        <v>69</v>
      </c>
      <c r="B67" s="1" t="n">
        <f aca="false">2*PI()*G62*G63</f>
        <v>0.0130899693899575</v>
      </c>
    </row>
    <row r="68" customFormat="false" ht="15" hidden="false" customHeight="false" outlineLevel="0" collapsed="false">
      <c r="A68" s="3" t="s">
        <v>70</v>
      </c>
      <c r="B68" s="1" t="n">
        <f aca="false">(B12*B26*G63)/(B58)</f>
        <v>2703.50092842499</v>
      </c>
    </row>
    <row r="69" customFormat="false" ht="15" hidden="false" customHeight="false" outlineLevel="0" collapsed="false">
      <c r="A69" s="3" t="s">
        <v>71</v>
      </c>
      <c r="B69" s="1" t="n">
        <f aca="false">0.455/((LN(0.06*B68))^2)</f>
        <v>0.0175697226286844</v>
      </c>
    </row>
    <row r="70" customFormat="false" ht="15" hidden="false" customHeight="false" outlineLevel="0" collapsed="false">
      <c r="A70" s="3"/>
    </row>
    <row r="71" customFormat="false" ht="15" hidden="false" customHeight="false" outlineLevel="0" collapsed="false">
      <c r="A71" s="3" t="s">
        <v>73</v>
      </c>
      <c r="B71" s="1" t="n">
        <f aca="false">(1.12*B60+1.15*B63*B61)/(B10)</f>
        <v>0.00145200251410771</v>
      </c>
    </row>
    <row r="72" customFormat="false" ht="15" hidden="false" customHeight="false" outlineLevel="0" collapsed="false">
      <c r="A72" s="3" t="s">
        <v>74</v>
      </c>
      <c r="B72" s="1" t="n">
        <f aca="false">(1.12*B66+1.15*B69*B67)/(B10)</f>
        <v>0.00138071537236737</v>
      </c>
    </row>
    <row r="73" customFormat="false" ht="15" hidden="false" customHeight="false" outlineLevel="0" collapsed="false">
      <c r="A73" s="3" t="s">
        <v>75</v>
      </c>
      <c r="B73" s="1" t="n">
        <f aca="false">SUM(B71:B72)</f>
        <v>0.00283271788647508</v>
      </c>
    </row>
    <row r="74" customFormat="false" ht="15" hidden="false" customHeight="false" outlineLevel="0" collapsed="false">
      <c r="A74" s="3"/>
    </row>
    <row r="75" customFormat="false" ht="15" hidden="false" customHeight="false" outlineLevel="0" collapsed="false">
      <c r="A75" s="2" t="s">
        <v>76</v>
      </c>
    </row>
    <row r="76" customFormat="false" ht="15" hidden="false" customHeight="false" outlineLevel="0" collapsed="false">
      <c r="A76" s="3" t="s">
        <v>77</v>
      </c>
      <c r="B76" s="1" t="n">
        <v>0.8325</v>
      </c>
    </row>
    <row r="77" customFormat="false" ht="15" hidden="false" customHeight="false" outlineLevel="0" collapsed="false">
      <c r="A77" s="3" t="s">
        <v>78</v>
      </c>
      <c r="B77" s="1" t="n">
        <f aca="false">B73+E77</f>
        <v>0.0241327178864751</v>
      </c>
      <c r="D77" s="0" t="s">
        <v>79</v>
      </c>
      <c r="E77" s="0" t="n">
        <v>0.0213</v>
      </c>
    </row>
    <row r="78" customFormat="false" ht="15" hidden="false" customHeight="false" outlineLevel="0" collapsed="false">
      <c r="A78" s="3" t="s">
        <v>80</v>
      </c>
      <c r="B78" s="1" t="n">
        <v>0</v>
      </c>
    </row>
    <row r="79" customFormat="false" ht="15" hidden="false" customHeight="false" outlineLevel="0" collapsed="false">
      <c r="A79" s="3" t="s">
        <v>81</v>
      </c>
      <c r="B79" s="1" t="n">
        <v>5.7859</v>
      </c>
    </row>
    <row r="80" customFormat="false" ht="15" hidden="false" customHeight="false" outlineLevel="0" collapsed="false">
      <c r="A80" s="3" t="s">
        <v>82</v>
      </c>
      <c r="B80" s="1" t="n">
        <v>-2.8836</v>
      </c>
    </row>
    <row r="81" customFormat="false" ht="15" hidden="false" customHeight="false" outlineLevel="0" collapsed="false">
      <c r="A81" s="3" t="s">
        <v>83</v>
      </c>
      <c r="B81" s="1" t="n">
        <v>-0.6255</v>
      </c>
    </row>
    <row r="82" customFormat="false" ht="15" hidden="false" customHeight="false" outlineLevel="0" collapsed="false">
      <c r="A82" s="3" t="s">
        <v>84</v>
      </c>
      <c r="B82" s="1" t="n">
        <v>-0.2708</v>
      </c>
    </row>
    <row r="83" customFormat="false" ht="15" hidden="false" customHeight="false" outlineLevel="0" collapsed="false">
      <c r="A83" s="3" t="s">
        <v>85</v>
      </c>
      <c r="B83" s="1" t="n">
        <v>0.042</v>
      </c>
    </row>
    <row r="84" customFormat="false" ht="15" hidden="false" customHeight="false" outlineLevel="0" collapsed="false">
      <c r="A84" s="3" t="s">
        <v>86</v>
      </c>
      <c r="B84" s="1" t="n">
        <v>0.4984</v>
      </c>
    </row>
    <row r="85" customFormat="false" ht="15" hidden="false" customHeight="false" outlineLevel="0" collapsed="false">
      <c r="A85" s="3"/>
    </row>
    <row r="86" customFormat="false" ht="15" hidden="false" customHeight="false" outlineLevel="0" collapsed="false">
      <c r="A86" s="2" t="s">
        <v>87</v>
      </c>
    </row>
    <row r="87" customFormat="false" ht="15" hidden="false" customHeight="false" outlineLevel="0" collapsed="false">
      <c r="A87" s="3" t="s">
        <v>88</v>
      </c>
      <c r="B87" s="1" t="n">
        <f aca="false">B76/B77</f>
        <v>34.4967360873416</v>
      </c>
    </row>
    <row r="88" customFormat="false" ht="15" hidden="false" customHeight="false" outlineLevel="0" collapsed="false">
      <c r="A88" s="3" t="s">
        <v>89</v>
      </c>
      <c r="B88" s="1" t="n">
        <f aca="false">B87*50</f>
        <v>1724.83680436708</v>
      </c>
    </row>
    <row r="89" customFormat="false" ht="15" hidden="false" customHeight="false" outlineLevel="0" collapsed="false">
      <c r="A89" s="3"/>
    </row>
    <row r="90" customFormat="false" ht="15" hidden="false" customHeight="false" outlineLevel="0" collapsed="false">
      <c r="A90" s="2" t="s">
        <v>90</v>
      </c>
    </row>
    <row r="91" customFormat="false" ht="15" hidden="false" customHeight="false" outlineLevel="0" collapsed="false">
      <c r="A91" s="3" t="s">
        <v>91</v>
      </c>
      <c r="B91" s="1" t="n">
        <v>0.0146</v>
      </c>
    </row>
    <row r="92" customFormat="false" ht="15" hidden="false" customHeight="false" outlineLevel="0" collapsed="false">
      <c r="A92" s="3" t="s">
        <v>92</v>
      </c>
      <c r="B92" s="1" t="n">
        <v>-0.0101</v>
      </c>
    </row>
    <row r="93" customFormat="false" ht="15" hidden="false" customHeight="false" outlineLevel="0" collapsed="false">
      <c r="A93" s="3" t="s">
        <v>93</v>
      </c>
      <c r="B93" s="1" t="n">
        <v>0.0268</v>
      </c>
    </row>
    <row r="94" customFormat="false" ht="15" hidden="false" customHeight="false" outlineLevel="0" collapsed="false">
      <c r="A94" s="3" t="s">
        <v>94</v>
      </c>
      <c r="B94" s="1" t="n">
        <f aca="false">1/(PI()*B93*B11)</f>
        <v>0.49884385148206</v>
      </c>
    </row>
    <row r="95" customFormat="false" ht="15" hidden="false" customHeight="false" outlineLevel="0" collapsed="false">
      <c r="A95" s="3"/>
    </row>
    <row r="96" customFormat="false" ht="15" hidden="false" customHeight="false" outlineLevel="0" collapsed="false">
      <c r="A96" s="2" t="s">
        <v>95</v>
      </c>
    </row>
    <row r="97" customFormat="false" ht="26.25" hidden="false" customHeight="false" outlineLevel="0" collapsed="false">
      <c r="A97" s="3" t="s">
        <v>96</v>
      </c>
    </row>
    <row r="98" customFormat="false" ht="15" hidden="false" customHeight="false" outlineLevel="0" collapsed="false">
      <c r="A98" s="3"/>
    </row>
    <row r="99" customFormat="false" ht="15" hidden="false" customHeight="false" outlineLevel="0" collapsed="false">
      <c r="A99" s="2" t="s">
        <v>97</v>
      </c>
    </row>
    <row r="100" customFormat="false" ht="26.25" hidden="false" customHeight="false" outlineLevel="0" collapsed="false">
      <c r="A100" s="3" t="s">
        <v>96</v>
      </c>
    </row>
    <row r="101" customFormat="false" ht="15" hidden="false" customHeight="false" outlineLevel="0" collapsed="false">
      <c r="A101" s="3"/>
    </row>
    <row r="102" customFormat="false" ht="15" hidden="false" customHeight="false" outlineLevel="0" collapsed="false">
      <c r="A102" s="2" t="s">
        <v>98</v>
      </c>
    </row>
    <row r="103" customFormat="false" ht="15" hidden="false" customHeight="false" outlineLevel="0" collapsed="false">
      <c r="A103" s="3" t="s">
        <v>99</v>
      </c>
      <c r="B103" s="1" t="n">
        <v>9.03</v>
      </c>
      <c r="D103" s="0" t="s">
        <v>100</v>
      </c>
      <c r="E103" s="0" t="s">
        <v>101</v>
      </c>
    </row>
    <row r="104" customFormat="false" ht="15" hidden="false" customHeight="false" outlineLevel="0" collapsed="false">
      <c r="A104" s="3" t="s">
        <v>102</v>
      </c>
      <c r="B104" s="1" t="n">
        <v>12.5635</v>
      </c>
    </row>
    <row r="105" customFormat="false" ht="15" hidden="false" customHeight="false" outlineLevel="0" collapsed="false">
      <c r="A105" s="3" t="s">
        <v>103</v>
      </c>
      <c r="B105" s="1" t="n">
        <v>8.7112</v>
      </c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2" t="s">
        <v>104</v>
      </c>
    </row>
    <row r="108" customFormat="false" ht="26.25" hidden="false" customHeight="false" outlineLevel="0" collapsed="false">
      <c r="A108" s="3" t="s">
        <v>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2024-03-01T18:56:47Z</dcterms:created>
  <dc:creator>Eric Larsen</dc:creator>
  <dc:description/>
  <dc:language>en-US</dc:language>
  <cp:lastModifiedBy/>
  <dcterms:modified xsi:type="dcterms:W3CDTF">2024-04-10T09:15:18Z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