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hees\Desktop\USU\Machine_Learning\Spring_2024\Dynamics of Atmospheric Flight\Project_PartIV\Dynamic Mode Glider\"/>
    </mc:Choice>
  </mc:AlternateContent>
  <xr:revisionPtr revIDLastSave="0" documentId="13_ncr:1_{559D09DE-57C3-400C-88BC-0C02A457BEE2}" xr6:coauthVersionLast="47" xr6:coauthVersionMax="47" xr10:uidLastSave="{00000000-0000-0000-0000-000000000000}"/>
  <bookViews>
    <workbookView xWindow="12710" yWindow="0" windowWidth="12980" windowHeight="1537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3" i="1" l="1"/>
  <c r="G62" i="1"/>
  <c r="B67" i="1" s="1"/>
  <c r="G61" i="1"/>
  <c r="G58" i="1"/>
  <c r="E13" i="1"/>
  <c r="B11" i="1"/>
  <c r="B94" i="1" s="1"/>
  <c r="I8" i="1"/>
  <c r="F6" i="1" s="1"/>
  <c r="B6" i="1" s="1"/>
  <c r="I5" i="1"/>
  <c r="G60" i="1" s="1"/>
  <c r="I4" i="1"/>
  <c r="G59" i="1" s="1"/>
  <c r="B4" i="1"/>
  <c r="B3" i="1"/>
  <c r="B2" i="1"/>
  <c r="B61" i="1" l="1"/>
  <c r="B60" i="1"/>
  <c r="B66" i="1"/>
  <c r="F5" i="1"/>
  <c r="B5" i="1" s="1"/>
  <c r="B27" i="1"/>
  <c r="B28" i="1"/>
  <c r="B21" i="1" l="1"/>
  <c r="B22" i="1" s="1"/>
  <c r="B7" i="1"/>
  <c r="B13" i="1" l="1"/>
  <c r="B14" i="1" s="1"/>
  <c r="B26" i="1"/>
  <c r="B68" i="1" l="1"/>
  <c r="B69" i="1" s="1"/>
  <c r="B72" i="1" s="1"/>
  <c r="B62" i="1"/>
  <c r="B63" i="1" s="1"/>
  <c r="B71" i="1" s="1"/>
  <c r="B73" i="1" s="1"/>
  <c r="B77" i="1" s="1"/>
  <c r="B87" i="1" s="1"/>
  <c r="B88" i="1" s="1"/>
</calcChain>
</file>

<file path=xl/sharedStrings.xml><?xml version="1.0" encoding="utf-8"?>
<sst xmlns="http://schemas.openxmlformats.org/spreadsheetml/2006/main" count="119" uniqueCount="106">
  <si>
    <t>A1</t>
  </si>
  <si>
    <t>Gravity</t>
  </si>
  <si>
    <t>Density</t>
  </si>
  <si>
    <t>Main Wing Weight [lbf]</t>
  </si>
  <si>
    <t>MainWingVolume</t>
  </si>
  <si>
    <t>Hstab Weight [lbf]</t>
  </si>
  <si>
    <t>Hstab volume</t>
  </si>
  <si>
    <t>Dowel Length</t>
  </si>
  <si>
    <t>Vstab Weight [lbf]</t>
  </si>
  <si>
    <t>Vstab volume</t>
  </si>
  <si>
    <t>Dowel Inner rad</t>
  </si>
  <si>
    <t>Dowell Weight [lbf]</t>
  </si>
  <si>
    <t>Dowell Volume</t>
  </si>
  <si>
    <t>Dowel Outer rad</t>
  </si>
  <si>
    <t>Ballast Weight [lbf]</t>
  </si>
  <si>
    <t>Ballast Volume</t>
  </si>
  <si>
    <t>Ballast Inner rad</t>
  </si>
  <si>
    <t>Total Aircraft Weight [lbf]</t>
  </si>
  <si>
    <t>Ballast Outer rad</t>
  </si>
  <si>
    <t>Ballast Length</t>
  </si>
  <si>
    <t>A2</t>
  </si>
  <si>
    <t>Sw [ft^2]</t>
  </si>
  <si>
    <t>RT</t>
  </si>
  <si>
    <t>RA_w</t>
  </si>
  <si>
    <t>Span</t>
  </si>
  <si>
    <t>rho [slugs/ft^3]</t>
  </si>
  <si>
    <t>Launch Energy</t>
  </si>
  <si>
    <t>Root Cord</t>
  </si>
  <si>
    <t>Launch Velocity [ft/s]</t>
  </si>
  <si>
    <t>Mean Cord</t>
  </si>
  <si>
    <t>Launch CL</t>
  </si>
  <si>
    <t>e</t>
  </si>
  <si>
    <t>CD_0</t>
  </si>
  <si>
    <t>A3</t>
  </si>
  <si>
    <t>W_f [lbf]</t>
  </si>
  <si>
    <t>Sigma Foam</t>
  </si>
  <si>
    <t>Max RA_w Allowed</t>
  </si>
  <si>
    <t>Gamma Foam</t>
  </si>
  <si>
    <t>Structurally sound? (y/n)</t>
  </si>
  <si>
    <t>yes</t>
  </si>
  <si>
    <t>A4</t>
  </si>
  <si>
    <t>Best No-Wind Glide Velocity [ft/s]</t>
  </si>
  <si>
    <t>No-Wind Glide Ratio</t>
  </si>
  <si>
    <t>CD_1</t>
  </si>
  <si>
    <t>CL Design</t>
  </si>
  <si>
    <t>CD_2</t>
  </si>
  <si>
    <t>A6</t>
  </si>
  <si>
    <t>Main Wing Mounting Angle [deg]</t>
  </si>
  <si>
    <t>A7</t>
  </si>
  <si>
    <t>CG x-location [ft]</t>
  </si>
  <si>
    <t>A8</t>
  </si>
  <si>
    <t>Hstab x-location [ft]</t>
  </si>
  <si>
    <t>A9</t>
  </si>
  <si>
    <t>Vstab x-location [ft]</t>
  </si>
  <si>
    <t>A10</t>
  </si>
  <si>
    <t>Main-Wing Dihedral [deg]</t>
  </si>
  <si>
    <t>A11</t>
  </si>
  <si>
    <t>Hstab Mounting Angle [deg]</t>
  </si>
  <si>
    <t>A12</t>
  </si>
  <si>
    <t>Dowell CGx [ft]</t>
  </si>
  <si>
    <t>A13</t>
  </si>
  <si>
    <t>Tungsten CGx [ft]</t>
  </si>
  <si>
    <t>Aircraft CGx [ft]</t>
  </si>
  <si>
    <t>Aircraft CGy [ft]</t>
  </si>
  <si>
    <t>Aircraft CGz [ft]</t>
  </si>
  <si>
    <t>A14</t>
  </si>
  <si>
    <t>mu [slugs/(ft-s)]</t>
  </si>
  <si>
    <t>Dowel</t>
  </si>
  <si>
    <t>Af</t>
  </si>
  <si>
    <t>As</t>
  </si>
  <si>
    <t>Re</t>
  </si>
  <si>
    <t>Cf</t>
  </si>
  <si>
    <t>Ballast</t>
  </si>
  <si>
    <t>Delta CD0_dowel</t>
  </si>
  <si>
    <t>Delta CD0_ballast</t>
  </si>
  <si>
    <t>Total CD0 due to dowel+ballast</t>
  </si>
  <si>
    <t>A15</t>
  </si>
  <si>
    <t>CL</t>
  </si>
  <si>
    <t>CD</t>
  </si>
  <si>
    <t>CD_Machup6</t>
  </si>
  <si>
    <t>Cm</t>
  </si>
  <si>
    <t>CL,alpha</t>
  </si>
  <si>
    <t>Cm,alpha</t>
  </si>
  <si>
    <t>CY,beta</t>
  </si>
  <si>
    <t>Cl,beta</t>
  </si>
  <si>
    <t>Cn,beta</t>
  </si>
  <si>
    <t>Static Margin (%)</t>
  </si>
  <si>
    <t>A16</t>
  </si>
  <si>
    <t>Glide Ratio</t>
  </si>
  <si>
    <t>Total Distance [ft]</t>
  </si>
  <si>
    <t>A17</t>
  </si>
  <si>
    <t>CD0</t>
  </si>
  <si>
    <t>CD1</t>
  </si>
  <si>
    <t>CD2</t>
  </si>
  <si>
    <t>Oswald Efficiency Factor</t>
  </si>
  <si>
    <t>A18</t>
  </si>
  <si>
    <t>Use your group tab in this spreadsheet</t>
  </si>
  <si>
    <t>A19</t>
  </si>
  <si>
    <t>Launch Velocity</t>
  </si>
  <si>
    <t>A20</t>
  </si>
  <si>
    <t>V_min [ft/s]</t>
  </si>
  <si>
    <t xml:space="preserve">Optimal Launch force </t>
  </si>
  <si>
    <t>1.9753 lbf</t>
  </si>
  <si>
    <t>V_MD [ft/s]</t>
  </si>
  <si>
    <t>V_MDV [ft/s]</t>
  </si>
  <si>
    <t>A21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</si>
</sst>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E+00"/>
  </numFmts>
  <fonts count="4" x14ac:knownFonts="1">
    <font>
      <sz val="11"/>
      <color theme="1"/>
      <name val="Aptos Narrow"/>
      <family val="2"/>
      <charset val="1"/>
    </font>
    <font>
      <b/>
      <u/>
      <sz val="10"/>
      <color theme="1"/>
      <name val="Arial"/>
      <family val="2"/>
      <charset val="1"/>
    </font>
    <font>
      <sz val="10"/>
      <color theme="1"/>
      <name val="Arial"/>
      <family val="2"/>
      <charset val="1"/>
    </font>
    <font>
      <b/>
      <sz val="10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5" fontId="0" fillId="0" borderId="0" xfId="0" applyNumberFormat="1"/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"/>
  <sheetViews>
    <sheetView tabSelected="1" topLeftCell="A78" zoomScaleNormal="100" workbookViewId="0">
      <selection activeCell="B100" sqref="B100"/>
    </sheetView>
  </sheetViews>
  <sheetFormatPr defaultColWidth="8.6328125" defaultRowHeight="14.5" x14ac:dyDescent="0.35"/>
  <cols>
    <col min="1" max="1" width="27.36328125" customWidth="1"/>
    <col min="2" max="2" width="12.36328125" style="1" customWidth="1"/>
    <col min="4" max="4" width="18" customWidth="1"/>
    <col min="5" max="5" width="15.90625" customWidth="1"/>
    <col min="6" max="6" width="11.81640625" customWidth="1"/>
  </cols>
  <sheetData>
    <row r="1" spans="1:9" x14ac:dyDescent="0.35">
      <c r="A1" s="2" t="s">
        <v>0</v>
      </c>
      <c r="B1" s="1" t="s">
        <v>1</v>
      </c>
      <c r="C1">
        <v>32.173999999999999</v>
      </c>
      <c r="D1" t="s">
        <v>2</v>
      </c>
    </row>
    <row r="2" spans="1:9" x14ac:dyDescent="0.35">
      <c r="A2" s="3" t="s">
        <v>3</v>
      </c>
      <c r="B2" s="1">
        <f>F2*D2*$C$1</f>
        <v>0.24210935</v>
      </c>
      <c r="D2">
        <v>2.5000000000000001E-2</v>
      </c>
      <c r="E2" t="s">
        <v>4</v>
      </c>
      <c r="F2">
        <v>0.30099999999999999</v>
      </c>
    </row>
    <row r="3" spans="1:9" x14ac:dyDescent="0.35">
      <c r="A3" s="3" t="s">
        <v>5</v>
      </c>
      <c r="B3" s="1">
        <f>F3*D3*$C$1</f>
        <v>7.4000200000000002E-2</v>
      </c>
      <c r="D3">
        <v>2.5000000000000001E-2</v>
      </c>
      <c r="E3" t="s">
        <v>6</v>
      </c>
      <c r="F3">
        <v>9.1999999999999998E-2</v>
      </c>
      <c r="H3" t="s">
        <v>7</v>
      </c>
      <c r="I3">
        <v>6</v>
      </c>
    </row>
    <row r="4" spans="1:9" x14ac:dyDescent="0.35">
      <c r="A4" s="3" t="s">
        <v>8</v>
      </c>
      <c r="B4" s="1">
        <f>F4*D4*$C$1</f>
        <v>3.7000100000000001E-2</v>
      </c>
      <c r="D4">
        <v>2.5000000000000001E-2</v>
      </c>
      <c r="E4" t="s">
        <v>9</v>
      </c>
      <c r="F4">
        <v>4.5999999999999999E-2</v>
      </c>
      <c r="H4" t="s">
        <v>10</v>
      </c>
      <c r="I4">
        <f>(9/16)*(1/24)</f>
        <v>2.34375E-2</v>
      </c>
    </row>
    <row r="5" spans="1:9" x14ac:dyDescent="0.35">
      <c r="A5" s="3" t="s">
        <v>11</v>
      </c>
      <c r="B5" s="1">
        <f>F5*D5*$C$1</f>
        <v>0.19433254786089094</v>
      </c>
      <c r="D5">
        <v>0.75</v>
      </c>
      <c r="E5" t="s">
        <v>12</v>
      </c>
      <c r="F5">
        <f>PI()*((I5^2)-(I4^2))*I3</f>
        <v>8.0533991363996166E-3</v>
      </c>
      <c r="H5" t="s">
        <v>13</v>
      </c>
      <c r="I5">
        <f>(3/4)*(1/24)</f>
        <v>3.125E-2</v>
      </c>
    </row>
    <row r="6" spans="1:9" x14ac:dyDescent="0.35">
      <c r="A6" s="3" t="s">
        <v>14</v>
      </c>
      <c r="B6" s="1">
        <f>F6*D6*$C$1</f>
        <v>0.23931899036887883</v>
      </c>
      <c r="D6">
        <v>37.299999999999997</v>
      </c>
      <c r="E6" t="s">
        <v>15</v>
      </c>
      <c r="F6">
        <f>PI()*((I7^2)-(I6^2))*I8</f>
        <v>1.9941750242513342E-4</v>
      </c>
      <c r="H6" t="s">
        <v>16</v>
      </c>
      <c r="I6">
        <v>3.125E-2</v>
      </c>
    </row>
    <row r="7" spans="1:9" x14ac:dyDescent="0.35">
      <c r="A7" s="3" t="s">
        <v>17</v>
      </c>
      <c r="B7" s="1">
        <f>SUM(B2:B6)</f>
        <v>0.78676118822976981</v>
      </c>
      <c r="H7" t="s">
        <v>18</v>
      </c>
      <c r="I7">
        <v>0.05</v>
      </c>
    </row>
    <row r="8" spans="1:9" x14ac:dyDescent="0.35">
      <c r="A8" s="3"/>
      <c r="H8" t="s">
        <v>19</v>
      </c>
      <c r="I8">
        <f>0.5/12</f>
        <v>4.1666666666666664E-2</v>
      </c>
    </row>
    <row r="9" spans="1:9" x14ac:dyDescent="0.35">
      <c r="A9" s="2" t="s">
        <v>20</v>
      </c>
    </row>
    <row r="10" spans="1:9" x14ac:dyDescent="0.35">
      <c r="A10" s="3" t="s">
        <v>21</v>
      </c>
      <c r="B10" s="1">
        <v>6.5625</v>
      </c>
      <c r="D10" t="s">
        <v>22</v>
      </c>
      <c r="E10">
        <v>0.4</v>
      </c>
    </row>
    <row r="11" spans="1:9" x14ac:dyDescent="0.35">
      <c r="A11" s="3" t="s">
        <v>23</v>
      </c>
      <c r="B11" s="1">
        <f>E11^2/B10</f>
        <v>23.80952380952381</v>
      </c>
      <c r="D11" t="s">
        <v>24</v>
      </c>
      <c r="E11">
        <v>12.5</v>
      </c>
    </row>
    <row r="12" spans="1:9" x14ac:dyDescent="0.35">
      <c r="A12" s="3" t="s">
        <v>25</v>
      </c>
      <c r="B12" s="1">
        <v>2.0479999999999999E-3</v>
      </c>
      <c r="C12" t="s">
        <v>26</v>
      </c>
      <c r="D12" t="s">
        <v>27</v>
      </c>
      <c r="E12">
        <v>0.75</v>
      </c>
    </row>
    <row r="13" spans="1:9" x14ac:dyDescent="0.35">
      <c r="A13" s="3" t="s">
        <v>28</v>
      </c>
      <c r="B13" s="1">
        <f>SQRT(2*C13*C1/B7)</f>
        <v>40.444648058472339</v>
      </c>
      <c r="C13">
        <v>20</v>
      </c>
      <c r="D13" t="s">
        <v>29</v>
      </c>
      <c r="E13">
        <f>B10/E11</f>
        <v>0.52500000000000002</v>
      </c>
    </row>
    <row r="14" spans="1:9" x14ac:dyDescent="0.35">
      <c r="A14" s="3" t="s">
        <v>30</v>
      </c>
      <c r="B14" s="1">
        <f>B7/(0.5*B13*B13*B10*B12)</f>
        <v>7.1573381043672044E-2</v>
      </c>
    </row>
    <row r="15" spans="1:9" x14ac:dyDescent="0.35">
      <c r="A15" s="3"/>
    </row>
    <row r="16" spans="1:9" x14ac:dyDescent="0.35">
      <c r="A16" s="2"/>
      <c r="D16" t="s">
        <v>31</v>
      </c>
      <c r="E16">
        <v>0.8</v>
      </c>
    </row>
    <row r="17" spans="1:5" x14ac:dyDescent="0.35">
      <c r="A17" s="3"/>
      <c r="D17" t="s">
        <v>32</v>
      </c>
      <c r="E17">
        <v>1.2999999999999999E-2</v>
      </c>
    </row>
    <row r="18" spans="1:5" x14ac:dyDescent="0.35">
      <c r="A18" s="3"/>
    </row>
    <row r="19" spans="1:5" x14ac:dyDescent="0.35">
      <c r="A19" s="3"/>
    </row>
    <row r="20" spans="1:5" x14ac:dyDescent="0.35">
      <c r="A20" s="2" t="s">
        <v>33</v>
      </c>
    </row>
    <row r="21" spans="1:5" x14ac:dyDescent="0.35">
      <c r="A21" s="3" t="s">
        <v>34</v>
      </c>
      <c r="B21" s="1">
        <f>SUM(B5:B6)</f>
        <v>0.43365153822976976</v>
      </c>
      <c r="D21" t="s">
        <v>35</v>
      </c>
      <c r="E21">
        <v>7200</v>
      </c>
    </row>
    <row r="22" spans="1:5" x14ac:dyDescent="0.35">
      <c r="A22" s="3" t="s">
        <v>36</v>
      </c>
      <c r="B22" s="1">
        <f>(16*0.12*E21*B2)/(21*B21*E11*E22)</f>
        <v>36.569501406705186</v>
      </c>
      <c r="D22" t="s">
        <v>37</v>
      </c>
      <c r="E22">
        <v>0.80400000000000005</v>
      </c>
    </row>
    <row r="23" spans="1:5" x14ac:dyDescent="0.35">
      <c r="A23" s="3" t="s">
        <v>38</v>
      </c>
      <c r="B23" s="1" t="s">
        <v>39</v>
      </c>
    </row>
    <row r="24" spans="1:5" x14ac:dyDescent="0.35">
      <c r="A24" s="3"/>
    </row>
    <row r="25" spans="1:5" x14ac:dyDescent="0.35">
      <c r="A25" s="2" t="s">
        <v>40</v>
      </c>
    </row>
    <row r="26" spans="1:5" ht="26" x14ac:dyDescent="0.35">
      <c r="A26" s="3" t="s">
        <v>41</v>
      </c>
      <c r="B26" s="1">
        <f>(SQRT(2)/SQRT(SQRT(PI()*E16*E17*B11)))*SQRT((B7/B10)/(B12))</f>
        <v>11.521349386301175</v>
      </c>
      <c r="D26" t="s">
        <v>32</v>
      </c>
      <c r="E26">
        <v>1.2999999999999999E-2</v>
      </c>
    </row>
    <row r="27" spans="1:5" x14ac:dyDescent="0.35">
      <c r="A27" s="3" t="s">
        <v>42</v>
      </c>
      <c r="B27" s="1">
        <f>(SQRT(PI()*E16*B11)/(2*SQRT(E26)+E27*SQRT(PI()*E16*B11)))</f>
        <v>33.922950045308284</v>
      </c>
      <c r="D27" t="s">
        <v>43</v>
      </c>
      <c r="E27">
        <v>0</v>
      </c>
    </row>
    <row r="28" spans="1:5" x14ac:dyDescent="0.35">
      <c r="A28" s="3" t="s">
        <v>44</v>
      </c>
      <c r="B28" s="1">
        <f>SQRT(PI()*B11*E17*E16)</f>
        <v>0.88199670117801532</v>
      </c>
      <c r="D28" t="s">
        <v>45</v>
      </c>
      <c r="E28">
        <v>0</v>
      </c>
    </row>
    <row r="29" spans="1:5" x14ac:dyDescent="0.35">
      <c r="A29" s="3"/>
    </row>
    <row r="30" spans="1:5" x14ac:dyDescent="0.35">
      <c r="A30" s="2" t="s">
        <v>46</v>
      </c>
    </row>
    <row r="31" spans="1:5" x14ac:dyDescent="0.35">
      <c r="A31" s="3" t="s">
        <v>47</v>
      </c>
      <c r="B31" s="1">
        <v>6.5460000000000003</v>
      </c>
    </row>
    <row r="32" spans="1:5" x14ac:dyDescent="0.35">
      <c r="A32" s="3"/>
    </row>
    <row r="33" spans="1:2" x14ac:dyDescent="0.35">
      <c r="A33" s="2" t="s">
        <v>48</v>
      </c>
    </row>
    <row r="34" spans="1:2" x14ac:dyDescent="0.35">
      <c r="A34" s="3" t="s">
        <v>49</v>
      </c>
      <c r="B34" s="1">
        <v>-1.24E-2</v>
      </c>
    </row>
    <row r="35" spans="1:2" x14ac:dyDescent="0.35">
      <c r="A35" s="3"/>
    </row>
    <row r="36" spans="1:2" x14ac:dyDescent="0.35">
      <c r="A36" s="2" t="s">
        <v>50</v>
      </c>
    </row>
    <row r="37" spans="1:2" x14ac:dyDescent="0.35">
      <c r="A37" s="3" t="s">
        <v>51</v>
      </c>
      <c r="B37" s="1">
        <v>-2.0733999999999999</v>
      </c>
    </row>
    <row r="38" spans="1:2" x14ac:dyDescent="0.35">
      <c r="A38" s="3"/>
    </row>
    <row r="39" spans="1:2" x14ac:dyDescent="0.35">
      <c r="A39" s="2" t="s">
        <v>52</v>
      </c>
    </row>
    <row r="40" spans="1:2" x14ac:dyDescent="0.35">
      <c r="A40" s="3" t="s">
        <v>53</v>
      </c>
      <c r="B40" s="1">
        <v>-3.6</v>
      </c>
    </row>
    <row r="41" spans="1:2" x14ac:dyDescent="0.35">
      <c r="A41" s="3"/>
    </row>
    <row r="42" spans="1:2" x14ac:dyDescent="0.35">
      <c r="A42" s="2" t="s">
        <v>54</v>
      </c>
    </row>
    <row r="43" spans="1:2" x14ac:dyDescent="0.35">
      <c r="A43" s="3" t="s">
        <v>55</v>
      </c>
      <c r="B43" s="1">
        <v>17</v>
      </c>
    </row>
    <row r="44" spans="1:2" x14ac:dyDescent="0.35">
      <c r="A44" s="3"/>
    </row>
    <row r="45" spans="1:2" x14ac:dyDescent="0.35">
      <c r="A45" s="2" t="s">
        <v>56</v>
      </c>
    </row>
    <row r="46" spans="1:2" x14ac:dyDescent="0.35">
      <c r="A46" s="3" t="s">
        <v>57</v>
      </c>
      <c r="B46" s="1">
        <v>2.3570000000000002</v>
      </c>
    </row>
    <row r="47" spans="1:2" x14ac:dyDescent="0.35">
      <c r="A47" s="3"/>
    </row>
    <row r="48" spans="1:2" x14ac:dyDescent="0.35">
      <c r="A48" s="2" t="s">
        <v>58</v>
      </c>
    </row>
    <row r="49" spans="1:7" x14ac:dyDescent="0.35">
      <c r="A49" s="3" t="s">
        <v>59</v>
      </c>
      <c r="B49" s="1">
        <v>-0.6</v>
      </c>
    </row>
    <row r="50" spans="1:7" x14ac:dyDescent="0.35">
      <c r="A50" s="3"/>
    </row>
    <row r="51" spans="1:7" x14ac:dyDescent="0.35">
      <c r="A51" s="2" t="s">
        <v>60</v>
      </c>
    </row>
    <row r="52" spans="1:7" x14ac:dyDescent="0.35">
      <c r="A52" s="3" t="s">
        <v>61</v>
      </c>
      <c r="B52" s="1">
        <v>1.8117000000000001</v>
      </c>
    </row>
    <row r="53" spans="1:7" x14ac:dyDescent="0.35">
      <c r="A53" s="3" t="s">
        <v>62</v>
      </c>
      <c r="B53" s="1">
        <v>-1.24E-2</v>
      </c>
    </row>
    <row r="54" spans="1:7" x14ac:dyDescent="0.35">
      <c r="A54" s="3" t="s">
        <v>63</v>
      </c>
      <c r="B54" s="1">
        <v>0</v>
      </c>
    </row>
    <row r="55" spans="1:7" x14ac:dyDescent="0.35">
      <c r="A55" s="3" t="s">
        <v>64</v>
      </c>
      <c r="B55" s="1">
        <v>-0.22869999999999999</v>
      </c>
    </row>
    <row r="56" spans="1:7" x14ac:dyDescent="0.35">
      <c r="A56" s="3"/>
    </row>
    <row r="57" spans="1:7" x14ac:dyDescent="0.35">
      <c r="A57" s="2" t="s">
        <v>65</v>
      </c>
    </row>
    <row r="58" spans="1:7" x14ac:dyDescent="0.35">
      <c r="A58" s="3" t="s">
        <v>66</v>
      </c>
      <c r="B58" s="4">
        <v>3.6366000000000002E-7</v>
      </c>
      <c r="F58" t="s">
        <v>7</v>
      </c>
      <c r="G58">
        <f t="shared" ref="G58:G63" si="0">I3</f>
        <v>6</v>
      </c>
    </row>
    <row r="59" spans="1:7" x14ac:dyDescent="0.35">
      <c r="A59" s="5" t="s">
        <v>67</v>
      </c>
      <c r="F59" t="s">
        <v>10</v>
      </c>
      <c r="G59">
        <f t="shared" si="0"/>
        <v>2.34375E-2</v>
      </c>
    </row>
    <row r="60" spans="1:7" x14ac:dyDescent="0.35">
      <c r="A60" s="3" t="s">
        <v>68</v>
      </c>
      <c r="B60" s="1">
        <f>PI()*(G60^2)</f>
        <v>3.0679615757712823E-3</v>
      </c>
      <c r="F60" t="s">
        <v>13</v>
      </c>
      <c r="G60">
        <f t="shared" si="0"/>
        <v>3.125E-2</v>
      </c>
    </row>
    <row r="61" spans="1:7" x14ac:dyDescent="0.35">
      <c r="A61" s="3" t="s">
        <v>69</v>
      </c>
      <c r="B61" s="1">
        <f>2*PI()*G60*G58</f>
        <v>1.1780972450961724</v>
      </c>
      <c r="F61" t="s">
        <v>16</v>
      </c>
      <c r="G61">
        <f t="shared" si="0"/>
        <v>3.125E-2</v>
      </c>
    </row>
    <row r="62" spans="1:7" x14ac:dyDescent="0.35">
      <c r="A62" s="3" t="s">
        <v>70</v>
      </c>
      <c r="B62" s="1">
        <f>(B12*B26*G58)/(B58)</f>
        <v>389304.1336931992</v>
      </c>
      <c r="F62" t="s">
        <v>18</v>
      </c>
      <c r="G62">
        <f t="shared" si="0"/>
        <v>0.05</v>
      </c>
    </row>
    <row r="63" spans="1:7" x14ac:dyDescent="0.35">
      <c r="A63" s="3" t="s">
        <v>71</v>
      </c>
      <c r="B63" s="1">
        <f>0.455/((LN(0.06*B62))^2)</f>
        <v>4.4970448225277121E-3</v>
      </c>
      <c r="F63" t="s">
        <v>19</v>
      </c>
      <c r="G63">
        <f t="shared" si="0"/>
        <v>4.1666666666666664E-2</v>
      </c>
    </row>
    <row r="64" spans="1:7" x14ac:dyDescent="0.35">
      <c r="A64" s="3"/>
    </row>
    <row r="65" spans="1:5" x14ac:dyDescent="0.35">
      <c r="A65" s="5" t="s">
        <v>72</v>
      </c>
    </row>
    <row r="66" spans="1:5" x14ac:dyDescent="0.35">
      <c r="A66" s="3" t="s">
        <v>68</v>
      </c>
      <c r="B66" s="1">
        <f>PI()*G62^2</f>
        <v>7.8539816339744835E-3</v>
      </c>
    </row>
    <row r="67" spans="1:5" x14ac:dyDescent="0.35">
      <c r="A67" s="3" t="s">
        <v>69</v>
      </c>
      <c r="B67" s="1">
        <f>2*PI()*G62*G63</f>
        <v>1.3089969389957471E-2</v>
      </c>
    </row>
    <row r="68" spans="1:5" x14ac:dyDescent="0.35">
      <c r="A68" s="3" t="s">
        <v>70</v>
      </c>
      <c r="B68" s="1">
        <f>(B12*B26*G63)/(B58)</f>
        <v>2703.5009284249945</v>
      </c>
    </row>
    <row r="69" spans="1:5" x14ac:dyDescent="0.35">
      <c r="A69" s="3" t="s">
        <v>71</v>
      </c>
      <c r="B69" s="1">
        <f>0.455/((LN(0.06*B68))^2)</f>
        <v>1.7569722628684382E-2</v>
      </c>
    </row>
    <row r="70" spans="1:5" x14ac:dyDescent="0.35">
      <c r="A70" s="3"/>
    </row>
    <row r="71" spans="1:5" x14ac:dyDescent="0.35">
      <c r="A71" s="3" t="s">
        <v>73</v>
      </c>
      <c r="B71" s="1">
        <f>(1.12*B60+1.15*B63*B61)/(B10)</f>
        <v>1.4520025141077065E-3</v>
      </c>
    </row>
    <row r="72" spans="1:5" x14ac:dyDescent="0.35">
      <c r="A72" s="3" t="s">
        <v>74</v>
      </c>
      <c r="B72" s="1">
        <f>(1.12*B66+1.15*B69*B67)/(B10)</f>
        <v>1.3807153723673711E-3</v>
      </c>
    </row>
    <row r="73" spans="1:5" x14ac:dyDescent="0.35">
      <c r="A73" s="3" t="s">
        <v>75</v>
      </c>
      <c r="B73" s="1">
        <f>SUM(B71:B72)</f>
        <v>2.8327178864750776E-3</v>
      </c>
    </row>
    <row r="74" spans="1:5" x14ac:dyDescent="0.35">
      <c r="A74" s="3"/>
    </row>
    <row r="75" spans="1:5" x14ac:dyDescent="0.35">
      <c r="A75" s="2" t="s">
        <v>76</v>
      </c>
    </row>
    <row r="76" spans="1:5" x14ac:dyDescent="0.35">
      <c r="A76" s="3" t="s">
        <v>77</v>
      </c>
      <c r="B76" s="1">
        <v>0.83250000000000002</v>
      </c>
    </row>
    <row r="77" spans="1:5" x14ac:dyDescent="0.35">
      <c r="A77" s="3" t="s">
        <v>78</v>
      </c>
      <c r="B77" s="1">
        <f>B73+E77</f>
        <v>2.4132717886475079E-2</v>
      </c>
      <c r="D77" t="s">
        <v>79</v>
      </c>
      <c r="E77">
        <v>2.1299999999999999E-2</v>
      </c>
    </row>
    <row r="78" spans="1:5" x14ac:dyDescent="0.35">
      <c r="A78" s="3" t="s">
        <v>80</v>
      </c>
      <c r="B78" s="1">
        <v>0</v>
      </c>
    </row>
    <row r="79" spans="1:5" x14ac:dyDescent="0.35">
      <c r="A79" s="3" t="s">
        <v>81</v>
      </c>
      <c r="B79" s="1">
        <v>5.7858999999999998</v>
      </c>
    </row>
    <row r="80" spans="1:5" x14ac:dyDescent="0.35">
      <c r="A80" s="3" t="s">
        <v>82</v>
      </c>
      <c r="B80" s="1">
        <v>-2.8835999999999999</v>
      </c>
    </row>
    <row r="81" spans="1:2" x14ac:dyDescent="0.35">
      <c r="A81" s="3" t="s">
        <v>83</v>
      </c>
      <c r="B81" s="1">
        <v>-0.62549999999999994</v>
      </c>
    </row>
    <row r="82" spans="1:2" x14ac:dyDescent="0.35">
      <c r="A82" s="3" t="s">
        <v>84</v>
      </c>
      <c r="B82" s="1">
        <v>-0.27079999999999999</v>
      </c>
    </row>
    <row r="83" spans="1:2" x14ac:dyDescent="0.35">
      <c r="A83" s="3" t="s">
        <v>85</v>
      </c>
      <c r="B83" s="1">
        <v>4.2000000000000003E-2</v>
      </c>
    </row>
    <row r="84" spans="1:2" x14ac:dyDescent="0.35">
      <c r="A84" s="3" t="s">
        <v>86</v>
      </c>
      <c r="B84" s="1">
        <v>0.49840000000000001</v>
      </c>
    </row>
    <row r="85" spans="1:2" x14ac:dyDescent="0.35">
      <c r="A85" s="3"/>
    </row>
    <row r="86" spans="1:2" x14ac:dyDescent="0.35">
      <c r="A86" s="2" t="s">
        <v>87</v>
      </c>
    </row>
    <row r="87" spans="1:2" x14ac:dyDescent="0.35">
      <c r="A87" s="3" t="s">
        <v>88</v>
      </c>
      <c r="B87" s="1">
        <f>B76/B77</f>
        <v>34.496736087341645</v>
      </c>
    </row>
    <row r="88" spans="1:2" x14ac:dyDescent="0.35">
      <c r="A88" s="3" t="s">
        <v>89</v>
      </c>
      <c r="B88" s="1">
        <f>B87*50</f>
        <v>1724.8368043670823</v>
      </c>
    </row>
    <row r="89" spans="1:2" x14ac:dyDescent="0.35">
      <c r="A89" s="3"/>
    </row>
    <row r="90" spans="1:2" x14ac:dyDescent="0.35">
      <c r="A90" s="2" t="s">
        <v>90</v>
      </c>
    </row>
    <row r="91" spans="1:2" x14ac:dyDescent="0.35">
      <c r="A91" s="3" t="s">
        <v>91</v>
      </c>
      <c r="B91" s="1">
        <v>1.5299999999999999E-2</v>
      </c>
    </row>
    <row r="92" spans="1:2" x14ac:dyDescent="0.35">
      <c r="A92" s="3" t="s">
        <v>92</v>
      </c>
      <c r="B92" s="1">
        <v>-1.24E-2</v>
      </c>
    </row>
    <row r="93" spans="1:2" x14ac:dyDescent="0.35">
      <c r="A93" s="3" t="s">
        <v>93</v>
      </c>
      <c r="B93" s="1">
        <v>2.76E-2</v>
      </c>
    </row>
    <row r="94" spans="1:2" x14ac:dyDescent="0.35">
      <c r="A94" s="3" t="s">
        <v>94</v>
      </c>
      <c r="B94" s="1">
        <f>1/(PI()*B93*B11)</f>
        <v>0.48438460941011624</v>
      </c>
    </row>
    <row r="95" spans="1:2" x14ac:dyDescent="0.35">
      <c r="A95" s="3"/>
    </row>
    <row r="96" spans="1:2" x14ac:dyDescent="0.35">
      <c r="A96" s="2" t="s">
        <v>95</v>
      </c>
    </row>
    <row r="97" spans="1:5" ht="26" x14ac:dyDescent="0.35">
      <c r="A97" s="3" t="s">
        <v>96</v>
      </c>
    </row>
    <row r="98" spans="1:5" x14ac:dyDescent="0.35">
      <c r="A98" s="3"/>
    </row>
    <row r="99" spans="1:5" x14ac:dyDescent="0.35">
      <c r="A99" s="2" t="s">
        <v>97</v>
      </c>
    </row>
    <row r="100" spans="1:5" ht="26" x14ac:dyDescent="0.35">
      <c r="A100" s="3" t="s">
        <v>96</v>
      </c>
      <c r="D100" t="s">
        <v>98</v>
      </c>
      <c r="E100">
        <v>15.8573</v>
      </c>
    </row>
    <row r="101" spans="1:5" x14ac:dyDescent="0.35">
      <c r="A101" s="3"/>
    </row>
    <row r="102" spans="1:5" x14ac:dyDescent="0.35">
      <c r="A102" s="2" t="s">
        <v>99</v>
      </c>
    </row>
    <row r="103" spans="1:5" x14ac:dyDescent="0.35">
      <c r="A103" s="3" t="s">
        <v>100</v>
      </c>
      <c r="B103" s="1">
        <v>8.4440000000000008</v>
      </c>
      <c r="D103" t="s">
        <v>101</v>
      </c>
      <c r="E103" t="s">
        <v>102</v>
      </c>
    </row>
    <row r="104" spans="1:5" x14ac:dyDescent="0.35">
      <c r="A104" s="3" t="s">
        <v>103</v>
      </c>
      <c r="B104" s="1">
        <v>12.5398</v>
      </c>
    </row>
    <row r="105" spans="1:5" x14ac:dyDescent="0.35">
      <c r="A105" s="3" t="s">
        <v>104</v>
      </c>
      <c r="B105" s="1">
        <v>9.0699000000000005</v>
      </c>
    </row>
    <row r="106" spans="1:5" x14ac:dyDescent="0.35">
      <c r="A106" s="3"/>
    </row>
    <row r="107" spans="1:5" x14ac:dyDescent="0.35">
      <c r="A107" s="2" t="s">
        <v>105</v>
      </c>
    </row>
    <row r="108" spans="1:5" ht="26" x14ac:dyDescent="0.35">
      <c r="A108" s="3" t="s">
        <v>96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Larsen</dc:creator>
  <dc:description/>
  <cp:lastModifiedBy>Eric Larsen</cp:lastModifiedBy>
  <cp:revision>3</cp:revision>
  <dcterms:created xsi:type="dcterms:W3CDTF">2024-03-01T18:56:47Z</dcterms:created>
  <dcterms:modified xsi:type="dcterms:W3CDTF">2024-04-10T16:46:00Z</dcterms:modified>
  <dc:language>en-US</dc:language>
</cp:coreProperties>
</file>