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2.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slicers/slicer5.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slicers/slicer6.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slicers/slicer7.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slicers/slicer8.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slicers/slicer9.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tables/table17.xml" ContentType="application/vnd.openxmlformats-officedocument.spreadsheetml.table+xml"/>
  <Override PartName="/xl/tables/table18.xml" ContentType="application/vnd.openxmlformats-officedocument.spreadsheetml.table+xml"/>
  <Override PartName="/xl/slicers/slicer10.xml" ContentType="application/vnd.ms-excel.slicer+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11.xml" ContentType="application/vnd.ms-excel.slicer+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tables/table21.xml" ContentType="application/vnd.openxmlformats-officedocument.spreadsheetml.table+xml"/>
  <Override PartName="/xl/tables/table22.xml" ContentType="application/vnd.openxmlformats-officedocument.spreadsheetml.table+xml"/>
  <Override PartName="/xl/slicers/slicer12.xml" ContentType="application/vnd.ms-excel.slicer+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tables/table23.xml" ContentType="application/vnd.openxmlformats-officedocument.spreadsheetml.table+xml"/>
  <Override PartName="/xl/tables/table24.xml" ContentType="application/vnd.openxmlformats-officedocument.spreadsheetml.table+xml"/>
  <Override PartName="/xl/slicers/slicer13.xml" ContentType="application/vnd.ms-excel.slicer+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4.xml" ContentType="application/vnd.openxmlformats-officedocument.drawing+xml"/>
  <Override PartName="/xl/tables/table28.xml" ContentType="application/vnd.openxmlformats-officedocument.spreadsheetml.table+xml"/>
  <Override PartName="/xl/slicers/slicer14.xml" ContentType="application/vnd.ms-excel.slicer+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Ex2.xml" ContentType="application/vnd.ms-office.chartex+xml"/>
  <Override PartName="/xl/charts/style17.xml" ContentType="application/vnd.ms-office.chartstyle+xml"/>
  <Override PartName="/xl/charts/colors17.xml" ContentType="application/vnd.ms-office.chartcolorstyle+xml"/>
  <Override PartName="/xl/pivotTables/pivotTable15.xml" ContentType="application/vnd.openxmlformats-officedocument.spreadsheetml.pivotTable+xml"/>
  <Override PartName="/xl/tables/table29.xml" ContentType="application/vnd.openxmlformats-officedocument.spreadsheetml.table+xml"/>
  <Override PartName="/xl/drawings/drawing15.xml" ContentType="application/vnd.openxmlformats-officedocument.drawing+xml"/>
  <Override PartName="/xl/tables/table30.xml" ContentType="application/vnd.openxmlformats-officedocument.spreadsheetml.tab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6.xml" ContentType="application/vnd.openxmlformats-officedocument.drawing+xml"/>
  <Override PartName="/xl/tables/table31.xml" ContentType="application/vnd.openxmlformats-officedocument.spreadsheetml.tab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7.xml" ContentType="application/vnd.openxmlformats-officedocument.drawing+xml"/>
  <Override PartName="/xl/tables/table32.xml" ContentType="application/vnd.openxmlformats-officedocument.spreadsheetml.tabl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8.xml" ContentType="application/vnd.openxmlformats-officedocument.drawing+xml"/>
  <Override PartName="/xl/tables/table33.xml" ContentType="application/vnd.openxmlformats-officedocument.spreadsheetml.table+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9.xml" ContentType="application/vnd.openxmlformats-officedocument.drawing+xml"/>
  <Override PartName="/xl/tables/table34.xml" ContentType="application/vnd.openxmlformats-officedocument.spreadsheetml.table+xml"/>
  <Override PartName="/xl/charts/chart20.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0.xml" ContentType="application/vnd.openxmlformats-officedocument.drawing+xml"/>
  <Override PartName="/xl/tables/table35.xml" ContentType="application/vnd.openxmlformats-officedocument.spreadsheetml.table+xml"/>
  <Override PartName="/xl/charts/chart21.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1.xml" ContentType="application/vnd.openxmlformats-officedocument.drawing+xml"/>
  <Override PartName="/xl/tables/table36.xml" ContentType="application/vnd.openxmlformats-officedocument.spreadsheetml.table+xml"/>
  <Override PartName="/xl/charts/chart22.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2.xml" ContentType="application/vnd.openxmlformats-officedocument.drawing+xml"/>
  <Override PartName="/xl/tables/table37.xml" ContentType="application/vnd.openxmlformats-officedocument.spreadsheetml.table+xml"/>
  <Override PartName="/xl/charts/chart23.xml" ContentType="application/vnd.openxmlformats-officedocument.drawingml.chart+xml"/>
  <Override PartName="/xl/charts/style25.xml" ContentType="application/vnd.ms-office.chartstyle+xml"/>
  <Override PartName="/xl/charts/colors2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ADMIN\Documents\"/>
    </mc:Choice>
  </mc:AlternateContent>
  <xr:revisionPtr revIDLastSave="0" documentId="13_ncr:1_{A08407C9-EA53-4D73-A614-4AA4653015D6}" xr6:coauthVersionLast="47" xr6:coauthVersionMax="47" xr10:uidLastSave="{00000000-0000-0000-0000-000000000000}"/>
  <bookViews>
    <workbookView xWindow="-120" yWindow="-120" windowWidth="20730" windowHeight="11160" tabRatio="719" xr2:uid="{00000000-000D-0000-FFFF-FFFF00000000}"/>
  </bookViews>
  <sheets>
    <sheet name="Dashboard" sheetId="31" r:id="rId1"/>
    <sheet name="Jan" sheetId="1" r:id="rId2"/>
    <sheet name="Feb" sheetId="2" r:id="rId3"/>
    <sheet name="Mar" sheetId="3" r:id="rId4"/>
    <sheet name="Apr" sheetId="4" r:id="rId5"/>
    <sheet name="May" sheetId="5" r:id="rId6"/>
    <sheet name="Jun" sheetId="6" r:id="rId7"/>
    <sheet name="Jul" sheetId="7" r:id="rId8"/>
    <sheet name="Aug" sheetId="8" r:id="rId9"/>
    <sheet name="Sep" sheetId="9" r:id="rId10"/>
    <sheet name="Oct" sheetId="10" r:id="rId11"/>
    <sheet name="Nov" sheetId="11" r:id="rId12"/>
    <sheet name="Dec" sheetId="12" r:id="rId13"/>
    <sheet name="Variance" sheetId="14" r:id="rId14"/>
    <sheet name="Annual" sheetId="15" r:id="rId15"/>
    <sheet name="Forecast Spending" sheetId="16" r:id="rId16"/>
    <sheet name="Housing Forecast" sheetId="23" r:id="rId17"/>
    <sheet name="Utilities Forecast" sheetId="24" r:id="rId18"/>
    <sheet name="Food Forecast" sheetId="25" r:id="rId19"/>
    <sheet name="Transportation Forecast" sheetId="26" r:id="rId20"/>
    <sheet name="Insurance Forecast" sheetId="27" r:id="rId21"/>
    <sheet name="Debt Payment Forecast" sheetId="28" r:id="rId22"/>
    <sheet name="Personal Expenses Forecast" sheetId="29" r:id="rId23"/>
    <sheet name="Savings and Investments Forecas" sheetId="30" r:id="rId24"/>
  </sheets>
  <definedNames>
    <definedName name="_xlchart.v1.0" hidden="1">Annual!$C$19:$C$26</definedName>
    <definedName name="_xlchart.v1.1" hidden="1">Annual!$F$18</definedName>
    <definedName name="_xlchart.v1.2" hidden="1">Annual!$F$19:$F$26</definedName>
    <definedName name="_xlchart.v1.3" hidden="1">Annual!$C$19:$C$26</definedName>
    <definedName name="_xlchart.v1.4" hidden="1">Annual!$F$18</definedName>
    <definedName name="_xlchart.v1.5" hidden="1">Annual!$F$19:$F$26</definedName>
    <definedName name="_xlchart.v1.6" hidden="1">Annual!$C$19:$C$26</definedName>
    <definedName name="_xlchart.v1.7" hidden="1">Annual!$F$18</definedName>
    <definedName name="_xlchart.v1.8" hidden="1">Annual!$F$19:$F$26</definedName>
    <definedName name="Slicer_Category">#N/A</definedName>
    <definedName name="Slicer_Category1">#N/A</definedName>
    <definedName name="Slicer_Category10">#N/A</definedName>
    <definedName name="Slicer_Category11">#N/A</definedName>
    <definedName name="Slicer_Category12">#N/A</definedName>
    <definedName name="Slicer_Category2">#N/A</definedName>
    <definedName name="Slicer_Category3">#N/A</definedName>
    <definedName name="Slicer_Category4">#N/A</definedName>
    <definedName name="Slicer_Category5">#N/A</definedName>
    <definedName name="Slicer_Category6">#N/A</definedName>
    <definedName name="Slicer_Category7">#N/A</definedName>
    <definedName name="Slicer_Category8">#N/A</definedName>
    <definedName name="Slicer_Category9">#N/A</definedName>
    <definedName name="Slicer_Row_Labels">#N/A</definedName>
  </definedNames>
  <calcPr calcId="191029"/>
  <pivotCaches>
    <pivotCache cacheId="20" r:id="rId25"/>
    <pivotCache cacheId="25" r:id="rId26"/>
    <pivotCache cacheId="29" r:id="rId27"/>
    <pivotCache cacheId="33" r:id="rId28"/>
    <pivotCache cacheId="37" r:id="rId29"/>
    <pivotCache cacheId="41" r:id="rId30"/>
    <pivotCache cacheId="45" r:id="rId31"/>
    <pivotCache cacheId="49" r:id="rId32"/>
    <pivotCache cacheId="53" r:id="rId33"/>
    <pivotCache cacheId="57" r:id="rId34"/>
    <pivotCache cacheId="61" r:id="rId35"/>
    <pivotCache cacheId="65" r:id="rId36"/>
    <pivotCache cacheId="69" r:id="rId37"/>
    <pivotCache cacheId="71" r:id="rId38"/>
    <pivotCache cacheId="79" r:id="rId39"/>
  </pivotCaches>
  <extLst>
    <ext xmlns:x14="http://schemas.microsoft.com/office/spreadsheetml/2009/9/main" uri="{BBE1A952-AA13-448e-AADC-164F8A28A991}">
      <x14:slicerCaches>
        <x14:slicerCache r:id="rId40"/>
        <x14:slicerCache r:id="rId41"/>
        <x14:slicerCache r:id="rId42"/>
        <x14:slicerCache r:id="rId43"/>
        <x14:slicerCache r:id="rId44"/>
        <x14:slicerCache r:id="rId45"/>
        <x14:slicerCache r:id="rId46"/>
        <x14:slicerCache r:id="rId47"/>
        <x14:slicerCache r:id="rId48"/>
        <x14:slicerCache r:id="rId49"/>
        <x14:slicerCache r:id="rId50"/>
        <x14:slicerCache r:id="rId51"/>
        <x14:slicerCache r:id="rId52"/>
        <x14:slicerCache r:id="rId5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7" i="15" l="1"/>
  <c r="F26" i="15"/>
  <c r="F25" i="15"/>
  <c r="F24" i="15"/>
  <c r="F23" i="15"/>
  <c r="F22" i="15"/>
  <c r="F21" i="15"/>
  <c r="F20" i="15"/>
  <c r="F19" i="15"/>
  <c r="E27" i="15"/>
  <c r="D27" i="15"/>
  <c r="E26" i="15"/>
  <c r="E25" i="15"/>
  <c r="E24" i="15"/>
  <c r="E23" i="15"/>
  <c r="E22" i="15"/>
  <c r="E21" i="15"/>
  <c r="E20" i="15"/>
  <c r="E19" i="15"/>
  <c r="D26" i="15"/>
  <c r="D25" i="15"/>
  <c r="D24" i="15"/>
  <c r="D23" i="15"/>
  <c r="D22" i="15"/>
  <c r="D21" i="15"/>
  <c r="D20" i="15"/>
  <c r="D19" i="15"/>
  <c r="C14" i="30"/>
  <c r="C15" i="30"/>
  <c r="C16" i="30"/>
  <c r="C17" i="30"/>
  <c r="D14" i="30"/>
  <c r="D15" i="30"/>
  <c r="D16" i="30"/>
  <c r="D17" i="30"/>
  <c r="E14" i="30"/>
  <c r="E15" i="30"/>
  <c r="E16" i="30"/>
  <c r="E17" i="30"/>
  <c r="C14" i="29"/>
  <c r="C15" i="29"/>
  <c r="C16" i="29"/>
  <c r="D14" i="29"/>
  <c r="D15" i="29"/>
  <c r="D16" i="29"/>
  <c r="E14" i="29"/>
  <c r="E15" i="29"/>
  <c r="E16" i="29"/>
  <c r="C14" i="28"/>
  <c r="C15" i="28"/>
  <c r="C16" i="28"/>
  <c r="D14" i="28"/>
  <c r="D15" i="28"/>
  <c r="D16" i="28"/>
  <c r="E14" i="28"/>
  <c r="E15" i="28"/>
  <c r="E16" i="28"/>
  <c r="C14" i="27"/>
  <c r="C15" i="27"/>
  <c r="C16" i="27"/>
  <c r="D14" i="27"/>
  <c r="D15" i="27"/>
  <c r="D16" i="27"/>
  <c r="E14" i="27"/>
  <c r="E15" i="27"/>
  <c r="E16" i="27"/>
  <c r="C14" i="26"/>
  <c r="C15" i="26"/>
  <c r="C16" i="26"/>
  <c r="D14" i="26"/>
  <c r="D15" i="26"/>
  <c r="D16" i="26"/>
  <c r="E14" i="26"/>
  <c r="E15" i="26"/>
  <c r="E16" i="26"/>
  <c r="C14" i="25"/>
  <c r="C15" i="25"/>
  <c r="C16" i="25"/>
  <c r="D14" i="25"/>
  <c r="D15" i="25"/>
  <c r="D16" i="25"/>
  <c r="E14" i="25"/>
  <c r="E15" i="25"/>
  <c r="E16" i="25"/>
  <c r="C14" i="24"/>
  <c r="C15" i="24"/>
  <c r="C16" i="24"/>
  <c r="D14" i="24"/>
  <c r="D15" i="24"/>
  <c r="D16" i="24"/>
  <c r="E14" i="24"/>
  <c r="E15" i="24"/>
  <c r="E16" i="24"/>
  <c r="C14" i="23"/>
  <c r="C15" i="23"/>
  <c r="C16" i="23"/>
  <c r="D14" i="23"/>
  <c r="D15" i="23"/>
  <c r="D16" i="23"/>
  <c r="E14" i="23"/>
  <c r="E15" i="23"/>
  <c r="E16" i="23"/>
  <c r="J17" i="16"/>
  <c r="J16" i="16"/>
  <c r="J15" i="16"/>
  <c r="J14" i="16"/>
  <c r="J13" i="16"/>
  <c r="J12" i="16"/>
  <c r="J11" i="16"/>
  <c r="J10" i="16"/>
  <c r="J9" i="16"/>
  <c r="J8" i="16"/>
  <c r="J7" i="16"/>
  <c r="J6" i="16"/>
  <c r="I17" i="16"/>
  <c r="I16" i="16"/>
  <c r="I15" i="16"/>
  <c r="I14" i="16"/>
  <c r="I13" i="16"/>
  <c r="I12" i="16"/>
  <c r="I11" i="16"/>
  <c r="I10" i="16"/>
  <c r="I9" i="16"/>
  <c r="I8" i="16"/>
  <c r="I7" i="16"/>
  <c r="I6" i="16"/>
  <c r="H17" i="16"/>
  <c r="H16" i="16"/>
  <c r="H15" i="16"/>
  <c r="H14" i="16"/>
  <c r="H13" i="16"/>
  <c r="H12" i="16"/>
  <c r="H11" i="16"/>
  <c r="H10" i="16"/>
  <c r="H9" i="16"/>
  <c r="H8" i="16"/>
  <c r="H7" i="16"/>
  <c r="H6" i="16"/>
  <c r="G7" i="16"/>
  <c r="G6" i="16"/>
  <c r="F17" i="16"/>
  <c r="F16" i="16"/>
  <c r="F15" i="16"/>
  <c r="F14" i="16"/>
  <c r="F13" i="16"/>
  <c r="F12" i="16"/>
  <c r="F11" i="16"/>
  <c r="F10" i="16"/>
  <c r="F9" i="16"/>
  <c r="F8" i="16"/>
  <c r="F7" i="16"/>
  <c r="F6" i="16"/>
  <c r="E17" i="16"/>
  <c r="E16" i="16"/>
  <c r="E15" i="16"/>
  <c r="E14" i="16"/>
  <c r="E13" i="16"/>
  <c r="E12" i="16"/>
  <c r="E11" i="16"/>
  <c r="E10" i="16"/>
  <c r="E9" i="16"/>
  <c r="E8" i="16"/>
  <c r="E7" i="16"/>
  <c r="E6" i="16"/>
  <c r="D17" i="16"/>
  <c r="D16" i="16"/>
  <c r="D15" i="16"/>
  <c r="D14" i="16"/>
  <c r="D13" i="16"/>
  <c r="D12" i="16"/>
  <c r="D11" i="16"/>
  <c r="D10" i="16"/>
  <c r="D9" i="16"/>
  <c r="D8" i="16"/>
  <c r="D7" i="16"/>
  <c r="D6" i="16"/>
  <c r="C17" i="16"/>
  <c r="C16" i="16"/>
  <c r="C15" i="16"/>
  <c r="C14" i="16"/>
  <c r="C12" i="16"/>
  <c r="C13" i="16"/>
  <c r="C11" i="16"/>
  <c r="C10" i="16"/>
  <c r="C9" i="16"/>
  <c r="C8" i="16"/>
  <c r="C7" i="16"/>
  <c r="C6" i="16"/>
  <c r="M36" i="14" l="1"/>
  <c r="L36" i="14"/>
  <c r="K36" i="14"/>
  <c r="J36" i="14"/>
  <c r="I36" i="14"/>
  <c r="H36" i="14"/>
  <c r="G36" i="14"/>
  <c r="F36" i="14"/>
  <c r="E36" i="14"/>
  <c r="M35" i="14"/>
  <c r="L35" i="14"/>
  <c r="K35" i="14"/>
  <c r="J35" i="14"/>
  <c r="I35" i="14"/>
  <c r="H35" i="14"/>
  <c r="G35" i="14"/>
  <c r="F35" i="14"/>
  <c r="E35" i="14"/>
  <c r="D35" i="14"/>
  <c r="C35" i="14"/>
  <c r="M34" i="14"/>
  <c r="L34" i="14"/>
  <c r="K34" i="14"/>
  <c r="J34" i="14"/>
  <c r="I34" i="14"/>
  <c r="H34" i="14"/>
  <c r="G34" i="14"/>
  <c r="F34" i="14"/>
  <c r="E34" i="14"/>
  <c r="D34" i="14"/>
  <c r="M33" i="14"/>
  <c r="L33" i="14"/>
  <c r="K33" i="14"/>
  <c r="J33" i="14"/>
  <c r="I33" i="14"/>
  <c r="H33" i="14"/>
  <c r="G33" i="14"/>
  <c r="F33" i="14"/>
  <c r="E33" i="14"/>
  <c r="D33" i="14"/>
  <c r="C33" i="14"/>
  <c r="M32" i="14"/>
  <c r="L32" i="14"/>
  <c r="K32" i="14"/>
  <c r="J32" i="14"/>
  <c r="I32" i="14"/>
  <c r="H32" i="14"/>
  <c r="G32" i="14"/>
  <c r="F32" i="14"/>
  <c r="E32" i="14"/>
  <c r="D32" i="14"/>
  <c r="M31" i="14"/>
  <c r="L31" i="14"/>
  <c r="K31" i="14"/>
  <c r="J31" i="14"/>
  <c r="I31" i="14"/>
  <c r="H31" i="14"/>
  <c r="G31" i="14"/>
  <c r="F31" i="14"/>
  <c r="E31" i="14"/>
  <c r="D31" i="14"/>
  <c r="C31" i="14"/>
  <c r="M30" i="14"/>
  <c r="L30" i="14"/>
  <c r="K30" i="14"/>
  <c r="J30" i="14"/>
  <c r="I30" i="14"/>
  <c r="H30" i="14"/>
  <c r="G30" i="14"/>
  <c r="F30" i="14"/>
  <c r="E30" i="14"/>
  <c r="D30" i="14"/>
  <c r="C30" i="14"/>
  <c r="M29" i="14"/>
  <c r="L29" i="14"/>
  <c r="K29" i="14"/>
  <c r="J29" i="14"/>
  <c r="I29" i="14"/>
  <c r="H29" i="14"/>
  <c r="G29" i="14"/>
  <c r="F29" i="14"/>
  <c r="E29" i="14"/>
  <c r="D29" i="14"/>
  <c r="C29" i="14"/>
  <c r="M24" i="14"/>
  <c r="L24" i="14"/>
  <c r="K24" i="14"/>
  <c r="J24" i="14"/>
  <c r="I24" i="14"/>
  <c r="H24" i="14"/>
  <c r="G24" i="14"/>
  <c r="F24" i="14"/>
  <c r="E24" i="14"/>
  <c r="M23" i="14"/>
  <c r="L23" i="14"/>
  <c r="K23" i="14"/>
  <c r="J23" i="14"/>
  <c r="I23" i="14"/>
  <c r="H23" i="14"/>
  <c r="G23" i="14"/>
  <c r="F23" i="14"/>
  <c r="E23" i="14"/>
  <c r="D23" i="14"/>
  <c r="C23" i="14"/>
  <c r="M22" i="14"/>
  <c r="L22" i="14"/>
  <c r="K22" i="14"/>
  <c r="J22" i="14"/>
  <c r="I22" i="14"/>
  <c r="H22" i="14"/>
  <c r="G22" i="14"/>
  <c r="F22" i="14"/>
  <c r="E22" i="14"/>
  <c r="D22" i="14"/>
  <c r="C22" i="14"/>
  <c r="M21" i="14"/>
  <c r="L21" i="14"/>
  <c r="K21" i="14"/>
  <c r="J21" i="14"/>
  <c r="I21" i="14"/>
  <c r="H21" i="14"/>
  <c r="G21" i="14"/>
  <c r="F21" i="14"/>
  <c r="E21" i="14"/>
  <c r="D21" i="14"/>
  <c r="M20" i="14"/>
  <c r="L20" i="14"/>
  <c r="K20" i="14"/>
  <c r="J20" i="14"/>
  <c r="I20" i="14"/>
  <c r="H20" i="14"/>
  <c r="G20" i="14"/>
  <c r="F20" i="14"/>
  <c r="E20" i="14"/>
  <c r="D20" i="14"/>
  <c r="M19" i="14"/>
  <c r="L19" i="14"/>
  <c r="K19" i="14"/>
  <c r="J19" i="14"/>
  <c r="I19" i="14"/>
  <c r="H19" i="14"/>
  <c r="G19" i="14"/>
  <c r="F19" i="14"/>
  <c r="E19" i="14"/>
  <c r="D19" i="14"/>
  <c r="C19" i="14"/>
  <c r="M18" i="14"/>
  <c r="L18" i="14"/>
  <c r="K18" i="14"/>
  <c r="J18" i="14"/>
  <c r="I18" i="14"/>
  <c r="H18" i="14"/>
  <c r="G18" i="14"/>
  <c r="F18" i="14"/>
  <c r="E18" i="14"/>
  <c r="D18" i="14"/>
  <c r="M17" i="14"/>
  <c r="L17" i="14"/>
  <c r="K17" i="14"/>
  <c r="J17" i="14"/>
  <c r="I17" i="14"/>
  <c r="H17" i="14"/>
  <c r="G17" i="14"/>
  <c r="F17" i="14"/>
  <c r="E17" i="14"/>
  <c r="D17" i="14"/>
  <c r="C17" i="14"/>
  <c r="M12" i="14"/>
  <c r="M11" i="14"/>
  <c r="M10" i="14"/>
  <c r="M9" i="14"/>
  <c r="M8" i="14"/>
  <c r="M7" i="14"/>
  <c r="M6" i="14"/>
  <c r="M5" i="14"/>
  <c r="L12" i="14"/>
  <c r="L11" i="14"/>
  <c r="L10" i="14"/>
  <c r="L9" i="14"/>
  <c r="L8" i="14"/>
  <c r="L7" i="14"/>
  <c r="L6" i="14"/>
  <c r="L5" i="14"/>
  <c r="K12" i="14"/>
  <c r="K11" i="14"/>
  <c r="K10" i="14"/>
  <c r="K9" i="14"/>
  <c r="K8" i="14"/>
  <c r="K7" i="14"/>
  <c r="K6" i="14"/>
  <c r="K5" i="14"/>
  <c r="J12" i="14"/>
  <c r="J11" i="14"/>
  <c r="J10" i="14"/>
  <c r="J9" i="14"/>
  <c r="J8" i="14"/>
  <c r="J7" i="14"/>
  <c r="J6" i="14"/>
  <c r="J5" i="14"/>
  <c r="I12" i="14"/>
  <c r="I11" i="14"/>
  <c r="I10" i="14"/>
  <c r="I9" i="14"/>
  <c r="I8" i="14"/>
  <c r="I7" i="14"/>
  <c r="I6" i="14"/>
  <c r="I5" i="14"/>
  <c r="H12" i="14"/>
  <c r="H11" i="14"/>
  <c r="H10" i="14"/>
  <c r="H9" i="14"/>
  <c r="H8" i="14"/>
  <c r="H7" i="14"/>
  <c r="H6" i="14"/>
  <c r="H5" i="14"/>
  <c r="G12" i="14"/>
  <c r="G11" i="14"/>
  <c r="G10" i="14"/>
  <c r="G9" i="14"/>
  <c r="G8" i="14"/>
  <c r="G7" i="14"/>
  <c r="G6" i="14"/>
  <c r="G5" i="14"/>
  <c r="F12" i="14"/>
  <c r="F11" i="14"/>
  <c r="F10" i="14"/>
  <c r="F9" i="14"/>
  <c r="F8" i="14"/>
  <c r="F7" i="14"/>
  <c r="F6" i="14"/>
  <c r="F5" i="14"/>
  <c r="E12" i="14"/>
  <c r="E11" i="14"/>
  <c r="E10" i="14"/>
  <c r="E9" i="14"/>
  <c r="E8" i="14"/>
  <c r="E7" i="14"/>
  <c r="E6" i="14"/>
  <c r="E5" i="14"/>
  <c r="D11" i="14"/>
  <c r="D10" i="14"/>
  <c r="D9" i="14"/>
  <c r="D8" i="14"/>
  <c r="D7" i="14"/>
  <c r="D6" i="14"/>
  <c r="D5" i="14"/>
  <c r="F44" i="11"/>
  <c r="F43" i="11"/>
  <c r="F42" i="11"/>
  <c r="E41" i="11"/>
  <c r="D41" i="11"/>
  <c r="F39" i="11"/>
  <c r="F38" i="11"/>
  <c r="F37" i="11"/>
  <c r="E36" i="11"/>
  <c r="D36" i="11"/>
  <c r="F34" i="11"/>
  <c r="E33" i="11"/>
  <c r="D33" i="11"/>
  <c r="F31" i="11"/>
  <c r="F30" i="11"/>
  <c r="E29" i="11"/>
  <c r="D29" i="11"/>
  <c r="F27" i="11"/>
  <c r="F26" i="11"/>
  <c r="F25" i="11"/>
  <c r="E24" i="11"/>
  <c r="D24" i="11"/>
  <c r="F22" i="11"/>
  <c r="F21" i="11"/>
  <c r="E20" i="11"/>
  <c r="D20" i="11"/>
  <c r="F18" i="11"/>
  <c r="F16" i="11"/>
  <c r="E15" i="11"/>
  <c r="D15" i="11"/>
  <c r="K11" i="11"/>
  <c r="J11" i="11"/>
  <c r="F11" i="11"/>
  <c r="K10" i="11"/>
  <c r="J10" i="11"/>
  <c r="E10" i="11"/>
  <c r="D10" i="11"/>
  <c r="J12" i="11" s="1"/>
  <c r="K9" i="11"/>
  <c r="J9" i="11"/>
  <c r="K8" i="11"/>
  <c r="J8" i="11"/>
  <c r="K7" i="11"/>
  <c r="J7" i="11"/>
  <c r="K6" i="11"/>
  <c r="J6" i="11"/>
  <c r="K5" i="11"/>
  <c r="J5" i="11"/>
  <c r="D5" i="11"/>
  <c r="F44" i="8"/>
  <c r="F43" i="8"/>
  <c r="F42" i="8"/>
  <c r="E41" i="8"/>
  <c r="D41" i="8"/>
  <c r="F39" i="8"/>
  <c r="F38" i="8"/>
  <c r="F37" i="8"/>
  <c r="E36" i="8"/>
  <c r="D36" i="8"/>
  <c r="F34" i="8"/>
  <c r="E33" i="8"/>
  <c r="D33" i="8"/>
  <c r="F31" i="8"/>
  <c r="F30" i="8"/>
  <c r="E29" i="8"/>
  <c r="D29" i="8"/>
  <c r="F27" i="8"/>
  <c r="F26" i="8"/>
  <c r="F25" i="8"/>
  <c r="E24" i="8"/>
  <c r="D24" i="8"/>
  <c r="F22" i="8"/>
  <c r="F21" i="8"/>
  <c r="E20" i="8"/>
  <c r="D20" i="8"/>
  <c r="F18" i="8"/>
  <c r="F16" i="8"/>
  <c r="E15" i="8"/>
  <c r="D15" i="8"/>
  <c r="K11" i="8"/>
  <c r="J11" i="8"/>
  <c r="F11" i="8"/>
  <c r="K10" i="8"/>
  <c r="J10" i="8"/>
  <c r="E10" i="8"/>
  <c r="D10" i="8"/>
  <c r="J12" i="8" s="1"/>
  <c r="K9" i="8"/>
  <c r="J9" i="8"/>
  <c r="K8" i="8"/>
  <c r="J8" i="8"/>
  <c r="K7" i="8"/>
  <c r="J7" i="8"/>
  <c r="K6" i="8"/>
  <c r="J6" i="8"/>
  <c r="K5" i="8"/>
  <c r="J5" i="8"/>
  <c r="D5" i="8"/>
  <c r="D5" i="9"/>
  <c r="D10" i="9"/>
  <c r="D15" i="9"/>
  <c r="D20" i="9"/>
  <c r="D24" i="9"/>
  <c r="D29" i="9"/>
  <c r="D33" i="9"/>
  <c r="D36" i="9"/>
  <c r="D41" i="7"/>
  <c r="D36" i="7"/>
  <c r="D33" i="7"/>
  <c r="D29" i="7"/>
  <c r="D24" i="7"/>
  <c r="D20" i="7"/>
  <c r="D15" i="7"/>
  <c r="D10" i="7"/>
  <c r="D5" i="7"/>
  <c r="F44" i="10"/>
  <c r="F43" i="10"/>
  <c r="F42" i="10"/>
  <c r="E41" i="10"/>
  <c r="D41" i="10"/>
  <c r="F39" i="10"/>
  <c r="F38" i="10"/>
  <c r="F37" i="10"/>
  <c r="E36" i="10"/>
  <c r="D36" i="10"/>
  <c r="F34" i="10"/>
  <c r="E33" i="10"/>
  <c r="D33" i="10"/>
  <c r="F31" i="10"/>
  <c r="F30" i="10"/>
  <c r="E29" i="10"/>
  <c r="D29" i="10"/>
  <c r="F27" i="10"/>
  <c r="F26" i="10"/>
  <c r="F25" i="10"/>
  <c r="E24" i="10"/>
  <c r="D24" i="10"/>
  <c r="F22" i="10"/>
  <c r="F21" i="10"/>
  <c r="E20" i="10"/>
  <c r="D20" i="10"/>
  <c r="F18" i="10"/>
  <c r="F16" i="10"/>
  <c r="E15" i="10"/>
  <c r="D15" i="10"/>
  <c r="K11" i="10"/>
  <c r="J11" i="10"/>
  <c r="F11" i="10"/>
  <c r="K10" i="10"/>
  <c r="J10" i="10"/>
  <c r="E10" i="10"/>
  <c r="D10" i="10"/>
  <c r="J12" i="10" s="1"/>
  <c r="K9" i="10"/>
  <c r="J9" i="10"/>
  <c r="K8" i="10"/>
  <c r="J8" i="10"/>
  <c r="K7" i="10"/>
  <c r="J7" i="10"/>
  <c r="K6" i="10"/>
  <c r="J6" i="10"/>
  <c r="K5" i="10"/>
  <c r="J5" i="10"/>
  <c r="D5" i="10"/>
  <c r="F44" i="9"/>
  <c r="F43" i="9"/>
  <c r="F42" i="9"/>
  <c r="E41" i="9"/>
  <c r="D41" i="9"/>
  <c r="F39" i="9"/>
  <c r="F38" i="9"/>
  <c r="F37" i="9"/>
  <c r="E36" i="9"/>
  <c r="F34" i="9"/>
  <c r="E33" i="9"/>
  <c r="F31" i="9"/>
  <c r="F30" i="9"/>
  <c r="E29" i="9"/>
  <c r="F27" i="9"/>
  <c r="F26" i="9"/>
  <c r="F25" i="9"/>
  <c r="E24" i="9"/>
  <c r="F22" i="9"/>
  <c r="F21" i="9"/>
  <c r="E20" i="9"/>
  <c r="F18" i="9"/>
  <c r="F16" i="9"/>
  <c r="E15" i="9"/>
  <c r="K11" i="9"/>
  <c r="J11" i="9"/>
  <c r="F11" i="9"/>
  <c r="K10" i="9"/>
  <c r="J10" i="9"/>
  <c r="E10" i="9"/>
  <c r="J12" i="9"/>
  <c r="K9" i="9"/>
  <c r="J9" i="9"/>
  <c r="K8" i="9"/>
  <c r="J8" i="9"/>
  <c r="K7" i="9"/>
  <c r="J7" i="9"/>
  <c r="K6" i="9"/>
  <c r="J6" i="9"/>
  <c r="K5" i="9"/>
  <c r="J5" i="9"/>
  <c r="F44" i="7"/>
  <c r="F43" i="7"/>
  <c r="F42" i="7"/>
  <c r="E41" i="7"/>
  <c r="F39" i="7"/>
  <c r="F38" i="7"/>
  <c r="F37" i="7"/>
  <c r="E36" i="7"/>
  <c r="F34" i="7"/>
  <c r="E33" i="7"/>
  <c r="F31" i="7"/>
  <c r="F30" i="7"/>
  <c r="E29" i="7"/>
  <c r="F27" i="7"/>
  <c r="F26" i="7"/>
  <c r="F25" i="7"/>
  <c r="E24" i="7"/>
  <c r="F22" i="7"/>
  <c r="F21" i="7"/>
  <c r="E20" i="7"/>
  <c r="F18" i="7"/>
  <c r="F16" i="7"/>
  <c r="E15" i="7"/>
  <c r="K11" i="7"/>
  <c r="J11" i="7"/>
  <c r="F11" i="7"/>
  <c r="K10" i="7"/>
  <c r="J10" i="7"/>
  <c r="E10" i="7"/>
  <c r="J12" i="7"/>
  <c r="K9" i="7"/>
  <c r="J9" i="7"/>
  <c r="K8" i="7"/>
  <c r="J8" i="7"/>
  <c r="K7" i="7"/>
  <c r="J7" i="7"/>
  <c r="K6" i="7"/>
  <c r="J6" i="7"/>
  <c r="K5" i="7"/>
  <c r="J5" i="7"/>
  <c r="F44" i="6"/>
  <c r="F43" i="6"/>
  <c r="F42" i="6"/>
  <c r="E41" i="6"/>
  <c r="D41" i="6"/>
  <c r="F39" i="6"/>
  <c r="F38" i="6"/>
  <c r="F37" i="6"/>
  <c r="E36" i="6"/>
  <c r="D36" i="6"/>
  <c r="F34" i="6"/>
  <c r="E33" i="6"/>
  <c r="D33" i="6"/>
  <c r="F31" i="6"/>
  <c r="F30" i="6"/>
  <c r="E29" i="6"/>
  <c r="D29" i="6"/>
  <c r="F27" i="6"/>
  <c r="F26" i="6"/>
  <c r="F25" i="6"/>
  <c r="E24" i="6"/>
  <c r="D24" i="6"/>
  <c r="F22" i="6"/>
  <c r="F21" i="6"/>
  <c r="E20" i="6"/>
  <c r="D20" i="6"/>
  <c r="F18" i="6"/>
  <c r="F16" i="6"/>
  <c r="E15" i="6"/>
  <c r="D15" i="6"/>
  <c r="K11" i="6"/>
  <c r="J11" i="6"/>
  <c r="F11" i="6"/>
  <c r="K10" i="6"/>
  <c r="J10" i="6"/>
  <c r="E10" i="6"/>
  <c r="D10" i="6"/>
  <c r="J12" i="6" s="1"/>
  <c r="K9" i="6"/>
  <c r="J9" i="6"/>
  <c r="K8" i="6"/>
  <c r="J8" i="6"/>
  <c r="K7" i="6"/>
  <c r="J7" i="6"/>
  <c r="K6" i="6"/>
  <c r="J6" i="6"/>
  <c r="K5" i="6"/>
  <c r="J5" i="6"/>
  <c r="D5" i="6"/>
  <c r="F44" i="5"/>
  <c r="F43" i="5"/>
  <c r="F42" i="5"/>
  <c r="E41" i="5"/>
  <c r="K7" i="5" s="1"/>
  <c r="D41" i="5"/>
  <c r="J7" i="5" s="1"/>
  <c r="F39" i="5"/>
  <c r="F38" i="5"/>
  <c r="F37" i="5"/>
  <c r="E36" i="5"/>
  <c r="K11" i="5" s="1"/>
  <c r="D36" i="5"/>
  <c r="J11" i="5" s="1"/>
  <c r="F34" i="5"/>
  <c r="E33" i="5"/>
  <c r="D33" i="5"/>
  <c r="F31" i="5"/>
  <c r="F30" i="5"/>
  <c r="E29" i="5"/>
  <c r="K6" i="5" s="1"/>
  <c r="D29" i="5"/>
  <c r="J6" i="5" s="1"/>
  <c r="F27" i="5"/>
  <c r="F26" i="5"/>
  <c r="F25" i="5"/>
  <c r="E24" i="5"/>
  <c r="K9" i="5" s="1"/>
  <c r="D24" i="5"/>
  <c r="J9" i="5" s="1"/>
  <c r="F22" i="5"/>
  <c r="F21" i="5"/>
  <c r="E20" i="5"/>
  <c r="K10" i="5" s="1"/>
  <c r="D20" i="5"/>
  <c r="J10" i="5" s="1"/>
  <c r="F18" i="5"/>
  <c r="F16" i="5"/>
  <c r="E15" i="5"/>
  <c r="K8" i="5" s="1"/>
  <c r="D15" i="5"/>
  <c r="J8" i="5" s="1"/>
  <c r="F11" i="5"/>
  <c r="E10" i="5"/>
  <c r="K12" i="5" s="1"/>
  <c r="D10" i="5"/>
  <c r="J12" i="5" s="1"/>
  <c r="K5" i="5"/>
  <c r="J5" i="5"/>
  <c r="D5" i="5"/>
  <c r="F44" i="4"/>
  <c r="F43" i="4"/>
  <c r="F42" i="4"/>
  <c r="E41" i="4"/>
  <c r="D41" i="4"/>
  <c r="J7" i="4" s="1"/>
  <c r="F39" i="4"/>
  <c r="F38" i="4"/>
  <c r="F37" i="4"/>
  <c r="E36" i="4"/>
  <c r="D36" i="4"/>
  <c r="J11" i="4" s="1"/>
  <c r="F34" i="4"/>
  <c r="E33" i="4"/>
  <c r="K5" i="4" s="1"/>
  <c r="D33" i="4"/>
  <c r="J5" i="4" s="1"/>
  <c r="F31" i="4"/>
  <c r="F30" i="4"/>
  <c r="E29" i="4"/>
  <c r="D29" i="4"/>
  <c r="J6" i="4" s="1"/>
  <c r="F27" i="4"/>
  <c r="F26" i="4"/>
  <c r="F25" i="4"/>
  <c r="E24" i="4"/>
  <c r="D24" i="4"/>
  <c r="J9" i="4" s="1"/>
  <c r="F22" i="4"/>
  <c r="F21" i="4"/>
  <c r="E20" i="4"/>
  <c r="D20" i="4"/>
  <c r="J10" i="4" s="1"/>
  <c r="F18" i="4"/>
  <c r="F16" i="4"/>
  <c r="E15" i="4"/>
  <c r="D15" i="4"/>
  <c r="J8" i="4" s="1"/>
  <c r="K11" i="4"/>
  <c r="F11" i="4"/>
  <c r="K10" i="4"/>
  <c r="E10" i="4"/>
  <c r="D10" i="4"/>
  <c r="J12" i="4" s="1"/>
  <c r="K9" i="4"/>
  <c r="K8" i="4"/>
  <c r="K7" i="4"/>
  <c r="K6" i="4"/>
  <c r="D5" i="4"/>
  <c r="F44" i="3"/>
  <c r="F43" i="3"/>
  <c r="F42" i="3"/>
  <c r="E41" i="3"/>
  <c r="K7" i="3" s="1"/>
  <c r="D41" i="3"/>
  <c r="J7" i="3" s="1"/>
  <c r="F39" i="3"/>
  <c r="F38" i="3"/>
  <c r="F37" i="3"/>
  <c r="E36" i="3"/>
  <c r="K11" i="3" s="1"/>
  <c r="D36" i="3"/>
  <c r="J11" i="3" s="1"/>
  <c r="F34" i="3"/>
  <c r="E33" i="3"/>
  <c r="K5" i="3" s="1"/>
  <c r="D33" i="3"/>
  <c r="J5" i="3" s="1"/>
  <c r="F31" i="3"/>
  <c r="F30" i="3"/>
  <c r="E29" i="3"/>
  <c r="K6" i="3" s="1"/>
  <c r="D29" i="3"/>
  <c r="J6" i="3" s="1"/>
  <c r="F27" i="3"/>
  <c r="F26" i="3"/>
  <c r="F25" i="3"/>
  <c r="E24" i="3"/>
  <c r="K9" i="3" s="1"/>
  <c r="D24" i="3"/>
  <c r="J9" i="3" s="1"/>
  <c r="F22" i="3"/>
  <c r="F21" i="3"/>
  <c r="E20" i="3"/>
  <c r="K10" i="3" s="1"/>
  <c r="D20" i="3"/>
  <c r="J10" i="3" s="1"/>
  <c r="F18" i="3"/>
  <c r="F16" i="3"/>
  <c r="E15" i="3"/>
  <c r="K8" i="3" s="1"/>
  <c r="D15" i="3"/>
  <c r="J8" i="3" s="1"/>
  <c r="F11" i="3"/>
  <c r="E10" i="3"/>
  <c r="K12" i="3" s="1"/>
  <c r="D10" i="3"/>
  <c r="J12" i="3" s="1"/>
  <c r="D5" i="3"/>
  <c r="E36" i="12"/>
  <c r="K11" i="12" s="1"/>
  <c r="D36" i="12"/>
  <c r="J11" i="12" s="1"/>
  <c r="E42" i="12"/>
  <c r="K7" i="12" s="1"/>
  <c r="D42" i="12"/>
  <c r="J7" i="12" s="1"/>
  <c r="F40" i="12"/>
  <c r="F45" i="12"/>
  <c r="F44" i="12"/>
  <c r="F43" i="12"/>
  <c r="F39" i="12"/>
  <c r="F38" i="12"/>
  <c r="F37" i="12"/>
  <c r="F34" i="12"/>
  <c r="E33" i="12"/>
  <c r="K5" i="12" s="1"/>
  <c r="D33" i="12"/>
  <c r="J5" i="12" s="1"/>
  <c r="F31" i="12"/>
  <c r="F30" i="12"/>
  <c r="E29" i="12"/>
  <c r="K6" i="12" s="1"/>
  <c r="D29" i="12"/>
  <c r="J6" i="12" s="1"/>
  <c r="F27" i="12"/>
  <c r="F26" i="12"/>
  <c r="F25" i="12"/>
  <c r="E24" i="12"/>
  <c r="K9" i="12" s="1"/>
  <c r="D24" i="12"/>
  <c r="J9" i="12" s="1"/>
  <c r="F22" i="12"/>
  <c r="F21" i="12"/>
  <c r="E20" i="12"/>
  <c r="K10" i="12" s="1"/>
  <c r="D20" i="12"/>
  <c r="J10" i="12" s="1"/>
  <c r="F18" i="12"/>
  <c r="F16" i="12"/>
  <c r="E15" i="12"/>
  <c r="K8" i="12" s="1"/>
  <c r="D15" i="12"/>
  <c r="J8" i="12" s="1"/>
  <c r="F11" i="12"/>
  <c r="E10" i="12"/>
  <c r="K12" i="12" s="1"/>
  <c r="D10" i="12"/>
  <c r="J12" i="12" s="1"/>
  <c r="D5" i="12"/>
  <c r="F44" i="2"/>
  <c r="F43" i="2"/>
  <c r="F42" i="2"/>
  <c r="E41" i="2"/>
  <c r="K7" i="2" s="1"/>
  <c r="D41" i="2"/>
  <c r="J7" i="2" s="1"/>
  <c r="F39" i="2"/>
  <c r="F38" i="2"/>
  <c r="F37" i="2"/>
  <c r="E36" i="2"/>
  <c r="K11" i="2" s="1"/>
  <c r="D36" i="2"/>
  <c r="J11" i="2" s="1"/>
  <c r="F34" i="2"/>
  <c r="E33" i="2"/>
  <c r="K5" i="2" s="1"/>
  <c r="D33" i="2"/>
  <c r="J5" i="2" s="1"/>
  <c r="F31" i="2"/>
  <c r="F30" i="2"/>
  <c r="E29" i="2"/>
  <c r="K6" i="2" s="1"/>
  <c r="D29" i="2"/>
  <c r="J6" i="2" s="1"/>
  <c r="F27" i="2"/>
  <c r="F26" i="2"/>
  <c r="F25" i="2"/>
  <c r="E24" i="2"/>
  <c r="K9" i="2" s="1"/>
  <c r="D24" i="2"/>
  <c r="J9" i="2" s="1"/>
  <c r="F22" i="2"/>
  <c r="F21" i="2"/>
  <c r="E20" i="2"/>
  <c r="K10" i="2" s="1"/>
  <c r="D20" i="2"/>
  <c r="J10" i="2" s="1"/>
  <c r="F18" i="2"/>
  <c r="F16" i="2"/>
  <c r="E15" i="2"/>
  <c r="K8" i="2" s="1"/>
  <c r="D15" i="2"/>
  <c r="J8" i="2" s="1"/>
  <c r="F11" i="2"/>
  <c r="E10" i="2"/>
  <c r="K12" i="2" s="1"/>
  <c r="D10" i="2"/>
  <c r="J12" i="2" s="1"/>
  <c r="D5" i="2"/>
  <c r="E41" i="1"/>
  <c r="K7" i="1" s="1"/>
  <c r="D41" i="1"/>
  <c r="J7" i="1" s="1"/>
  <c r="E36" i="1"/>
  <c r="K11" i="1" s="1"/>
  <c r="D36" i="1"/>
  <c r="J11" i="1" s="1"/>
  <c r="E33" i="1"/>
  <c r="K5" i="1" s="1"/>
  <c r="D33" i="1"/>
  <c r="J5" i="1" s="1"/>
  <c r="E29" i="1"/>
  <c r="K6" i="1" s="1"/>
  <c r="D29" i="1"/>
  <c r="J6" i="1" s="1"/>
  <c r="E24" i="1"/>
  <c r="K9" i="1" s="1"/>
  <c r="D24" i="1"/>
  <c r="J9" i="1" s="1"/>
  <c r="E20" i="1"/>
  <c r="K10" i="1" s="1"/>
  <c r="D20" i="1"/>
  <c r="J10" i="1" s="1"/>
  <c r="E15" i="1"/>
  <c r="K8" i="1" s="1"/>
  <c r="D15" i="1"/>
  <c r="J8" i="1" s="1"/>
  <c r="F16" i="1"/>
  <c r="F18" i="1"/>
  <c r="D5" i="1"/>
  <c r="E10" i="1"/>
  <c r="K12" i="1" s="1"/>
  <c r="D10" i="1"/>
  <c r="J12" i="1" s="1"/>
  <c r="F21" i="1"/>
  <c r="F22" i="1"/>
  <c r="F25" i="1"/>
  <c r="F26" i="1"/>
  <c r="F27" i="1"/>
  <c r="C20" i="14" s="1"/>
  <c r="F30" i="1"/>
  <c r="F31" i="1"/>
  <c r="F34" i="1"/>
  <c r="F37" i="1"/>
  <c r="F38" i="1"/>
  <c r="F39" i="1"/>
  <c r="C32" i="14" s="1"/>
  <c r="F42" i="1"/>
  <c r="F43" i="1"/>
  <c r="F44" i="1"/>
  <c r="C34" i="14" s="1"/>
  <c r="F11" i="1"/>
  <c r="D36" i="14" l="1"/>
  <c r="C36" i="14"/>
  <c r="D24" i="14"/>
  <c r="C24" i="14"/>
  <c r="F36" i="12"/>
  <c r="L11" i="12" s="1"/>
  <c r="K12" i="11"/>
  <c r="F10" i="11"/>
  <c r="L12" i="11" s="1"/>
  <c r="F15" i="11"/>
  <c r="L8" i="11" s="1"/>
  <c r="F20" i="11"/>
  <c r="L10" i="11" s="1"/>
  <c r="F24" i="11"/>
  <c r="L9" i="11" s="1"/>
  <c r="F29" i="11"/>
  <c r="L6" i="11" s="1"/>
  <c r="F33" i="11"/>
  <c r="L5" i="11" s="1"/>
  <c r="F36" i="11"/>
  <c r="L11" i="11" s="1"/>
  <c r="F41" i="11"/>
  <c r="L7" i="11" s="1"/>
  <c r="K12" i="8"/>
  <c r="F10" i="8"/>
  <c r="L12" i="8" s="1"/>
  <c r="F15" i="8"/>
  <c r="L8" i="8" s="1"/>
  <c r="F20" i="8"/>
  <c r="L10" i="8" s="1"/>
  <c r="F24" i="8"/>
  <c r="L9" i="8" s="1"/>
  <c r="F29" i="8"/>
  <c r="L6" i="8" s="1"/>
  <c r="F33" i="8"/>
  <c r="L5" i="8" s="1"/>
  <c r="F36" i="8"/>
  <c r="L11" i="8" s="1"/>
  <c r="F41" i="8"/>
  <c r="L7" i="8" s="1"/>
  <c r="K12" i="10"/>
  <c r="F10" i="10"/>
  <c r="F15" i="10"/>
  <c r="F20" i="10"/>
  <c r="F24" i="10"/>
  <c r="F29" i="10"/>
  <c r="F33" i="10"/>
  <c r="L5" i="10" s="1"/>
  <c r="F36" i="10"/>
  <c r="F41" i="10"/>
  <c r="K12" i="9"/>
  <c r="F10" i="9"/>
  <c r="F15" i="9"/>
  <c r="F20" i="9"/>
  <c r="F24" i="9"/>
  <c r="F29" i="9"/>
  <c r="F33" i="9"/>
  <c r="L5" i="9" s="1"/>
  <c r="F36" i="9"/>
  <c r="F41" i="9"/>
  <c r="K12" i="7"/>
  <c r="F10" i="7"/>
  <c r="F15" i="7"/>
  <c r="F20" i="7"/>
  <c r="F24" i="7"/>
  <c r="F29" i="7"/>
  <c r="F33" i="7"/>
  <c r="L5" i="7" s="1"/>
  <c r="F36" i="7"/>
  <c r="F41" i="7"/>
  <c r="K12" i="6"/>
  <c r="F10" i="6"/>
  <c r="L12" i="6" s="1"/>
  <c r="F15" i="6"/>
  <c r="L8" i="6" s="1"/>
  <c r="F20" i="6"/>
  <c r="L10" i="6" s="1"/>
  <c r="F24" i="6"/>
  <c r="L9" i="6" s="1"/>
  <c r="F29" i="6"/>
  <c r="L6" i="6" s="1"/>
  <c r="F33" i="6"/>
  <c r="L5" i="6" s="1"/>
  <c r="F36" i="6"/>
  <c r="L11" i="6" s="1"/>
  <c r="F41" i="6"/>
  <c r="L7" i="6" s="1"/>
  <c r="F10" i="5"/>
  <c r="L12" i="5" s="1"/>
  <c r="F15" i="5"/>
  <c r="L8" i="5" s="1"/>
  <c r="F20" i="5"/>
  <c r="L10" i="5" s="1"/>
  <c r="F24" i="5"/>
  <c r="L9" i="5" s="1"/>
  <c r="F29" i="5"/>
  <c r="L6" i="5" s="1"/>
  <c r="F33" i="5"/>
  <c r="L5" i="5" s="1"/>
  <c r="F36" i="5"/>
  <c r="L11" i="5" s="1"/>
  <c r="F41" i="5"/>
  <c r="L7" i="5" s="1"/>
  <c r="K12" i="4"/>
  <c r="F10" i="4"/>
  <c r="L12" i="4" s="1"/>
  <c r="F15" i="4"/>
  <c r="L8" i="4" s="1"/>
  <c r="F20" i="4"/>
  <c r="L10" i="4" s="1"/>
  <c r="F24" i="4"/>
  <c r="L9" i="4" s="1"/>
  <c r="F29" i="4"/>
  <c r="L6" i="4" s="1"/>
  <c r="F33" i="4"/>
  <c r="L5" i="4" s="1"/>
  <c r="F36" i="4"/>
  <c r="L11" i="4" s="1"/>
  <c r="F41" i="4"/>
  <c r="L7" i="4" s="1"/>
  <c r="F10" i="3"/>
  <c r="L12" i="3" s="1"/>
  <c r="F15" i="3"/>
  <c r="L8" i="3" s="1"/>
  <c r="F20" i="3"/>
  <c r="L10" i="3" s="1"/>
  <c r="F24" i="3"/>
  <c r="L9" i="3" s="1"/>
  <c r="F29" i="3"/>
  <c r="L6" i="3" s="1"/>
  <c r="F33" i="3"/>
  <c r="L5" i="3" s="1"/>
  <c r="F36" i="3"/>
  <c r="L11" i="3" s="1"/>
  <c r="F41" i="3"/>
  <c r="L7" i="3" s="1"/>
  <c r="F42" i="12"/>
  <c r="L7" i="12" s="1"/>
  <c r="F10" i="12"/>
  <c r="L12" i="12" s="1"/>
  <c r="F15" i="12"/>
  <c r="L8" i="12" s="1"/>
  <c r="F20" i="12"/>
  <c r="L10" i="12" s="1"/>
  <c r="F24" i="12"/>
  <c r="L9" i="12" s="1"/>
  <c r="F29" i="12"/>
  <c r="L6" i="12" s="1"/>
  <c r="F33" i="12"/>
  <c r="L5" i="12" s="1"/>
  <c r="F10" i="2"/>
  <c r="F15" i="2"/>
  <c r="F20" i="2"/>
  <c r="F24" i="2"/>
  <c r="F29" i="2"/>
  <c r="F33" i="2"/>
  <c r="L5" i="2" s="1"/>
  <c r="F36" i="2"/>
  <c r="F41" i="2"/>
  <c r="F41" i="1"/>
  <c r="F36" i="1"/>
  <c r="F33" i="1"/>
  <c r="F29" i="1"/>
  <c r="C6" i="14" s="1"/>
  <c r="F24" i="1"/>
  <c r="C9" i="14" s="1"/>
  <c r="F15" i="1"/>
  <c r="C8" i="14" s="1"/>
  <c r="F20" i="1"/>
  <c r="C10" i="14" s="1"/>
  <c r="F10" i="1"/>
  <c r="D12" i="14" l="1"/>
  <c r="C12" i="14"/>
  <c r="C5" i="14"/>
  <c r="L5" i="1"/>
  <c r="C21" i="14"/>
  <c r="C11" i="14"/>
  <c r="C18" i="14"/>
  <c r="C7" i="14"/>
  <c r="L12" i="10"/>
  <c r="L12" i="9"/>
  <c r="L12" i="7"/>
  <c r="L12" i="2"/>
  <c r="L12" i="1"/>
  <c r="L10" i="10"/>
  <c r="L10" i="9"/>
  <c r="L10" i="7"/>
  <c r="L10" i="2"/>
  <c r="L10" i="1"/>
  <c r="L8" i="10"/>
  <c r="L8" i="9"/>
  <c r="L8" i="7"/>
  <c r="L8" i="2"/>
  <c r="L8" i="1"/>
  <c r="L9" i="10"/>
  <c r="L9" i="9"/>
  <c r="L9" i="7"/>
  <c r="L9" i="2"/>
  <c r="L9" i="1"/>
  <c r="L6" i="10"/>
  <c r="L6" i="9"/>
  <c r="L6" i="7"/>
  <c r="L6" i="2"/>
  <c r="L6" i="1"/>
  <c r="L11" i="10"/>
  <c r="L11" i="9"/>
  <c r="L11" i="7"/>
  <c r="L11" i="2"/>
  <c r="L11" i="1"/>
  <c r="L7" i="10"/>
  <c r="L7" i="9"/>
  <c r="L7" i="7"/>
  <c r="L7" i="2"/>
  <c r="L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164D9-F22D-4E41-9CB2-293809F5F227}"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<sst xmlns="http://schemas.openxmlformats.org/spreadsheetml/2006/main" count="867" uniqueCount="104">
  <si>
    <t>Category</t>
  </si>
  <si>
    <t>Amount Budgeted</t>
  </si>
  <si>
    <t>Actual Spending</t>
  </si>
  <si>
    <t>Difference</t>
  </si>
  <si>
    <t>Income</t>
  </si>
  <si>
    <t>Salary</t>
  </si>
  <si>
    <t>Expenses</t>
  </si>
  <si>
    <t>Housing</t>
  </si>
  <si>
    <t>Rent/Mortgage</t>
  </si>
  <si>
    <t>Property Tax</t>
  </si>
  <si>
    <t>Homeowners Insurance</t>
  </si>
  <si>
    <t>Utilities</t>
  </si>
  <si>
    <t>Electricity</t>
  </si>
  <si>
    <t>Water &amp; Trash</t>
  </si>
  <si>
    <t>Food</t>
  </si>
  <si>
    <t>Dining Out</t>
  </si>
  <si>
    <t>Transportation</t>
  </si>
  <si>
    <t>Car Payment</t>
  </si>
  <si>
    <t>Gas &amp; Maintenance</t>
  </si>
  <si>
    <t>Public Transportation</t>
  </si>
  <si>
    <t>Insurance</t>
  </si>
  <si>
    <t>Health Insurance</t>
  </si>
  <si>
    <t>Car Insurance</t>
  </si>
  <si>
    <t>Debt Payments</t>
  </si>
  <si>
    <t>Minimum Payments</t>
  </si>
  <si>
    <t>Savings &amp; Investments</t>
  </si>
  <si>
    <t>Emergency Fund</t>
  </si>
  <si>
    <t>Retirement Savings</t>
  </si>
  <si>
    <t>Investments</t>
  </si>
  <si>
    <t>Personal Expenses</t>
  </si>
  <si>
    <t>Clothing</t>
  </si>
  <si>
    <t>Personal Care</t>
  </si>
  <si>
    <t>Internet &amp; Airtime</t>
  </si>
  <si>
    <t>Childcare</t>
  </si>
  <si>
    <t>Groceries &amp; Shopping</t>
  </si>
  <si>
    <t>Budget</t>
  </si>
  <si>
    <t>Actual</t>
  </si>
  <si>
    <t>Side Gig</t>
  </si>
  <si>
    <t>Holiday</t>
  </si>
  <si>
    <t>Sum of Budget</t>
  </si>
  <si>
    <t>Sum of Difference</t>
  </si>
  <si>
    <t>Row Labels</t>
  </si>
  <si>
    <t>Grand Total</t>
  </si>
  <si>
    <t>Sum of Actual</t>
  </si>
  <si>
    <t>Sum of Amount Budgeted</t>
  </si>
  <si>
    <t>Sum of Actual Spending</t>
  </si>
  <si>
    <t>Jan</t>
  </si>
  <si>
    <t>Feb</t>
  </si>
  <si>
    <t>Mar</t>
  </si>
  <si>
    <t>Apr</t>
  </si>
  <si>
    <t>Jun</t>
  </si>
  <si>
    <t>Jul</t>
  </si>
  <si>
    <t>Aug</t>
  </si>
  <si>
    <t>Sep</t>
  </si>
  <si>
    <t>Oct</t>
  </si>
  <si>
    <t>Nov</t>
  </si>
  <si>
    <t>Dec</t>
  </si>
  <si>
    <t>PERSONAL MONTHLY BUDGET</t>
  </si>
  <si>
    <t>VARIANCE</t>
  </si>
  <si>
    <t>ANNUAL ANALYSIS</t>
  </si>
  <si>
    <t>WHAT DOES THE FUTURE HOLD?</t>
  </si>
  <si>
    <t>Month</t>
  </si>
  <si>
    <t>Insuance</t>
  </si>
  <si>
    <t>Debt Payment</t>
  </si>
  <si>
    <t>Savings and Investments</t>
  </si>
  <si>
    <t>Sum of Housing</t>
  </si>
  <si>
    <t>Sum of Utilities</t>
  </si>
  <si>
    <t>Sum of Food</t>
  </si>
  <si>
    <t>Sum of Transportation</t>
  </si>
  <si>
    <t>Sum of Insuance</t>
  </si>
  <si>
    <t>Sum of Debt Payment</t>
  </si>
  <si>
    <t>Sum of Personal Expenses</t>
  </si>
  <si>
    <t>Sum of Savings and Investments</t>
  </si>
  <si>
    <t>Forecast(Sum of Savings and Investments)</t>
  </si>
  <si>
    <t>Lower Confidence Bound(Sum of Savings and Investments)</t>
  </si>
  <si>
    <t>Upper Confidence Bound(Sum of Savings and Investments)</t>
  </si>
  <si>
    <t>Forecast(Sum of Housing)</t>
  </si>
  <si>
    <t>Lower Confidence Bound(Sum of Housing)</t>
  </si>
  <si>
    <t>Upper Confidence Bound(Sum of Housing)</t>
  </si>
  <si>
    <t>Forecast(Sum of Utilities)</t>
  </si>
  <si>
    <t>Lower Confidence Bound(Sum of Utilities)</t>
  </si>
  <si>
    <t>Upper Confidence Bound(Sum of Utilities)</t>
  </si>
  <si>
    <t>Forecast(Sum of Food)</t>
  </si>
  <si>
    <t>Lower Confidence Bound(Sum of Food)</t>
  </si>
  <si>
    <t>Upper Confidence Bound(Sum of Food)</t>
  </si>
  <si>
    <t>Forecast(Sum of Transportation)</t>
  </si>
  <si>
    <t>Lower Confidence Bound(Sum of Transportation)</t>
  </si>
  <si>
    <t>Upper Confidence Bound(Sum of Transportation)</t>
  </si>
  <si>
    <t>Forecast(Sum of Insuance)</t>
  </si>
  <si>
    <t>Lower Confidence Bound(Sum of Insuance)</t>
  </si>
  <si>
    <t>Upper Confidence Bound(Sum of Insuance)</t>
  </si>
  <si>
    <t>Forecast(Sum of Debt Payment)</t>
  </si>
  <si>
    <t>Lower Confidence Bound(Sum of Debt Payment)</t>
  </si>
  <si>
    <t>Upper Confidence Bound(Sum of Debt Payment)</t>
  </si>
  <si>
    <t>Forecast(Sum of Personal Expenses)</t>
  </si>
  <si>
    <t>Lower Confidence Bound(Sum of Personal Expenses)</t>
  </si>
  <si>
    <t>Upper Confidence Bound(Sum of Personal Expenses)</t>
  </si>
  <si>
    <t>Average Actual Spending</t>
  </si>
  <si>
    <t>Average Budget</t>
  </si>
  <si>
    <t>Sum of Average Actual Spending</t>
  </si>
  <si>
    <t>Sum of Average Budget</t>
  </si>
  <si>
    <t>Sum of Average Difference</t>
  </si>
  <si>
    <t>Percentage of Budget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</si>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</sst>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Ksh&quot;#,##0.00"/>
  </numFmts>
  <fonts count="22" x14ac:knownFonts="1">
    <font>
      <sz val="10"/>
      <color rgb="FF000000"/>
      <name val="Arial"/>
      <scheme val="minor"/>
    </font>
    <font>
      <b/>
      <sz val="13"/>
      <color theme="3"/>
      <name val="Arial"/>
      <family val="2"/>
      <scheme val="minor"/>
    </font>
    <font>
      <sz val="10"/>
      <color rgb="FF000000"/>
      <name val="Arial"/>
      <family val="2"/>
      <scheme val="minor"/>
    </font>
    <font>
      <sz val="10"/>
      <color rgb="FF000000"/>
      <name val="Arial"/>
      <scheme val="minor"/>
    </font>
    <font>
      <sz val="10"/>
      <color theme="1"/>
      <name val="Arial"/>
      <family val="2"/>
      <scheme val="minor"/>
    </font>
    <font>
      <sz val="8"/>
      <name val="Arial"/>
      <scheme val="minor"/>
    </font>
    <font>
      <sz val="18"/>
      <color theme="3"/>
      <name val="Arial"/>
      <family val="2"/>
      <scheme val="major"/>
    </font>
    <font>
      <sz val="18"/>
      <color theme="3"/>
      <name val="Century Gothic"/>
      <family val="2"/>
    </font>
    <font>
      <sz val="10"/>
      <color rgb="FF000000"/>
      <name val="Calibri"/>
      <family val="2"/>
    </font>
    <font>
      <b/>
      <sz val="10"/>
      <color theme="3"/>
      <name val="Calibri"/>
      <family val="2"/>
    </font>
    <font>
      <b/>
      <sz val="10"/>
      <color theme="1"/>
      <name val="Calibri"/>
      <family val="2"/>
    </font>
    <font>
      <sz val="10"/>
      <color theme="1"/>
      <name val="Calibri"/>
      <family val="2"/>
    </font>
    <font>
      <b/>
      <i/>
      <sz val="10"/>
      <color theme="1"/>
      <name val="Calibri"/>
      <family val="2"/>
    </font>
    <font>
      <b/>
      <i/>
      <sz val="10"/>
      <color rgb="FF000000"/>
      <name val="Calibri"/>
      <family val="2"/>
    </font>
    <font>
      <u/>
      <sz val="18"/>
      <color theme="3"/>
      <name val="Century Gothic"/>
      <family val="2"/>
    </font>
    <font>
      <u/>
      <sz val="18"/>
      <color rgb="FF000000"/>
      <name val="Century Gothic"/>
      <family val="2"/>
    </font>
    <font>
      <b/>
      <sz val="10"/>
      <color rgb="FF000000"/>
      <name val="Calibri"/>
      <family val="2"/>
    </font>
    <font>
      <b/>
      <sz val="10"/>
      <color rgb="FF000000"/>
      <name val="Arial"/>
      <family val="2"/>
      <scheme val="minor"/>
    </font>
    <font>
      <sz val="8"/>
      <name val="Arial"/>
      <family val="2"/>
      <scheme val="minor"/>
    </font>
    <font>
      <sz val="10"/>
      <color rgb="FF000000"/>
      <name val="Calibri"/>
    </font>
    <font>
      <b/>
      <sz val="10"/>
      <color rgb="FF000000"/>
      <name val="Calibri"/>
    </font>
    <font>
      <u/>
      <sz val="18"/>
      <color rgb="FF000000"/>
      <name val="Calibri"/>
      <family val="2"/>
    </font>
  </fonts>
  <fills count="6">
    <fill>
      <patternFill patternType="none"/>
    </fill>
    <fill>
      <patternFill patternType="gray125"/>
    </fill>
    <fill>
      <patternFill patternType="solid">
        <fgColor rgb="FFFFFFCC"/>
      </patternFill>
    </fill>
    <fill>
      <patternFill patternType="solid">
        <fgColor rgb="FF1F5A5F"/>
        <bgColor indexed="64"/>
      </patternFill>
    </fill>
    <fill>
      <patternFill patternType="solid">
        <fgColor rgb="FF5DC3CB"/>
        <bgColor indexed="64"/>
      </patternFill>
    </fill>
    <fill>
      <patternFill patternType="solid">
        <fgColor rgb="FF5DC3CB"/>
        <bgColor theme="4" tint="0.79998168889431442"/>
      </patternFill>
    </fill>
  </fills>
  <borders count="21">
    <border>
      <left/>
      <right/>
      <top/>
      <bottom/>
      <diagonal/>
    </border>
    <border>
      <left/>
      <right/>
      <top/>
      <bottom style="thick">
        <color theme="4" tint="0.499984740745262"/>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theme="4" tint="0.39997558519241921"/>
      </left>
      <right/>
      <top style="thin">
        <color theme="4" tint="0.39997558519241921"/>
      </top>
      <bottom style="thin">
        <color theme="4" tint="0.39997558519241921"/>
      </bottom>
      <diagonal/>
    </border>
    <border>
      <left style="thin">
        <color rgb="FFB2B2B2"/>
      </left>
      <right style="thin">
        <color rgb="FFB2B2B2"/>
      </right>
      <top style="thin">
        <color rgb="FFB2B2B2"/>
      </top>
      <bottom style="thin">
        <color rgb="FFB2B2B2"/>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indexed="65"/>
      </top>
      <bottom/>
      <diagonal/>
    </border>
    <border>
      <left/>
      <right style="thin">
        <color rgb="FF999999"/>
      </right>
      <top style="thin">
        <color indexed="65"/>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bottom style="hair">
        <color auto="1"/>
      </bottom>
      <diagonal/>
    </border>
    <border>
      <left/>
      <right/>
      <top style="hair">
        <color auto="1"/>
      </top>
      <bottom style="hair">
        <color auto="1"/>
      </bottom>
      <diagonal/>
    </border>
    <border>
      <left/>
      <right/>
      <top style="hair">
        <color auto="1"/>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top style="thin">
        <color rgb="FF999999"/>
      </top>
      <bottom/>
      <diagonal/>
    </border>
    <border>
      <left/>
      <right/>
      <top style="thin">
        <color indexed="65"/>
      </top>
      <bottom/>
      <diagonal/>
    </border>
    <border>
      <left/>
      <right/>
      <top style="thin">
        <color rgb="FF999999"/>
      </top>
      <bottom style="thin">
        <color rgb="FF999999"/>
      </bottom>
      <diagonal/>
    </border>
  </borders>
  <cellStyleXfs count="5">
    <xf numFmtId="0" fontId="0" fillId="0" borderId="0"/>
    <xf numFmtId="0" fontId="1" fillId="0" borderId="1" applyNumberFormat="0" applyFill="0" applyAlignment="0" applyProtection="0"/>
    <xf numFmtId="9" fontId="3" fillId="0" borderId="0" applyFont="0" applyFill="0" applyBorder="0" applyAlignment="0" applyProtection="0"/>
    <xf numFmtId="0" fontId="6" fillId="0" borderId="0" applyNumberFormat="0" applyFill="0" applyBorder="0" applyAlignment="0" applyProtection="0"/>
    <xf numFmtId="0" fontId="3" fillId="2" borderId="6" applyNumberFormat="0" applyFont="0" applyAlignment="0" applyProtection="0"/>
  </cellStyleXfs>
  <cellXfs count="96">
    <xf numFmtId="0" fontId="0" fillId="0" borderId="0" xfId="0"/>
    <xf numFmtId="0" fontId="0" fillId="3" borderId="0" xfId="0" applyFill="1" applyAlignment="1">
      <alignment horizontal="center"/>
    </xf>
    <xf numFmtId="0" fontId="14" fillId="4" borderId="0" xfId="3" applyFont="1" applyFill="1" applyBorder="1" applyAlignment="1">
      <alignment horizontal="left" indent="7"/>
    </xf>
    <xf numFmtId="0" fontId="7" fillId="4" borderId="0" xfId="3" applyFont="1" applyFill="1" applyBorder="1" applyAlignment="1">
      <alignment horizontal="left" indent="7"/>
    </xf>
    <xf numFmtId="0" fontId="7" fillId="4" borderId="2" xfId="3" applyFont="1" applyFill="1" applyBorder="1" applyAlignment="1">
      <alignment horizontal="left" indent="7"/>
    </xf>
    <xf numFmtId="0" fontId="8" fillId="4" borderId="0" xfId="0" applyFont="1" applyFill="1"/>
    <xf numFmtId="0" fontId="9" fillId="4" borderId="0" xfId="1" applyFont="1" applyFill="1" applyBorder="1" applyAlignment="1">
      <alignment vertical="center"/>
    </xf>
    <xf numFmtId="164" fontId="9" fillId="4" borderId="0" xfId="1" applyNumberFormat="1" applyFont="1" applyFill="1" applyBorder="1" applyAlignment="1">
      <alignment vertical="center"/>
    </xf>
    <xf numFmtId="0" fontId="10" fillId="4" borderId="2" xfId="0" applyFont="1" applyFill="1" applyBorder="1"/>
    <xf numFmtId="164" fontId="8" fillId="4" borderId="2" xfId="0" applyNumberFormat="1" applyFont="1" applyFill="1" applyBorder="1"/>
    <xf numFmtId="164" fontId="8" fillId="4" borderId="0" xfId="0" applyNumberFormat="1" applyFont="1" applyFill="1"/>
    <xf numFmtId="9" fontId="8" fillId="4" borderId="0" xfId="2" applyFont="1" applyFill="1" applyBorder="1"/>
    <xf numFmtId="0" fontId="11" fillId="4" borderId="3" xfId="0" applyFont="1" applyFill="1" applyBorder="1"/>
    <xf numFmtId="164" fontId="11" fillId="4" borderId="3" xfId="0" applyNumberFormat="1" applyFont="1" applyFill="1" applyBorder="1"/>
    <xf numFmtId="164" fontId="8" fillId="4" borderId="3" xfId="0" applyNumberFormat="1" applyFont="1" applyFill="1" applyBorder="1"/>
    <xf numFmtId="0" fontId="10" fillId="4" borderId="3" xfId="0" applyFont="1" applyFill="1" applyBorder="1"/>
    <xf numFmtId="0" fontId="12" fillId="4" borderId="3" xfId="0" applyFont="1" applyFill="1" applyBorder="1"/>
    <xf numFmtId="164" fontId="12" fillId="4" borderId="3" xfId="0" applyNumberFormat="1" applyFont="1" applyFill="1" applyBorder="1"/>
    <xf numFmtId="164" fontId="13" fillId="4" borderId="3" xfId="0" applyNumberFormat="1" applyFont="1" applyFill="1" applyBorder="1"/>
    <xf numFmtId="0" fontId="20" fillId="4" borderId="13" xfId="0" applyFont="1" applyFill="1" applyBorder="1"/>
    <xf numFmtId="0" fontId="19" fillId="4" borderId="14" xfId="0" applyFont="1" applyFill="1" applyBorder="1" applyAlignment="1">
      <alignment horizontal="left"/>
    </xf>
    <xf numFmtId="0" fontId="19" fillId="4" borderId="14" xfId="0" applyNumberFormat="1" applyFont="1" applyFill="1" applyBorder="1"/>
    <xf numFmtId="0" fontId="19" fillId="4" borderId="15" xfId="0" applyFont="1" applyFill="1" applyBorder="1" applyAlignment="1">
      <alignment horizontal="left"/>
    </xf>
    <xf numFmtId="0" fontId="19" fillId="4" borderId="15" xfId="0" applyNumberFormat="1" applyFont="1" applyFill="1" applyBorder="1"/>
    <xf numFmtId="0" fontId="11" fillId="4" borderId="4" xfId="0" applyFont="1" applyFill="1" applyBorder="1"/>
    <xf numFmtId="164" fontId="11" fillId="4" borderId="4" xfId="0" applyNumberFormat="1" applyFont="1" applyFill="1" applyBorder="1"/>
    <xf numFmtId="164" fontId="8" fillId="4" borderId="4" xfId="0" applyNumberFormat="1" applyFont="1" applyFill="1" applyBorder="1"/>
    <xf numFmtId="0" fontId="15" fillId="4" borderId="0" xfId="0" applyFont="1" applyFill="1" applyAlignment="1">
      <alignment horizontal="left" indent="5"/>
    </xf>
    <xf numFmtId="0" fontId="9" fillId="4" borderId="2" xfId="1" applyFont="1" applyFill="1" applyBorder="1" applyAlignment="1">
      <alignment vertical="center"/>
    </xf>
    <xf numFmtId="164" fontId="9" fillId="4" borderId="2" xfId="1" applyNumberFormat="1" applyFont="1" applyFill="1" applyBorder="1" applyAlignment="1">
      <alignment vertical="center"/>
    </xf>
    <xf numFmtId="0" fontId="16" fillId="4" borderId="0" xfId="0" applyFont="1" applyFill="1"/>
    <xf numFmtId="0" fontId="20" fillId="4" borderId="7" xfId="0" applyFont="1" applyFill="1" applyBorder="1"/>
    <xf numFmtId="0" fontId="20" fillId="4" borderId="8" xfId="0" applyFont="1" applyFill="1" applyBorder="1"/>
    <xf numFmtId="0" fontId="19" fillId="4" borderId="7" xfId="0" applyFont="1" applyFill="1" applyBorder="1" applyAlignment="1">
      <alignment horizontal="left"/>
    </xf>
    <xf numFmtId="0" fontId="19" fillId="4" borderId="7" xfId="0" applyNumberFormat="1" applyFont="1" applyFill="1" applyBorder="1"/>
    <xf numFmtId="0" fontId="19" fillId="4" borderId="8" xfId="0" applyNumberFormat="1" applyFont="1" applyFill="1" applyBorder="1"/>
    <xf numFmtId="0" fontId="19" fillId="4" borderId="11" xfId="0" applyFont="1" applyFill="1" applyBorder="1" applyAlignment="1">
      <alignment horizontal="left"/>
    </xf>
    <xf numFmtId="0" fontId="19" fillId="4" borderId="11" xfId="0" applyNumberFormat="1" applyFont="1" applyFill="1" applyBorder="1"/>
    <xf numFmtId="0" fontId="19" fillId="4" borderId="12" xfId="0" applyNumberFormat="1" applyFont="1" applyFill="1" applyBorder="1"/>
    <xf numFmtId="0" fontId="0" fillId="4" borderId="0" xfId="0" applyFill="1"/>
    <xf numFmtId="0" fontId="16" fillId="4" borderId="7" xfId="0" applyFont="1" applyFill="1" applyBorder="1"/>
    <xf numFmtId="0" fontId="16" fillId="4" borderId="8" xfId="0" applyFont="1" applyFill="1" applyBorder="1"/>
    <xf numFmtId="0" fontId="8" fillId="4" borderId="7" xfId="0" applyFont="1" applyFill="1" applyBorder="1" applyAlignment="1">
      <alignment horizontal="left"/>
    </xf>
    <xf numFmtId="0" fontId="8" fillId="4" borderId="7" xfId="0" applyNumberFormat="1" applyFont="1" applyFill="1" applyBorder="1"/>
    <xf numFmtId="0" fontId="8" fillId="4" borderId="8" xfId="0" applyNumberFormat="1" applyFont="1" applyFill="1" applyBorder="1"/>
    <xf numFmtId="0" fontId="8" fillId="4" borderId="9" xfId="0" applyFont="1" applyFill="1" applyBorder="1" applyAlignment="1">
      <alignment horizontal="left"/>
    </xf>
    <xf numFmtId="0" fontId="8" fillId="4" borderId="9" xfId="0" applyNumberFormat="1" applyFont="1" applyFill="1" applyBorder="1"/>
    <xf numFmtId="0" fontId="8" fillId="4" borderId="10" xfId="0" applyNumberFormat="1" applyFont="1" applyFill="1" applyBorder="1"/>
    <xf numFmtId="0" fontId="8" fillId="4" borderId="11" xfId="0" applyFont="1" applyFill="1" applyBorder="1" applyAlignment="1">
      <alignment horizontal="left"/>
    </xf>
    <xf numFmtId="0" fontId="8" fillId="4" borderId="11" xfId="0" applyNumberFormat="1" applyFont="1" applyFill="1" applyBorder="1"/>
    <xf numFmtId="0" fontId="8" fillId="4" borderId="12" xfId="0" applyNumberFormat="1" applyFont="1" applyFill="1" applyBorder="1"/>
    <xf numFmtId="0" fontId="8" fillId="4" borderId="16" xfId="4" applyFont="1" applyFill="1" applyBorder="1" applyAlignment="1">
      <alignment horizontal="left" indent="5"/>
    </xf>
    <xf numFmtId="0" fontId="2" fillId="4" borderId="17" xfId="4" applyFont="1" applyFill="1" applyBorder="1" applyAlignment="1">
      <alignment horizontal="center"/>
    </xf>
    <xf numFmtId="0" fontId="2" fillId="4" borderId="16" xfId="4" applyFont="1" applyFill="1" applyBorder="1" applyAlignment="1">
      <alignment horizontal="center"/>
    </xf>
    <xf numFmtId="0" fontId="4" fillId="5" borderId="5" xfId="0" applyFont="1" applyFill="1" applyBorder="1"/>
    <xf numFmtId="0" fontId="0" fillId="4" borderId="0" xfId="2" applyNumberFormat="1" applyFont="1" applyFill="1"/>
    <xf numFmtId="0" fontId="4" fillId="4" borderId="5" xfId="0" applyFont="1" applyFill="1" applyBorder="1"/>
    <xf numFmtId="0" fontId="0" fillId="4" borderId="6" xfId="4" applyFont="1" applyFill="1" applyAlignment="1">
      <alignment horizontal="center"/>
    </xf>
    <xf numFmtId="0" fontId="17" fillId="4" borderId="7" xfId="0" applyFont="1" applyFill="1" applyBorder="1"/>
    <xf numFmtId="164" fontId="17" fillId="4" borderId="7" xfId="0" applyNumberFormat="1" applyFont="1" applyFill="1" applyBorder="1"/>
    <xf numFmtId="164" fontId="17" fillId="4" borderId="18" xfId="0" applyNumberFormat="1" applyFont="1" applyFill="1" applyBorder="1"/>
    <xf numFmtId="164" fontId="17" fillId="4" borderId="8" xfId="0" applyNumberFormat="1" applyFont="1" applyFill="1" applyBorder="1"/>
    <xf numFmtId="0" fontId="0" fillId="4" borderId="7" xfId="0" applyFill="1" applyBorder="1" applyAlignment="1">
      <alignment horizontal="left"/>
    </xf>
    <xf numFmtId="164" fontId="0" fillId="4" borderId="7" xfId="0" applyNumberFormat="1" applyFill="1" applyBorder="1"/>
    <xf numFmtId="164" fontId="0" fillId="4" borderId="18" xfId="0" applyNumberFormat="1" applyFill="1" applyBorder="1"/>
    <xf numFmtId="164" fontId="0" fillId="4" borderId="8" xfId="0" applyNumberFormat="1" applyFill="1" applyBorder="1"/>
    <xf numFmtId="0" fontId="0" fillId="4" borderId="9" xfId="0" applyFill="1" applyBorder="1" applyAlignment="1">
      <alignment horizontal="left"/>
    </xf>
    <xf numFmtId="164" fontId="0" fillId="4" borderId="9" xfId="0" applyNumberFormat="1" applyFill="1" applyBorder="1"/>
    <xf numFmtId="164" fontId="0" fillId="4" borderId="19" xfId="0" applyNumberFormat="1" applyFill="1" applyBorder="1"/>
    <xf numFmtId="164" fontId="0" fillId="4" borderId="10" xfId="0" applyNumberFormat="1" applyFill="1" applyBorder="1"/>
    <xf numFmtId="0" fontId="17" fillId="4" borderId="11" xfId="0" applyFont="1" applyFill="1" applyBorder="1" applyAlignment="1">
      <alignment horizontal="left"/>
    </xf>
    <xf numFmtId="164" fontId="17" fillId="4" borderId="11" xfId="0" applyNumberFormat="1" applyFont="1" applyFill="1" applyBorder="1"/>
    <xf numFmtId="164" fontId="17" fillId="4" borderId="20" xfId="0" applyNumberFormat="1" applyFont="1" applyFill="1" applyBorder="1"/>
    <xf numFmtId="164" fontId="17" fillId="4" borderId="12" xfId="0" applyNumberFormat="1" applyFont="1" applyFill="1" applyBorder="1"/>
    <xf numFmtId="0" fontId="21" fillId="4" borderId="0" xfId="0" applyFont="1" applyFill="1" applyAlignment="1">
      <alignment horizontal="left" indent="5"/>
    </xf>
    <xf numFmtId="0" fontId="8" fillId="4" borderId="7" xfId="0" applyFont="1" applyFill="1" applyBorder="1"/>
    <xf numFmtId="164" fontId="8" fillId="4" borderId="7" xfId="0" applyNumberFormat="1" applyFont="1" applyFill="1" applyBorder="1"/>
    <xf numFmtId="164" fontId="8" fillId="4" borderId="18" xfId="0" applyNumberFormat="1" applyFont="1" applyFill="1" applyBorder="1"/>
    <xf numFmtId="164" fontId="8" fillId="4" borderId="8" xfId="0" applyNumberFormat="1" applyFont="1" applyFill="1" applyBorder="1"/>
    <xf numFmtId="15" fontId="8" fillId="4" borderId="0" xfId="0" applyNumberFormat="1" applyFont="1" applyFill="1"/>
    <xf numFmtId="14" fontId="8" fillId="4" borderId="7" xfId="0" applyNumberFormat="1" applyFont="1" applyFill="1" applyBorder="1" applyAlignment="1">
      <alignment horizontal="left"/>
    </xf>
    <xf numFmtId="14" fontId="8" fillId="4" borderId="9" xfId="0" applyNumberFormat="1" applyFont="1" applyFill="1" applyBorder="1" applyAlignment="1">
      <alignment horizontal="left"/>
    </xf>
    <xf numFmtId="164" fontId="8" fillId="4" borderId="9" xfId="0" applyNumberFormat="1" applyFont="1" applyFill="1" applyBorder="1"/>
    <xf numFmtId="164" fontId="8" fillId="4" borderId="19" xfId="0" applyNumberFormat="1" applyFont="1" applyFill="1" applyBorder="1"/>
    <xf numFmtId="164" fontId="8" fillId="4" borderId="10" xfId="0" applyNumberFormat="1" applyFont="1" applyFill="1" applyBorder="1"/>
    <xf numFmtId="164" fontId="8" fillId="4" borderId="11" xfId="0" applyNumberFormat="1" applyFont="1" applyFill="1" applyBorder="1"/>
    <xf numFmtId="164" fontId="8" fillId="4" borderId="20" xfId="0" applyNumberFormat="1" applyFont="1" applyFill="1" applyBorder="1"/>
    <xf numFmtId="164" fontId="8" fillId="4" borderId="12" xfId="0" applyNumberFormat="1" applyFont="1" applyFill="1" applyBorder="1"/>
    <xf numFmtId="14" fontId="8" fillId="4" borderId="0" xfId="0" applyNumberFormat="1" applyFont="1" applyFill="1"/>
    <xf numFmtId="0" fontId="16" fillId="4" borderId="18" xfId="0" applyFont="1" applyFill="1" applyBorder="1"/>
    <xf numFmtId="0" fontId="8" fillId="4" borderId="18" xfId="0" applyFont="1" applyFill="1" applyBorder="1" applyAlignment="1">
      <alignment horizontal="left"/>
    </xf>
    <xf numFmtId="0" fontId="8" fillId="4" borderId="19" xfId="0" applyFont="1" applyFill="1" applyBorder="1" applyAlignment="1">
      <alignment horizontal="left"/>
    </xf>
    <xf numFmtId="0" fontId="8" fillId="4" borderId="0" xfId="0" applyFont="1" applyFill="1" applyAlignment="1">
      <alignment horizontal="left"/>
    </xf>
    <xf numFmtId="0" fontId="8" fillId="4" borderId="0" xfId="0" applyNumberFormat="1" applyFont="1" applyFill="1"/>
    <xf numFmtId="10" fontId="8" fillId="4" borderId="0" xfId="0" applyNumberFormat="1" applyFont="1" applyFill="1"/>
    <xf numFmtId="0" fontId="16" fillId="4" borderId="19" xfId="0" applyFont="1" applyFill="1" applyBorder="1" applyAlignment="1">
      <alignment horizontal="left"/>
    </xf>
  </cellXfs>
  <cellStyles count="5">
    <cellStyle name="Heading 2" xfId="1" builtinId="17"/>
    <cellStyle name="Normal" xfId="0" builtinId="0"/>
    <cellStyle name="Note" xfId="4" builtinId="10"/>
    <cellStyle name="Percent" xfId="2" builtinId="5"/>
    <cellStyle name="Title" xfId="3" builtinId="15"/>
  </cellStyles>
  <dxfs count="710">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numFmt numFmtId="14" formatCode="0.00%"/>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numFmt numFmtId="14" formatCode="0.00%"/>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numFmt numFmtId="14" formatCode="0.00%"/>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numFmt numFmtId="14" formatCode="0.00%"/>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numFmt numFmtId="14" formatCode="0.00%"/>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numFmt numFmtId="14" formatCode="0.00%"/>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strike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color rgb="FF000000"/>
        <name val="Calibri"/>
        <family val="2"/>
        <scheme val="none"/>
      </font>
      <fill>
        <patternFill patternType="solid">
          <fgColor indexed="64"/>
          <bgColor rgb="FF5DC3CB"/>
        </patternFill>
      </fill>
      <alignment horizontal="left" vertical="bottom" textRotation="0" wrapText="0" indent="0" justifyLastLine="0" shrinkToFit="0" readingOrder="0"/>
      <border diagonalUp="0" diagonalDown="0" outline="0">
        <left/>
        <right/>
        <top style="thin">
          <color indexed="65"/>
        </top>
        <bottom/>
      </border>
    </dxf>
    <dxf>
      <border outline="0">
        <left style="thin">
          <color rgb="FF999999"/>
        </left>
      </border>
    </dxf>
    <dxf>
      <font>
        <strike val="0"/>
        <outline val="0"/>
        <shadow val="0"/>
        <u val="none"/>
        <vertAlign val="baseline"/>
        <sz val="10"/>
        <color rgb="FF000000"/>
        <name val="Calibri"/>
        <family val="2"/>
        <scheme val="none"/>
      </font>
      <fill>
        <patternFill patternType="solid">
          <fgColor indexed="64"/>
          <bgColor rgb="FF5DC3CB"/>
        </patternFill>
      </fill>
    </dxf>
    <dxf>
      <font>
        <b/>
        <strike val="0"/>
        <outline val="0"/>
        <shadow val="0"/>
        <u val="none"/>
        <vertAlign val="baseline"/>
        <sz val="10"/>
        <color rgb="FF000000"/>
        <name val="Calibri"/>
        <family val="2"/>
        <scheme val="none"/>
      </font>
      <fill>
        <patternFill patternType="solid">
          <fgColor indexed="64"/>
          <bgColor rgb="FF5DC3CB"/>
        </patternFill>
      </fill>
    </dxf>
    <dxf>
      <font>
        <color rgb="FF9C0006"/>
      </font>
      <fill>
        <patternFill>
          <bgColor rgb="FFFFC7CE"/>
        </patternFill>
      </fill>
    </dxf>
    <dxf>
      <font>
        <color rgb="FF9C0006"/>
      </font>
      <fill>
        <patternFill>
          <bgColor rgb="FFFFC7CE"/>
        </patternFill>
      </fill>
    </dxf>
    <dxf>
      <numFmt numFmtId="14" formatCode="0.00%"/>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numFmt numFmtId="19" formatCode="dd/mm/yyyy"/>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ill>
        <patternFill patternType="solid">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numFmt numFmtId="19" formatCode="dd/mm/yyyy"/>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ill>
        <patternFill patternType="solid">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numFmt numFmtId="19" formatCode="dd/mm/yyyy"/>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numFmt numFmtId="19" formatCode="dd/mm/yyyy"/>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numFmt numFmtId="19" formatCode="dd/mm/yyyy"/>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numFmt numFmtId="19" formatCode="dd/mm/yyyy"/>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numFmt numFmtId="19" formatCode="dd/mm/yyyy"/>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numFmt numFmtId="164" formatCode="&quot;Ksh&quot;#,##0.00"/>
      <fill>
        <patternFill>
          <fgColor indexed="64"/>
          <bgColor rgb="FF5DC3CB"/>
        </patternFill>
      </fill>
    </dxf>
    <dxf>
      <font>
        <strike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color rgb="FF000000"/>
        <name val="Calibri"/>
        <family val="2"/>
        <scheme val="none"/>
      </font>
      <numFmt numFmtId="19" formatCode="dd/mm/yyyy"/>
      <fill>
        <patternFill>
          <fgColor indexed="64"/>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strike val="0"/>
        <outline val="0"/>
        <shadow val="0"/>
        <vertAlign val="baseline"/>
        <color rgb="FF000000"/>
        <name val="Calibri"/>
        <family val="2"/>
        <scheme val="none"/>
      </font>
      <fill>
        <patternFill>
          <fgColor indexed="64"/>
          <bgColor rgb="FF5DC3CB"/>
        </patternFill>
      </fill>
    </dxf>
    <dxf>
      <font>
        <b val="0"/>
        <i val="0"/>
        <strike val="0"/>
        <condense val="0"/>
        <extend val="0"/>
        <outline val="0"/>
        <shadow val="0"/>
        <u val="none"/>
        <vertAlign val="baseline"/>
        <sz val="10"/>
        <color rgb="FF000000"/>
        <name val="Calibri"/>
        <family val="2"/>
        <scheme val="none"/>
      </font>
      <fill>
        <patternFill patternType="solid">
          <fgColor indexed="64"/>
          <bgColor rgb="FF5DC3CB"/>
        </patternFill>
      </fill>
    </dxf>
    <dxf>
      <font>
        <strike val="0"/>
        <outline val="0"/>
        <shadow val="0"/>
        <vertAlign val="baseline"/>
        <color rgb="FF000000"/>
        <name val="Calibri"/>
        <family val="2"/>
        <scheme val="none"/>
      </font>
      <fill>
        <patternFill>
          <fgColor indexed="64"/>
          <bgColor rgb="FF5DC3CB"/>
        </patternFill>
      </fill>
    </dxf>
    <dxf>
      <font>
        <strike val="0"/>
        <outline val="0"/>
        <shadow val="0"/>
        <vertAlign val="baseline"/>
        <color rgb="FF000000"/>
        <name val="Calibri"/>
        <family val="2"/>
        <scheme val="none"/>
      </font>
      <fill>
        <patternFill>
          <fgColor indexed="64"/>
          <bgColor rgb="FF5DC3CB"/>
        </patternFill>
      </fill>
    </dxf>
    <dxf>
      <font>
        <strike val="0"/>
        <outline val="0"/>
        <shadow val="0"/>
        <vertAlign val="baseline"/>
        <color rgb="FF000000"/>
        <name val="Calibri"/>
        <family val="2"/>
        <scheme val="none"/>
      </font>
      <fill>
        <patternFill>
          <fgColor indexed="64"/>
          <bgColor rgb="FF5DC3CB"/>
        </patternFill>
      </fill>
    </dxf>
    <dxf>
      <font>
        <strike val="0"/>
        <outline val="0"/>
        <shadow val="0"/>
        <vertAlign val="baseline"/>
        <color rgb="FF000000"/>
        <name val="Calibri"/>
        <family val="2"/>
        <scheme val="none"/>
      </font>
      <fill>
        <patternFill>
          <fgColor indexed="64"/>
          <bgColor rgb="FF5DC3CB"/>
        </patternFill>
      </fill>
    </dxf>
    <dxf>
      <font>
        <strike val="0"/>
        <outline val="0"/>
        <shadow val="0"/>
        <vertAlign val="baseline"/>
        <color rgb="FF000000"/>
        <name val="Calibri"/>
        <family val="2"/>
        <scheme val="none"/>
      </font>
      <numFmt numFmtId="164" formatCode="&quot;Ksh&quot;#,##0.00"/>
      <fill>
        <patternFill>
          <fgColor indexed="64"/>
          <bgColor rgb="FF5DC3CB"/>
        </patternFill>
      </fill>
    </dxf>
    <dxf>
      <font>
        <strike val="0"/>
        <outline val="0"/>
        <shadow val="0"/>
        <vertAlign val="baseline"/>
        <color rgb="FF000000"/>
        <name val="Calibri"/>
        <family val="2"/>
        <scheme val="none"/>
      </font>
      <numFmt numFmtId="164" formatCode="&quot;Ksh&quot;#,##0.00"/>
      <fill>
        <patternFill>
          <fgColor indexed="64"/>
          <bgColor rgb="FF5DC3CB"/>
        </patternFill>
      </fill>
    </dxf>
    <dxf>
      <font>
        <strike val="0"/>
        <outline val="0"/>
        <shadow val="0"/>
        <vertAlign val="baseline"/>
        <color rgb="FF000000"/>
        <name val="Calibri"/>
        <family val="2"/>
        <scheme val="none"/>
      </font>
      <numFmt numFmtId="164" formatCode="&quot;Ksh&quot;#,##0.00"/>
      <fill>
        <patternFill>
          <fgColor indexed="64"/>
          <bgColor rgb="FF5DC3CB"/>
        </patternFill>
      </fill>
    </dxf>
    <dxf>
      <font>
        <strike val="0"/>
        <outline val="0"/>
        <shadow val="0"/>
        <vertAlign val="baseline"/>
        <color rgb="FF000000"/>
        <name val="Calibri"/>
        <family val="2"/>
        <scheme val="none"/>
      </font>
      <numFmt numFmtId="164" formatCode="&quot;Ksh&quot;#,##0.00"/>
      <fill>
        <patternFill>
          <fgColor indexed="64"/>
          <bgColor rgb="FF5DC3CB"/>
        </patternFill>
      </fill>
    </dxf>
    <dxf>
      <font>
        <b val="0"/>
        <i val="0"/>
        <strike val="0"/>
        <condense val="0"/>
        <extend val="0"/>
        <outline val="0"/>
        <shadow val="0"/>
        <u val="none"/>
        <vertAlign val="baseline"/>
        <sz val="10"/>
        <color rgb="FF000000"/>
        <name val="Calibri"/>
        <family val="2"/>
        <scheme val="none"/>
      </font>
      <fill>
        <patternFill>
          <fgColor indexed="64"/>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patternType="solid">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b val="0"/>
        <i val="0"/>
        <strike val="0"/>
        <condense val="0"/>
        <extend val="0"/>
        <outline val="0"/>
        <shadow val="0"/>
        <u val="none"/>
        <vertAlign val="baseline"/>
        <sz val="10"/>
        <color theme="1"/>
        <name val="Arial"/>
        <family val="2"/>
        <scheme val="minor"/>
      </font>
      <fill>
        <patternFill>
          <bgColor rgb="FF5DC3CB"/>
        </patternFill>
      </fill>
      <border diagonalUp="0" diagonalDown="0" outline="0">
        <left style="thin">
          <color theme="4" tint="0.39997558519241921"/>
        </left>
        <right/>
        <top style="thin">
          <color theme="4" tint="0.39997558519241921"/>
        </top>
        <bottom style="thin">
          <color theme="4" tint="0.3999755851924192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b val="0"/>
        <i val="0"/>
        <strike val="0"/>
        <condense val="0"/>
        <extend val="0"/>
        <outline val="0"/>
        <shadow val="0"/>
        <u val="none"/>
        <vertAlign val="baseline"/>
        <sz val="10"/>
        <color theme="1"/>
        <name val="Arial"/>
        <family val="2"/>
        <scheme val="minor"/>
      </font>
      <fill>
        <patternFill>
          <bgColor rgb="FF5DC3CB"/>
        </patternFill>
      </fill>
      <border diagonalUp="0" diagonalDown="0" outline="0">
        <left style="thin">
          <color theme="4" tint="0.39997558519241921"/>
        </left>
        <right/>
        <top style="thin">
          <color theme="4" tint="0.39997558519241921"/>
        </top>
        <bottom style="thin">
          <color theme="4" tint="0.3999755851924192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b val="0"/>
        <i val="0"/>
        <strike val="0"/>
        <condense val="0"/>
        <extend val="0"/>
        <outline val="0"/>
        <shadow val="0"/>
        <u val="none"/>
        <vertAlign val="baseline"/>
        <sz val="10"/>
        <color theme="1"/>
        <name val="Arial"/>
        <family val="2"/>
        <scheme val="minor"/>
      </font>
      <fill>
        <patternFill>
          <bgColor rgb="FF5DC3CB"/>
        </patternFill>
      </fill>
      <border diagonalUp="0" diagonalDown="0" outline="0">
        <left style="thin">
          <color theme="4" tint="0.39997558519241921"/>
        </left>
        <right/>
        <top style="thin">
          <color theme="4" tint="0.39997558519241921"/>
        </top>
        <bottom style="thin">
          <color theme="4" tint="0.3999755851924192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strike val="0"/>
        <outline val="0"/>
        <shadow val="0"/>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vertAlign val="baseline"/>
        <sz val="10"/>
        <name val="Calibri"/>
        <family val="2"/>
        <scheme val="none"/>
      </font>
      <fill>
        <patternFill>
          <fgColor indexed="64"/>
          <bgColor rgb="FF5DC3CB"/>
        </patternFill>
      </fill>
    </dxf>
    <dxf>
      <font>
        <strike val="0"/>
        <outline val="0"/>
        <shadow val="0"/>
        <vertAlign val="baseline"/>
        <sz val="10"/>
        <name val="Calibri"/>
        <family val="2"/>
        <scheme val="none"/>
      </font>
      <numFmt numFmtId="164" formatCode="&quot;Ksh&quot;#,##0.00"/>
      <fill>
        <patternFill>
          <fgColor indexed="64"/>
          <bgColor rgb="FF5DC3CB"/>
        </patternFill>
      </fill>
    </dxf>
    <dxf>
      <font>
        <strike val="0"/>
        <outline val="0"/>
        <shadow val="0"/>
        <vertAlign val="baseline"/>
        <sz val="10"/>
        <name val="Calibri"/>
        <family val="2"/>
        <scheme val="none"/>
      </font>
      <numFmt numFmtId="164" formatCode="&quot;Ksh&quot;#,##0.00"/>
      <fill>
        <patternFill>
          <fgColor indexed="64"/>
          <bgColor rgb="FF5DC3CB"/>
        </patternFill>
      </fill>
    </dxf>
    <dxf>
      <font>
        <b val="0"/>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theme="3"/>
        <name val="Calibri"/>
        <family val="2"/>
        <scheme val="none"/>
      </font>
      <fill>
        <patternFill patternType="solid">
          <fgColor indexed="64"/>
          <bgColor rgb="FF5DC3CB"/>
        </patternFill>
      </fill>
      <alignment horizontal="general" vertical="center" textRotation="0" wrapText="0" indent="0" justifyLastLine="0" shrinkToFit="0" readingOrder="0"/>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fill>
        <patternFill>
          <fgColor indexed="64"/>
          <bgColor rgb="FF5DC3CB"/>
        </patternFill>
      </fill>
      <border diagonalUp="0" diagonalDown="0" outline="0">
        <left/>
        <right/>
        <top style="thin">
          <color auto="1"/>
        </top>
        <bottom style="thin">
          <color auto="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b val="0"/>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theme="3"/>
        <name val="Calibri"/>
        <family val="2"/>
        <scheme val="none"/>
      </font>
      <fill>
        <patternFill patternType="solid">
          <fgColor indexed="64"/>
          <bgColor rgb="FF5DC3CB"/>
        </patternFill>
      </fill>
      <alignment horizontal="general" vertical="center" textRotation="0" wrapText="0" indent="0" justifyLastLine="0" shrinkToFit="0" readingOrder="0"/>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fill>
        <patternFill>
          <fgColor indexed="64"/>
          <bgColor rgb="FF5DC3CB"/>
        </patternFill>
      </fill>
      <border diagonalUp="0" diagonalDown="0" outline="0">
        <left/>
        <right/>
        <top style="thin">
          <color auto="1"/>
        </top>
        <bottom style="thin">
          <color auto="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b val="0"/>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theme="3"/>
        <name val="Calibri"/>
        <family val="2"/>
        <scheme val="none"/>
      </font>
      <fill>
        <patternFill patternType="solid">
          <fgColor indexed="64"/>
          <bgColor rgb="FF5DC3CB"/>
        </patternFill>
      </fill>
      <alignment horizontal="general" vertical="center" textRotation="0" wrapText="0" indent="0" justifyLastLine="0" shrinkToFit="0" readingOrder="0"/>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fill>
        <patternFill>
          <fgColor indexed="64"/>
          <bgColor rgb="FF5DC3CB"/>
        </patternFill>
      </fill>
      <border diagonalUp="0" diagonalDown="0" outline="0">
        <left/>
        <right/>
        <top style="thin">
          <color auto="1"/>
        </top>
        <bottom style="thin">
          <color auto="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b val="0"/>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theme="3"/>
        <name val="Calibri"/>
        <family val="2"/>
        <scheme val="none"/>
      </font>
      <fill>
        <patternFill patternType="solid">
          <fgColor indexed="64"/>
          <bgColor rgb="FF5DC3CB"/>
        </patternFill>
      </fill>
      <alignment horizontal="general" vertical="center" textRotation="0" wrapText="0" indent="0" justifyLastLine="0" shrinkToFit="0" readingOrder="0"/>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fill>
        <patternFill>
          <fgColor indexed="64"/>
          <bgColor rgb="FF5DC3CB"/>
        </patternFill>
      </fill>
      <border diagonalUp="0" diagonalDown="0" outline="0">
        <left/>
        <right/>
        <top style="thin">
          <color auto="1"/>
        </top>
        <bottom style="thin">
          <color auto="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b val="0"/>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theme="3"/>
        <name val="Calibri"/>
        <family val="2"/>
        <scheme val="none"/>
      </font>
      <fill>
        <patternFill patternType="solid">
          <fgColor indexed="64"/>
          <bgColor rgb="FF5DC3CB"/>
        </patternFill>
      </fill>
      <alignment horizontal="general" vertical="center" textRotation="0" wrapText="0" indent="0" justifyLastLine="0" shrinkToFit="0" readingOrder="0"/>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fill>
        <patternFill>
          <fgColor indexed="64"/>
          <bgColor rgb="FF5DC3CB"/>
        </patternFill>
      </fill>
      <border diagonalUp="0" diagonalDown="0" outline="0">
        <left/>
        <right/>
        <top style="thin">
          <color auto="1"/>
        </top>
        <bottom style="thin">
          <color auto="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b val="0"/>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theme="3"/>
        <name val="Calibri"/>
        <family val="2"/>
        <scheme val="none"/>
      </font>
      <fill>
        <patternFill patternType="solid">
          <fgColor indexed="64"/>
          <bgColor rgb="FF5DC3CB"/>
        </patternFill>
      </fill>
      <alignment horizontal="general" vertical="center" textRotation="0" wrapText="0" indent="0" justifyLastLine="0" shrinkToFit="0" readingOrder="0"/>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fill>
        <patternFill>
          <fgColor indexed="64"/>
          <bgColor rgb="FF5DC3CB"/>
        </patternFill>
      </fill>
      <border diagonalUp="0" diagonalDown="0" outline="0">
        <left/>
        <right/>
        <top style="thin">
          <color auto="1"/>
        </top>
        <bottom style="thin">
          <color auto="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b val="0"/>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theme="3"/>
        <name val="Calibri"/>
        <family val="2"/>
        <scheme val="none"/>
      </font>
      <fill>
        <patternFill patternType="solid">
          <fgColor indexed="64"/>
          <bgColor rgb="FF5DC3CB"/>
        </patternFill>
      </fill>
      <alignment horizontal="general" vertical="center" textRotation="0" wrapText="0" indent="0" justifyLastLine="0" shrinkToFit="0" readingOrder="0"/>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fill>
        <patternFill>
          <fgColor indexed="64"/>
          <bgColor rgb="FF5DC3CB"/>
        </patternFill>
      </fill>
      <border diagonalUp="0" diagonalDown="0" outline="0">
        <left/>
        <right/>
        <top style="thin">
          <color auto="1"/>
        </top>
        <bottom style="thin">
          <color auto="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strike val="0"/>
        <outline val="0"/>
        <shadow val="0"/>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rgb="FF000000"/>
        <name val="Calibri"/>
        <family val="2"/>
        <scheme val="none"/>
      </font>
      <fill>
        <patternFill patternType="solid">
          <fgColor indexed="64"/>
          <bgColor rgb="FF5DC3CB"/>
        </patternFill>
      </fill>
    </dxf>
    <dxf>
      <font>
        <strike val="0"/>
        <outline val="0"/>
        <shadow val="0"/>
        <vertAlign val="baseline"/>
        <sz val="10"/>
        <name val="Calibri"/>
        <family val="2"/>
        <scheme val="none"/>
      </font>
      <fill>
        <patternFill>
          <fgColor indexed="64"/>
          <bgColor rgb="FF5DC3CB"/>
        </patternFill>
      </fill>
    </dxf>
    <dxf>
      <font>
        <strike val="0"/>
        <outline val="0"/>
        <shadow val="0"/>
        <vertAlign val="baseline"/>
        <sz val="10"/>
        <name val="Calibri"/>
        <family val="2"/>
        <scheme val="none"/>
      </font>
      <numFmt numFmtId="164" formatCode="&quot;Ksh&quot;#,##0.00"/>
      <fill>
        <patternFill>
          <fgColor indexed="64"/>
          <bgColor rgb="FF5DC3CB"/>
        </patternFill>
      </fill>
    </dxf>
    <dxf>
      <font>
        <strike val="0"/>
        <outline val="0"/>
        <shadow val="0"/>
        <vertAlign val="baseline"/>
        <sz val="10"/>
        <name val="Calibri"/>
        <family val="2"/>
        <scheme val="none"/>
      </font>
      <numFmt numFmtId="164" formatCode="&quot;Ksh&quot;#,##0.00"/>
      <fill>
        <patternFill>
          <fgColor indexed="64"/>
          <bgColor rgb="FF5DC3CB"/>
        </patternFill>
      </fill>
    </dxf>
    <dxf>
      <font>
        <b val="0"/>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theme="3"/>
        <name val="Calibri"/>
        <family val="2"/>
        <scheme val="none"/>
      </font>
      <fill>
        <patternFill patternType="solid">
          <fgColor indexed="64"/>
          <bgColor rgb="FF5DC3CB"/>
        </patternFill>
      </fill>
      <alignment horizontal="general" vertical="center" textRotation="0" wrapText="0" indent="0" justifyLastLine="0" shrinkToFit="0" readingOrder="0"/>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fill>
        <patternFill>
          <fgColor indexed="64"/>
          <bgColor rgb="FF5DC3CB"/>
        </patternFill>
      </fill>
      <border diagonalUp="0" diagonalDown="0" outline="0">
        <left/>
        <right/>
        <top style="thin">
          <color auto="1"/>
        </top>
        <bottom style="thin">
          <color auto="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b val="0"/>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theme="3"/>
        <name val="Calibri"/>
        <family val="2"/>
        <scheme val="none"/>
      </font>
      <fill>
        <patternFill patternType="solid">
          <fgColor indexed="64"/>
          <bgColor rgb="FF5DC3CB"/>
        </patternFill>
      </fill>
      <alignment horizontal="general" vertical="center" textRotation="0" wrapText="0" indent="0" justifyLastLine="0" shrinkToFit="0" readingOrder="0"/>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fill>
        <patternFill>
          <fgColor indexed="64"/>
          <bgColor rgb="FF5DC3CB"/>
        </patternFill>
      </fill>
      <border diagonalUp="0" diagonalDown="0" outline="0">
        <left/>
        <right/>
        <top style="thin">
          <color auto="1"/>
        </top>
        <bottom style="thin">
          <color auto="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b val="0"/>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theme="3"/>
        <name val="Calibri"/>
        <family val="2"/>
        <scheme val="none"/>
      </font>
      <fill>
        <patternFill patternType="solid">
          <fgColor indexed="64"/>
          <bgColor rgb="FF5DC3CB"/>
        </patternFill>
      </fill>
      <alignment horizontal="general" vertical="center" textRotation="0" wrapText="0" indent="0" justifyLastLine="0" shrinkToFit="0" readingOrder="0"/>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fill>
        <patternFill>
          <fgColor indexed="64"/>
          <bgColor rgb="FF5DC3CB"/>
        </patternFill>
      </fill>
      <border diagonalUp="0" diagonalDown="0" outline="0">
        <left/>
        <right/>
        <top style="thin">
          <color auto="1"/>
        </top>
        <bottom style="thin">
          <color auto="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strike val="0"/>
        <outline val="0"/>
        <shadow val="0"/>
        <u val="none"/>
        <vertAlign val="baseline"/>
        <sz val="10"/>
        <name val="Calibri"/>
        <family val="2"/>
        <scheme val="none"/>
      </font>
      <numFmt numFmtId="164" formatCode="&quot;Ksh&quot;#,##0.00"/>
      <fill>
        <patternFill>
          <fgColor indexed="64"/>
          <bgColor rgb="FF5DC3CB"/>
        </patternFill>
      </fill>
    </dxf>
    <dxf>
      <font>
        <b val="0"/>
        <i val="0"/>
        <strike val="0"/>
        <condense val="0"/>
        <extend val="0"/>
        <outline val="0"/>
        <shadow val="0"/>
        <u val="none"/>
        <vertAlign val="baseline"/>
        <sz val="10"/>
        <color rgb="FF00000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strike val="0"/>
        <outline val="0"/>
        <shadow val="0"/>
        <u val="none"/>
        <vertAlign val="baseline"/>
        <sz val="10"/>
        <name val="Calibri"/>
        <family val="2"/>
        <scheme val="none"/>
      </font>
      <fill>
        <patternFill>
          <fgColor indexed="64"/>
          <bgColor rgb="FF5DC3CB"/>
        </patternFill>
      </fill>
    </dxf>
    <dxf>
      <font>
        <b/>
        <i val="0"/>
        <strike val="0"/>
        <condense val="0"/>
        <extend val="0"/>
        <outline val="0"/>
        <shadow val="0"/>
        <u val="none"/>
        <vertAlign val="baseline"/>
        <sz val="10"/>
        <color theme="3"/>
        <name val="Calibri"/>
        <family val="2"/>
        <scheme val="none"/>
      </font>
      <fill>
        <patternFill patternType="solid">
          <fgColor indexed="64"/>
          <bgColor rgb="FF5DC3CB"/>
        </patternFill>
      </fill>
      <alignment horizontal="general" vertical="center" textRotation="0" wrapText="0" indent="0" justifyLastLine="0" shrinkToFit="0" readingOrder="0"/>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strike val="0"/>
        <outline val="0"/>
        <shadow val="0"/>
        <u val="none"/>
        <vertAlign val="baseline"/>
        <sz val="10"/>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numFmt numFmtId="164" formatCode="&quot;Ksh&quot;#,##0.00"/>
      <fill>
        <patternFill>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fill>
        <patternFill>
          <fgColor indexed="64"/>
          <bgColor rgb="FF5DC3CB"/>
        </patternFill>
      </fill>
      <border diagonalUp="0" diagonalDown="0" outline="0">
        <left/>
        <right/>
        <top style="thin">
          <color auto="1"/>
        </top>
        <bottom style="thin">
          <color auto="1"/>
        </bottom>
      </border>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ill>
        <patternFill>
          <bgColor rgb="FF5DC3CB"/>
        </patternFill>
      </fill>
    </dxf>
    <dxf>
      <font>
        <strike val="0"/>
        <outline val="0"/>
        <shadow val="0"/>
        <u val="none"/>
        <vertAlign val="baseline"/>
        <sz val="10"/>
        <name val="Calibri"/>
        <family val="2"/>
        <scheme val="none"/>
      </font>
      <fill>
        <patternFill patternType="solid">
          <fgColor indexed="64"/>
          <bgColor rgb="FF5DC3CB"/>
        </patternFill>
      </fill>
    </dxf>
    <dxf>
      <font>
        <b val="0"/>
        <i val="0"/>
        <strike val="0"/>
        <condense val="0"/>
        <extend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name val="Calibri"/>
        <family val="2"/>
        <scheme val="none"/>
      </font>
      <fill>
        <patternFill patternType="solid">
          <fgColor indexed="64"/>
          <bgColor rgb="FF5DC3CB"/>
        </patternFill>
      </fill>
    </dxf>
    <dxf>
      <font>
        <strike val="0"/>
        <outline val="0"/>
        <shadow val="0"/>
        <u val="none"/>
        <vertAlign val="baseline"/>
        <sz val="10"/>
        <name val="Calibri"/>
        <family val="2"/>
        <scheme val="none"/>
      </font>
      <numFmt numFmtId="164" formatCode="&quot;Ksh&quot;#,##0.00"/>
      <fill>
        <patternFill patternType="solid">
          <fgColor indexed="64"/>
          <bgColor rgb="FF5DC3CB"/>
        </patternFill>
      </fill>
    </dxf>
    <dxf>
      <font>
        <strike val="0"/>
        <outline val="0"/>
        <shadow val="0"/>
        <u val="none"/>
        <vertAlign val="baseline"/>
        <sz val="10"/>
        <name val="Calibri"/>
        <family val="2"/>
        <scheme val="none"/>
      </font>
      <numFmt numFmtId="164" formatCode="&quot;Ksh&quot;#,##0.00"/>
      <fill>
        <patternFill patternType="solid">
          <fgColor indexed="64"/>
          <bgColor rgb="FF5DC3CB"/>
        </patternFill>
      </fill>
    </dxf>
    <dxf>
      <font>
        <b val="0"/>
        <i val="0"/>
        <strike val="0"/>
        <condense val="0"/>
        <extend val="0"/>
        <outline val="0"/>
        <shadow val="0"/>
        <u val="none"/>
        <vertAlign val="baseline"/>
        <sz val="10"/>
        <color rgb="FF000000"/>
        <name val="Calibri"/>
        <family val="2"/>
        <scheme val="none"/>
      </font>
      <fill>
        <patternFill patternType="solid">
          <fgColor indexed="64"/>
          <bgColor rgb="FF5DC3CB"/>
        </patternFill>
      </fill>
    </dxf>
    <dxf>
      <font>
        <strike val="0"/>
        <outline val="0"/>
        <shadow val="0"/>
        <u val="none"/>
        <vertAlign val="baseline"/>
        <sz val="10"/>
        <name val="Calibri"/>
        <family val="2"/>
        <scheme val="none"/>
      </font>
      <fill>
        <patternFill patternType="solid">
          <fgColor indexed="64"/>
          <bgColor rgb="FF5DC3CB"/>
        </patternFill>
      </fill>
    </dxf>
    <dxf>
      <font>
        <strike val="0"/>
        <outline val="0"/>
        <shadow val="0"/>
        <u val="none"/>
        <vertAlign val="baseline"/>
        <sz val="10"/>
        <name val="Calibri"/>
        <family val="2"/>
        <scheme val="none"/>
      </font>
      <fill>
        <patternFill patternType="solid">
          <fgColor indexed="64"/>
          <bgColor rgb="FF5DC3CB"/>
        </patternFill>
      </fill>
    </dxf>
    <dxf>
      <font>
        <b/>
        <i val="0"/>
        <strike val="0"/>
        <condense val="0"/>
        <extend val="0"/>
        <outline val="0"/>
        <shadow val="0"/>
        <u val="none"/>
        <vertAlign val="baseline"/>
        <sz val="10"/>
        <color theme="3"/>
        <name val="Calibri"/>
        <family val="2"/>
        <scheme val="none"/>
      </font>
      <fill>
        <patternFill patternType="solid">
          <fgColor indexed="64"/>
          <bgColor rgb="FF5DC3CB"/>
        </patternFill>
      </fill>
      <alignment horizontal="general" vertical="center" textRotation="0" wrapText="0" indent="0" justifyLastLine="0" shrinkToFit="0" readingOrder="0"/>
    </dxf>
    <dxf>
      <font>
        <strike val="0"/>
        <outline val="0"/>
        <shadow val="0"/>
        <u val="none"/>
        <vertAlign val="baseline"/>
        <sz val="10"/>
        <name val="Calibri"/>
        <family val="2"/>
        <scheme val="none"/>
      </font>
      <numFmt numFmtId="164" formatCode="&quot;Ksh&quot;#,##0.00"/>
      <fill>
        <patternFill patternType="solid">
          <fgColor indexed="64"/>
          <bgColor rgb="FF5DC3CB"/>
        </patternFill>
      </fill>
      <border diagonalUp="0" diagonalDown="0" outline="0">
        <left/>
        <right/>
        <top style="thin">
          <color auto="1"/>
        </top>
        <bottom style="thin">
          <color auto="1"/>
        </bottom>
      </border>
    </dxf>
    <dxf>
      <font>
        <strike val="0"/>
        <outline val="0"/>
        <shadow val="0"/>
        <u val="none"/>
        <vertAlign val="baseline"/>
        <sz val="10"/>
        <name val="Calibri"/>
        <family val="2"/>
        <scheme val="none"/>
      </font>
      <numFmt numFmtId="164" formatCode="&quot;Ksh&quot;#,##0.00"/>
      <fill>
        <patternFill patternType="solid">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numFmt numFmtId="164" formatCode="&quot;Ksh&quot;#,##0.00"/>
      <fill>
        <patternFill patternType="solid">
          <fgColor indexed="64"/>
          <bgColor rgb="FF5DC3CB"/>
        </patternFill>
      </fill>
      <border diagonalUp="0" diagonalDown="0" outline="0">
        <left/>
        <right/>
        <top style="thin">
          <color auto="1"/>
        </top>
        <bottom style="thin">
          <color auto="1"/>
        </bottom>
      </border>
    </dxf>
    <dxf>
      <font>
        <b val="0"/>
        <i val="0"/>
        <strike val="0"/>
        <condense val="0"/>
        <extend val="0"/>
        <outline val="0"/>
        <shadow val="0"/>
        <u val="none"/>
        <vertAlign val="baseline"/>
        <sz val="10"/>
        <color theme="1"/>
        <name val="Calibri"/>
        <family val="2"/>
        <scheme val="none"/>
      </font>
      <fill>
        <patternFill patternType="solid">
          <fgColor indexed="64"/>
          <bgColor rgb="FF5DC3CB"/>
        </patternFill>
      </fill>
      <border diagonalUp="0" diagonalDown="0" outline="0">
        <left/>
        <right/>
        <top style="thin">
          <color auto="1"/>
        </top>
        <bottom style="thin">
          <color auto="1"/>
        </bottom>
      </border>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ill>
        <patternFill patternType="solid">
          <bgColor theme="2" tint="-0.34998626667073579"/>
        </patternFill>
      </fill>
    </dxf>
    <dxf>
      <fill>
        <patternFill patternType="solid">
          <bgColor theme="2" tint="-0.34998626667073579"/>
        </patternFill>
      </fill>
    </dxf>
    <dxf>
      <numFmt numFmtId="164" formatCode="&quot;Ksh&quot;#,##0.00"/>
    </dxf>
    <dxf>
      <font>
        <b/>
        <family val="2"/>
      </font>
    </dxf>
    <dxf>
      <font>
        <b/>
        <family val="2"/>
      </font>
    </dxf>
    <dxf>
      <font>
        <b/>
        <family val="2"/>
      </font>
    </dxf>
    <dxf>
      <numFmt numFmtId="164" formatCode="&quot;Ksh&quot;#,##0.00"/>
    </dxf>
    <dxf>
      <numFmt numFmtId="164" formatCode="&quot;Ksh&quot;#,##0.00"/>
    </dxf>
    <dxf>
      <numFmt numFmtId="164" formatCode="&quot;Ksh&quot;#,##0.00"/>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border diagonalUp="0" diagonalDown="0">
        <left/>
        <right/>
        <top/>
        <bottom/>
      </border>
    </dxf>
    <dxf>
      <border>
        <bottom style="thin">
          <color auto="1"/>
        </bottom>
      </border>
    </dxf>
    <dxf>
      <font>
        <b/>
      </font>
    </dxf>
    <dxf>
      <font>
        <b/>
      </font>
    </dxf>
    <dxf>
      <font>
        <sz val="10"/>
      </font>
    </dxf>
    <dxf>
      <font>
        <sz val="10"/>
      </font>
    </dxf>
    <dxf>
      <font>
        <sz val="10"/>
      </font>
    </dxf>
    <dxf>
      <font>
        <sz val="10"/>
      </font>
    </dxf>
    <dxf>
      <font>
        <sz val="10"/>
      </font>
    </dxf>
    <dxf>
      <font>
        <sz val="10"/>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border diagonalUp="0" diagonalDown="0">
        <left/>
        <right/>
        <top/>
        <bottom/>
      </border>
    </dxf>
    <dxf>
      <border>
        <bottom style="thin">
          <color auto="1"/>
        </bottom>
      </border>
    </dxf>
    <dxf>
      <font>
        <b/>
      </font>
    </dxf>
    <dxf>
      <font>
        <b/>
      </font>
    </dxf>
    <dxf>
      <font>
        <sz val="10"/>
      </font>
    </dxf>
    <dxf>
      <font>
        <sz val="10"/>
      </font>
    </dxf>
    <dxf>
      <font>
        <sz val="10"/>
      </font>
    </dxf>
    <dxf>
      <font>
        <sz val="10"/>
      </font>
    </dxf>
    <dxf>
      <font>
        <sz val="10"/>
      </font>
    </dxf>
    <dxf>
      <font>
        <sz val="10"/>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border diagonalUp="0" diagonalDown="0">
        <left/>
        <right/>
        <top/>
        <bottom/>
      </border>
    </dxf>
    <dxf>
      <border>
        <bottom style="thin">
          <color auto="1"/>
        </bottom>
      </border>
    </dxf>
    <dxf>
      <font>
        <b/>
      </font>
    </dxf>
    <dxf>
      <font>
        <b/>
      </font>
    </dxf>
    <dxf>
      <font>
        <sz val="10"/>
      </font>
    </dxf>
    <dxf>
      <font>
        <sz val="10"/>
      </font>
    </dxf>
    <dxf>
      <font>
        <sz val="10"/>
      </font>
    </dxf>
    <dxf>
      <font>
        <sz val="10"/>
      </font>
    </dxf>
    <dxf>
      <font>
        <sz val="10"/>
      </font>
    </dxf>
    <dxf>
      <font>
        <sz val="10"/>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border diagonalUp="0" diagonalDown="0">
        <left/>
        <right/>
        <top/>
        <bottom/>
      </border>
    </dxf>
    <dxf>
      <border>
        <bottom style="thin">
          <color auto="1"/>
        </bottom>
      </border>
    </dxf>
    <dxf>
      <font>
        <b/>
      </font>
    </dxf>
    <dxf>
      <font>
        <b/>
      </font>
    </dxf>
    <dxf>
      <font>
        <sz val="10"/>
      </font>
    </dxf>
    <dxf>
      <font>
        <sz val="10"/>
      </font>
    </dxf>
    <dxf>
      <font>
        <sz val="10"/>
      </font>
    </dxf>
    <dxf>
      <font>
        <sz val="10"/>
      </font>
    </dxf>
    <dxf>
      <font>
        <sz val="10"/>
      </font>
    </dxf>
    <dxf>
      <font>
        <sz val="10"/>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border diagonalUp="0" diagonalDown="0">
        <left/>
        <right/>
        <top/>
        <bottom/>
      </border>
    </dxf>
    <dxf>
      <border>
        <bottom style="thin">
          <color auto="1"/>
        </bottom>
      </border>
    </dxf>
    <dxf>
      <fill>
        <patternFill patternType="solid">
          <bgColor theme="2" tint="-0.249977111117893"/>
        </patternFill>
      </fill>
    </dxf>
    <dxf>
      <fill>
        <patternFill patternType="solid">
          <bgColor theme="2" tint="-0.249977111117893"/>
        </patternFill>
      </fill>
    </dxf>
    <dxf>
      <font>
        <b/>
      </font>
    </dxf>
    <dxf>
      <font>
        <b/>
      </font>
    </dxf>
    <dxf>
      <font>
        <sz val="10"/>
      </font>
    </dxf>
    <dxf>
      <font>
        <sz val="10"/>
      </font>
    </dxf>
    <dxf>
      <font>
        <sz val="10"/>
      </font>
    </dxf>
    <dxf>
      <font>
        <sz val="10"/>
      </font>
    </dxf>
    <dxf>
      <font>
        <sz val="10"/>
      </font>
    </dxf>
    <dxf>
      <font>
        <sz val="10"/>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border diagonalUp="0" diagonalDown="0">
        <left/>
        <right/>
        <top/>
        <bottom/>
      </border>
    </dxf>
    <dxf>
      <border>
        <bottom style="thin">
          <color auto="1"/>
        </bottom>
      </border>
    </dxf>
    <dxf>
      <font>
        <b/>
      </font>
    </dxf>
    <dxf>
      <font>
        <b/>
      </font>
    </dxf>
    <dxf>
      <fill>
        <patternFill patternType="solid">
          <bgColor theme="2" tint="-0.249977111117893"/>
        </patternFill>
      </fill>
    </dxf>
    <dxf>
      <fill>
        <patternFill patternType="solid">
          <bgColor theme="2" tint="-0.249977111117893"/>
        </patternFill>
      </fill>
    </dxf>
    <dxf>
      <font>
        <sz val="10"/>
      </font>
    </dxf>
    <dxf>
      <font>
        <sz val="10"/>
      </font>
    </dxf>
    <dxf>
      <font>
        <sz val="10"/>
      </font>
    </dxf>
    <dxf>
      <font>
        <sz val="10"/>
      </font>
    </dxf>
    <dxf>
      <font>
        <sz val="10"/>
      </font>
    </dxf>
    <dxf>
      <font>
        <sz val="10"/>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border diagonalUp="0" diagonalDown="0">
        <left/>
        <right/>
        <top/>
        <bottom/>
      </border>
    </dxf>
    <dxf>
      <border>
        <bottom style="thin">
          <color auto="1"/>
        </bottom>
      </border>
    </dxf>
    <dxf>
      <font>
        <b/>
      </font>
    </dxf>
    <dxf>
      <font>
        <b/>
      </font>
    </dxf>
    <dxf>
      <fill>
        <patternFill patternType="solid">
          <bgColor theme="2" tint="-0.249977111117893"/>
        </patternFill>
      </fill>
    </dxf>
    <dxf>
      <fill>
        <patternFill patternType="solid">
          <bgColor theme="2" tint="-0.249977111117893"/>
        </patternFill>
      </fill>
    </dxf>
    <dxf>
      <font>
        <sz val="10"/>
      </font>
    </dxf>
    <dxf>
      <font>
        <sz val="10"/>
      </font>
    </dxf>
    <dxf>
      <font>
        <sz val="10"/>
      </font>
    </dxf>
    <dxf>
      <font>
        <sz val="10"/>
      </font>
    </dxf>
    <dxf>
      <font>
        <sz val="10"/>
      </font>
    </dxf>
    <dxf>
      <font>
        <sz val="10"/>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border diagonalUp="0" diagonalDown="0">
        <left/>
        <right/>
        <top/>
        <bottom/>
      </border>
    </dxf>
    <dxf>
      <border>
        <bottom style="thin">
          <color auto="1"/>
        </bottom>
      </border>
    </dxf>
    <dxf>
      <font>
        <b/>
      </font>
    </dxf>
    <dxf>
      <font>
        <b/>
      </font>
    </dxf>
    <dxf>
      <fill>
        <patternFill patternType="solid">
          <bgColor theme="2" tint="-0.249977111117893"/>
        </patternFill>
      </fill>
    </dxf>
    <dxf>
      <fill>
        <patternFill patternType="solid">
          <bgColor theme="2" tint="-0.249977111117893"/>
        </patternFill>
      </fill>
    </dxf>
    <dxf>
      <font>
        <sz val="10"/>
      </font>
    </dxf>
    <dxf>
      <font>
        <sz val="10"/>
      </font>
    </dxf>
    <dxf>
      <font>
        <sz val="10"/>
      </font>
    </dxf>
    <dxf>
      <font>
        <sz val="10"/>
      </font>
    </dxf>
    <dxf>
      <font>
        <sz val="10"/>
      </font>
    </dxf>
    <dxf>
      <font>
        <sz val="10"/>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border diagonalUp="0" diagonalDown="0">
        <left/>
        <right/>
        <top/>
        <bottom/>
      </border>
    </dxf>
    <dxf>
      <border>
        <bottom style="thin">
          <color auto="1"/>
        </bottom>
      </border>
    </dxf>
    <dxf>
      <font>
        <b/>
      </font>
    </dxf>
    <dxf>
      <font>
        <b/>
      </font>
    </dxf>
    <dxf>
      <fill>
        <patternFill patternType="solid">
          <bgColor theme="2" tint="-0.249977111117893"/>
        </patternFill>
      </fill>
    </dxf>
    <dxf>
      <fill>
        <patternFill patternType="solid">
          <bgColor theme="2" tint="-0.249977111117893"/>
        </patternFill>
      </fill>
    </dxf>
    <dxf>
      <font>
        <sz val="10"/>
      </font>
    </dxf>
    <dxf>
      <font>
        <sz val="10"/>
      </font>
    </dxf>
    <dxf>
      <font>
        <sz val="10"/>
      </font>
    </dxf>
    <dxf>
      <font>
        <sz val="10"/>
      </font>
    </dxf>
    <dxf>
      <font>
        <sz val="10"/>
      </font>
    </dxf>
    <dxf>
      <font>
        <sz val="10"/>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border diagonalUp="0" diagonalDown="0">
        <left/>
        <right/>
        <top/>
        <bottom/>
      </border>
    </dxf>
    <dxf>
      <border>
        <bottom style="thin">
          <color auto="1"/>
        </bottom>
      </border>
    </dxf>
    <dxf>
      <font>
        <b/>
      </font>
    </dxf>
    <dxf>
      <font>
        <b/>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0"/>
      </font>
    </dxf>
    <dxf>
      <font>
        <sz val="10"/>
      </font>
    </dxf>
    <dxf>
      <font>
        <sz val="10"/>
      </font>
    </dxf>
    <dxf>
      <font>
        <sz val="10"/>
      </font>
    </dxf>
    <dxf>
      <font>
        <sz val="10"/>
      </font>
    </dxf>
    <dxf>
      <font>
        <sz val="10"/>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border diagonalUp="0" diagonalDown="0">
        <left/>
        <right/>
        <top/>
        <bottom/>
      </border>
    </dxf>
    <dxf>
      <border>
        <bottom style="thin">
          <color auto="1"/>
        </bottom>
      </border>
    </dxf>
    <dxf>
      <font>
        <b/>
      </font>
    </dxf>
    <dxf>
      <font>
        <b/>
      </font>
    </dxf>
    <dxf>
      <fill>
        <patternFill patternType="solid">
          <bgColor theme="2" tint="-0.249977111117893"/>
        </patternFill>
      </fill>
    </dxf>
    <dxf>
      <fill>
        <patternFill patternType="solid">
          <bgColor theme="2" tint="-0.249977111117893"/>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0"/>
      </font>
    </dxf>
    <dxf>
      <font>
        <sz val="10"/>
      </font>
    </dxf>
    <dxf>
      <font>
        <sz val="10"/>
      </font>
    </dxf>
    <dxf>
      <font>
        <sz val="10"/>
      </font>
    </dxf>
    <dxf>
      <font>
        <sz val="10"/>
      </font>
    </dxf>
    <dxf>
      <font>
        <sz val="10"/>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border>
        <horizontal style="hair">
          <color auto="1"/>
        </horizontal>
      </border>
    </dxf>
    <dxf>
      <border>
        <horizontal style="hair">
          <color auto="1"/>
        </horizontal>
      </border>
    </dxf>
    <dxf>
      <border>
        <horizontal style="hair">
          <color auto="1"/>
        </horizontal>
      </border>
    </dxf>
    <dxf>
      <border>
        <horizontal style="hair">
          <color auto="1"/>
        </horizontal>
      </border>
    </dxf>
    <dxf>
      <border>
        <horizontal style="hair">
          <color auto="1"/>
        </horizontal>
      </border>
    </dxf>
    <dxf>
      <border>
        <horizontal style="hair">
          <color auto="1"/>
        </horizontal>
      </border>
    </dxf>
    <dxf>
      <font>
        <b/>
      </font>
    </dxf>
    <dxf>
      <font>
        <b/>
      </font>
    </dxf>
    <dxf>
      <border>
        <vertical/>
      </border>
    </dxf>
    <dxf>
      <border>
        <vertical/>
      </border>
    </dxf>
    <dxf>
      <border>
        <vertic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2" tint="-0.249977111117893"/>
        </patternFill>
      </fill>
    </dxf>
    <dxf>
      <fill>
        <patternFill patternType="solid">
          <bgColor theme="2" tint="-0.249977111117893"/>
        </patternFill>
      </fill>
    </dxf>
    <dxf>
      <border>
        <left style="thin">
          <color auto="1"/>
        </left>
        <right style="thin">
          <color auto="1"/>
        </right>
        <top style="thin">
          <color auto="1"/>
        </top>
        <bottom style="thin">
          <color auto="1"/>
        </bottom>
        <horizontal style="thin">
          <color auto="1"/>
        </horizontal>
      </border>
    </dxf>
    <dxf>
      <border>
        <left style="thin">
          <color auto="1"/>
        </left>
        <right style="thin">
          <color auto="1"/>
        </right>
        <top style="thin">
          <color auto="1"/>
        </top>
        <bottom style="thin">
          <color auto="1"/>
        </bottom>
        <horizontal style="thin">
          <color auto="1"/>
        </horizontal>
      </border>
    </dxf>
    <dxf>
      <border>
        <left style="thin">
          <color auto="1"/>
        </left>
        <right style="thin">
          <color auto="1"/>
        </right>
        <top style="thin">
          <color auto="1"/>
        </top>
        <bottom style="thin">
          <color auto="1"/>
        </bottom>
        <horizontal style="thin">
          <color auto="1"/>
        </horizontal>
      </border>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0"/>
      </font>
    </dxf>
    <dxf>
      <font>
        <sz val="10"/>
      </font>
    </dxf>
    <dxf>
      <font>
        <sz val="10"/>
      </font>
    </dxf>
    <dxf>
      <font>
        <sz val="10"/>
      </font>
    </dxf>
    <dxf>
      <font>
        <sz val="10"/>
      </font>
    </dxf>
    <dxf>
      <font>
        <sz val="10"/>
      </font>
    </dxf>
  </dxfs>
  <tableStyles count="0" defaultPivotStyle="PivotStyleLight16"/>
  <colors>
    <mruColors>
      <color rgb="FF37A3AB"/>
      <color rgb="FF5DC3CB"/>
      <color rgb="FF1F5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2.xml"/><Relationship Id="rId39" Type="http://schemas.openxmlformats.org/officeDocument/2006/relationships/pivotCacheDefinition" Target="pivotCache/pivotCacheDefinition15.xml"/><Relationship Id="rId21" Type="http://schemas.openxmlformats.org/officeDocument/2006/relationships/worksheet" Target="worksheets/sheet21.xml"/><Relationship Id="rId34" Type="http://schemas.openxmlformats.org/officeDocument/2006/relationships/pivotCacheDefinition" Target="pivotCache/pivotCacheDefinition10.xml"/><Relationship Id="rId42" Type="http://schemas.microsoft.com/office/2007/relationships/slicerCache" Target="slicerCaches/slicerCache3.xml"/><Relationship Id="rId47" Type="http://schemas.microsoft.com/office/2007/relationships/slicerCache" Target="slicerCaches/slicerCache8.xml"/><Relationship Id="rId50" Type="http://schemas.microsoft.com/office/2007/relationships/slicerCache" Target="slicerCaches/slicerCache11.xml"/><Relationship Id="rId55"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5.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8.xml"/><Relationship Id="rId37" Type="http://schemas.openxmlformats.org/officeDocument/2006/relationships/pivotCacheDefinition" Target="pivotCache/pivotCacheDefinition13.xml"/><Relationship Id="rId40" Type="http://schemas.microsoft.com/office/2007/relationships/slicerCache" Target="slicerCaches/slicerCache1.xml"/><Relationship Id="rId45" Type="http://schemas.microsoft.com/office/2007/relationships/slicerCache" Target="slicerCaches/slicerCache6.xml"/><Relationship Id="rId53" Type="http://schemas.microsoft.com/office/2007/relationships/slicerCache" Target="slicerCaches/slicerCache14.xml"/><Relationship Id="rId58"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customXml" Target="../customXml/item3.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3.xml"/><Relationship Id="rId30" Type="http://schemas.openxmlformats.org/officeDocument/2006/relationships/pivotCacheDefinition" Target="pivotCache/pivotCacheDefinition6.xml"/><Relationship Id="rId35" Type="http://schemas.openxmlformats.org/officeDocument/2006/relationships/pivotCacheDefinition" Target="pivotCache/pivotCacheDefinition11.xml"/><Relationship Id="rId43" Type="http://schemas.microsoft.com/office/2007/relationships/slicerCache" Target="slicerCaches/slicerCache4.xml"/><Relationship Id="rId48" Type="http://schemas.microsoft.com/office/2007/relationships/slicerCache" Target="slicerCaches/slicerCache9.xml"/><Relationship Id="rId56" Type="http://schemas.openxmlformats.org/officeDocument/2006/relationships/styles" Target="styles.xml"/><Relationship Id="rId8" Type="http://schemas.openxmlformats.org/officeDocument/2006/relationships/worksheet" Target="worksheets/sheet8.xml"/><Relationship Id="rId51" Type="http://schemas.microsoft.com/office/2007/relationships/slicerCache" Target="slicerCaches/slicerCache1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pivotCacheDefinition" Target="pivotCache/pivotCacheDefinition9.xml"/><Relationship Id="rId38" Type="http://schemas.openxmlformats.org/officeDocument/2006/relationships/pivotCacheDefinition" Target="pivotCache/pivotCacheDefinition14.xml"/><Relationship Id="rId46" Type="http://schemas.microsoft.com/office/2007/relationships/slicerCache" Target="slicerCaches/slicerCache7.xml"/><Relationship Id="rId59" Type="http://schemas.openxmlformats.org/officeDocument/2006/relationships/customXml" Target="../customXml/item1.xml"/><Relationship Id="rId20" Type="http://schemas.openxmlformats.org/officeDocument/2006/relationships/worksheet" Target="worksheets/sheet20.xml"/><Relationship Id="rId41" Type="http://schemas.microsoft.com/office/2007/relationships/slicerCache" Target="slicerCaches/slicerCache2.xml"/><Relationship Id="rId54" Type="http://schemas.openxmlformats.org/officeDocument/2006/relationships/theme" Target="theme/theme1.xml"/><Relationship Id="rId62"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4.xml"/><Relationship Id="rId36" Type="http://schemas.openxmlformats.org/officeDocument/2006/relationships/pivotCacheDefinition" Target="pivotCache/pivotCacheDefinition12.xml"/><Relationship Id="rId49" Type="http://schemas.microsoft.com/office/2007/relationships/slicerCache" Target="slicerCaches/slicerCache10.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pivotCacheDefinition" Target="pivotCache/pivotCacheDefinition7.xml"/><Relationship Id="rId44" Type="http://schemas.microsoft.com/office/2007/relationships/slicerCache" Target="slicerCaches/slicerCache5.xml"/><Relationship Id="rId52" Type="http://schemas.microsoft.com/office/2007/relationships/slicerCache" Target="slicerCaches/slicerCache13.xml"/><Relationship Id="rId6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1.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3.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Expenses.xlsx]Annual!PivotTable3</c:name>
    <c:fmtId val="5"/>
  </c:pivotSource>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US">
                <a:solidFill>
                  <a:schemeClr val="bg2"/>
                </a:solidFill>
              </a:rPr>
              <a:t>Average Monthly Budget and Spending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Annual!$D$29</c:f>
              <c:strCache>
                <c:ptCount val="1"/>
                <c:pt idx="0">
                  <c:v>Sum of Average Actual Spending</c:v>
                </c:pt>
              </c:strCache>
            </c:strRef>
          </c:tx>
          <c:spPr>
            <a:solidFill>
              <a:schemeClr val="accent1"/>
            </a:solidFill>
            <a:ln>
              <a:noFill/>
            </a:ln>
            <a:effectLst/>
          </c:spPr>
          <c:invertIfNegative val="0"/>
          <c:cat>
            <c:strRef>
              <c:f>Annual!$C$30:$C$31</c:f>
              <c:strCache>
                <c:ptCount val="1"/>
                <c:pt idx="0">
                  <c:v>Savings &amp; Investments</c:v>
                </c:pt>
              </c:strCache>
            </c:strRef>
          </c:cat>
          <c:val>
            <c:numRef>
              <c:f>Annual!$D$30:$D$31</c:f>
              <c:numCache>
                <c:formatCode>General</c:formatCode>
                <c:ptCount val="1"/>
                <c:pt idx="0">
                  <c:v>2833.3333333333335</c:v>
                </c:pt>
              </c:numCache>
            </c:numRef>
          </c:val>
          <c:extLst>
            <c:ext xmlns:c16="http://schemas.microsoft.com/office/drawing/2014/chart" uri="{C3380CC4-5D6E-409C-BE32-E72D297353CC}">
              <c16:uniqueId val="{00000000-07C0-492A-91E8-7E5E4CA1C377}"/>
            </c:ext>
          </c:extLst>
        </c:ser>
        <c:ser>
          <c:idx val="1"/>
          <c:order val="1"/>
          <c:tx>
            <c:strRef>
              <c:f>Annual!$E$29</c:f>
              <c:strCache>
                <c:ptCount val="1"/>
                <c:pt idx="0">
                  <c:v>Sum of Average Budget</c:v>
                </c:pt>
              </c:strCache>
            </c:strRef>
          </c:tx>
          <c:spPr>
            <a:solidFill>
              <a:schemeClr val="accent2"/>
            </a:solidFill>
            <a:ln>
              <a:noFill/>
            </a:ln>
            <a:effectLst/>
          </c:spPr>
          <c:invertIfNegative val="0"/>
          <c:cat>
            <c:strRef>
              <c:f>Annual!$C$30:$C$31</c:f>
              <c:strCache>
                <c:ptCount val="1"/>
                <c:pt idx="0">
                  <c:v>Savings &amp; Investments</c:v>
                </c:pt>
              </c:strCache>
            </c:strRef>
          </c:cat>
          <c:val>
            <c:numRef>
              <c:f>Annual!$E$30:$E$31</c:f>
              <c:numCache>
                <c:formatCode>General</c:formatCode>
                <c:ptCount val="1"/>
                <c:pt idx="0">
                  <c:v>2333.3333333333335</c:v>
                </c:pt>
              </c:numCache>
            </c:numRef>
          </c:val>
          <c:extLst>
            <c:ext xmlns:c16="http://schemas.microsoft.com/office/drawing/2014/chart" uri="{C3380CC4-5D6E-409C-BE32-E72D297353CC}">
              <c16:uniqueId val="{00000001-07C0-492A-91E8-7E5E4CA1C377}"/>
            </c:ext>
          </c:extLst>
        </c:ser>
        <c:ser>
          <c:idx val="2"/>
          <c:order val="2"/>
          <c:tx>
            <c:strRef>
              <c:f>Annual!$F$29</c:f>
              <c:strCache>
                <c:ptCount val="1"/>
                <c:pt idx="0">
                  <c:v>Percentage of Budget</c:v>
                </c:pt>
              </c:strCache>
            </c:strRef>
          </c:tx>
          <c:spPr>
            <a:solidFill>
              <a:schemeClr val="accent3"/>
            </a:solidFill>
            <a:ln>
              <a:noFill/>
            </a:ln>
            <a:effectLst/>
          </c:spPr>
          <c:invertIfNegative val="0"/>
          <c:cat>
            <c:strRef>
              <c:f>Annual!$C$30:$C$31</c:f>
              <c:strCache>
                <c:ptCount val="1"/>
                <c:pt idx="0">
                  <c:v>Savings &amp; Investments</c:v>
                </c:pt>
              </c:strCache>
            </c:strRef>
          </c:cat>
          <c:val>
            <c:numRef>
              <c:f>Annual!$F$30:$F$31</c:f>
              <c:numCache>
                <c:formatCode>0.00%</c:formatCode>
                <c:ptCount val="1"/>
                <c:pt idx="0">
                  <c:v>1</c:v>
                </c:pt>
              </c:numCache>
            </c:numRef>
          </c:val>
          <c:extLst>
            <c:ext xmlns:c16="http://schemas.microsoft.com/office/drawing/2014/chart" uri="{C3380CC4-5D6E-409C-BE32-E72D297353CC}">
              <c16:uniqueId val="{00000002-07C0-492A-91E8-7E5E4CA1C377}"/>
            </c:ext>
          </c:extLst>
        </c:ser>
        <c:ser>
          <c:idx val="3"/>
          <c:order val="3"/>
          <c:tx>
            <c:strRef>
              <c:f>Annual!$G$29</c:f>
              <c:strCache>
                <c:ptCount val="1"/>
                <c:pt idx="0">
                  <c:v>Sum of Average Difference</c:v>
                </c:pt>
              </c:strCache>
            </c:strRef>
          </c:tx>
          <c:spPr>
            <a:solidFill>
              <a:schemeClr val="accent4"/>
            </a:solidFill>
            <a:ln>
              <a:noFill/>
            </a:ln>
            <a:effectLst/>
          </c:spPr>
          <c:invertIfNegative val="0"/>
          <c:cat>
            <c:strRef>
              <c:f>Annual!$C$30:$C$31</c:f>
              <c:strCache>
                <c:ptCount val="1"/>
                <c:pt idx="0">
                  <c:v>Savings &amp; Investments</c:v>
                </c:pt>
              </c:strCache>
            </c:strRef>
          </c:cat>
          <c:val>
            <c:numRef>
              <c:f>Annual!$G$30:$G$31</c:f>
              <c:numCache>
                <c:formatCode>General</c:formatCode>
                <c:ptCount val="1"/>
                <c:pt idx="0">
                  <c:v>500</c:v>
                </c:pt>
              </c:numCache>
            </c:numRef>
          </c:val>
          <c:extLst>
            <c:ext xmlns:c16="http://schemas.microsoft.com/office/drawing/2014/chart" uri="{C3380CC4-5D6E-409C-BE32-E72D297353CC}">
              <c16:uniqueId val="{00000003-07C0-492A-91E8-7E5E4CA1C377}"/>
            </c:ext>
          </c:extLst>
        </c:ser>
        <c:dLbls>
          <c:showLegendKey val="0"/>
          <c:showVal val="0"/>
          <c:showCatName val="0"/>
          <c:showSerName val="0"/>
          <c:showPercent val="0"/>
          <c:showBubbleSize val="0"/>
        </c:dLbls>
        <c:gapWidth val="150"/>
        <c:overlap val="100"/>
        <c:axId val="1105819023"/>
        <c:axId val="1105799823"/>
      </c:barChart>
      <c:catAx>
        <c:axId val="110581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KE"/>
          </a:p>
        </c:txPr>
        <c:crossAx val="1105799823"/>
        <c:crosses val="autoZero"/>
        <c:auto val="1"/>
        <c:lblAlgn val="ctr"/>
        <c:lblOffset val="100"/>
        <c:noMultiLvlLbl val="0"/>
      </c:catAx>
      <c:valAx>
        <c:axId val="11057998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KE"/>
          </a:p>
        </c:txPr>
        <c:crossAx val="1105819023"/>
        <c:crosses val="autoZero"/>
        <c:crossBetween val="between"/>
      </c:valAx>
      <c:spPr>
        <a:noFill/>
        <a:ln>
          <a:noFill/>
        </a:ln>
        <a:effectLst/>
      </c:spPr>
    </c:plotArea>
    <c:legend>
      <c:legendPos val="r"/>
      <c:layout>
        <c:manualLayout>
          <c:xMode val="edge"/>
          <c:yMode val="edge"/>
          <c:x val="0.64166666666666672"/>
          <c:y val="0.17917322834645669"/>
          <c:w val="0.31988620422024566"/>
          <c:h val="0.488086025462480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lumOff val="25000"/>
      </a:schemeClr>
    </a:solidFill>
    <a:ln w="9525" cap="flat" cmpd="sng" algn="ctr">
      <a:noFill/>
      <a:round/>
    </a:ln>
    <a:effectLst>
      <a:outerShdw blurRad="50800" dist="38100" dir="10800000" algn="r" rotWithShape="0">
        <a:prstClr val="black">
          <a:alpha val="40000"/>
        </a:prstClr>
      </a:outerShdw>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Expenses.xlsx]Dec!PivotTable14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Highest Spending Month</a:t>
            </a:r>
          </a:p>
        </c:rich>
      </c:tx>
      <c:layout>
        <c:manualLayout>
          <c:xMode val="edge"/>
          <c:yMode val="edge"/>
          <c:x val="3.8778161779551332E-2"/>
          <c:y val="0.87485380116959066"/>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7.8830417691001298E-2"/>
          <c:y val="2.8538011695906439E-2"/>
          <c:w val="0.50271493212669682"/>
          <c:h val="0.77964912280701759"/>
        </c:manualLayout>
      </c:layout>
      <c:doughnutChart>
        <c:varyColors val="1"/>
        <c:ser>
          <c:idx val="0"/>
          <c:order val="0"/>
          <c:tx>
            <c:strRef>
              <c:f>Dec!$J$15</c:f>
              <c:strCache>
                <c:ptCount val="1"/>
                <c:pt idx="0">
                  <c:v>Sum of Budget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Dec!$I$16:$I$24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Dec!$J$16:$J$24</c:f>
              <c:numCache>
                <c:formatCode>General</c:formatCode>
                <c:ptCount val="8"/>
                <c:pt idx="0">
                  <c:v>2000</c:v>
                </c:pt>
                <c:pt idx="1">
                  <c:v>5500</c:v>
                </c:pt>
                <c:pt idx="2">
                  <c:v>11250</c:v>
                </c:pt>
                <c:pt idx="3">
                  <c:v>2000</c:v>
                </c:pt>
                <c:pt idx="4">
                  <c:v>38000</c:v>
                </c:pt>
                <c:pt idx="5">
                  <c:v>2000</c:v>
                </c:pt>
                <c:pt idx="6">
                  <c:v>5000</c:v>
                </c:pt>
                <c:pt idx="7">
                  <c:v>3000</c:v>
                </c:pt>
              </c:numCache>
            </c:numRef>
          </c:val>
          <c:extLst>
            <c:ext xmlns:c16="http://schemas.microsoft.com/office/drawing/2014/chart" uri="{C3380CC4-5D6E-409C-BE32-E72D297353CC}">
              <c16:uniqueId val="{00000000-4956-4F79-BB1E-DA812CCA10ED}"/>
            </c:ext>
          </c:extLst>
        </c:ser>
        <c:ser>
          <c:idx val="1"/>
          <c:order val="1"/>
          <c:tx>
            <c:strRef>
              <c:f>Dec!$K$15</c:f>
              <c:strCache>
                <c:ptCount val="1"/>
                <c:pt idx="0">
                  <c:v>Sum of Actual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Dec!$I$16:$I$24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Dec!$K$16:$K$24</c:f>
              <c:numCache>
                <c:formatCode>General</c:formatCode>
                <c:ptCount val="8"/>
                <c:pt idx="0">
                  <c:v>1760</c:v>
                </c:pt>
                <c:pt idx="1">
                  <c:v>6716</c:v>
                </c:pt>
                <c:pt idx="2">
                  <c:v>11250</c:v>
                </c:pt>
                <c:pt idx="3">
                  <c:v>2000</c:v>
                </c:pt>
                <c:pt idx="4">
                  <c:v>29497</c:v>
                </c:pt>
                <c:pt idx="5">
                  <c:v>3000</c:v>
                </c:pt>
                <c:pt idx="6">
                  <c:v>5000</c:v>
                </c:pt>
                <c:pt idx="7">
                  <c:v>2700</c:v>
                </c:pt>
              </c:numCache>
            </c:numRef>
          </c:val>
          <c:extLst>
            <c:ext xmlns:c16="http://schemas.microsoft.com/office/drawing/2014/chart" uri="{C3380CC4-5D6E-409C-BE32-E72D297353CC}">
              <c16:uniqueId val="{00000001-4956-4F79-BB1E-DA812CCA10ED}"/>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manualLayout>
          <c:xMode val="edge"/>
          <c:yMode val="edge"/>
          <c:x val="0.65132599375304334"/>
          <c:y val="3.568117143251829E-2"/>
          <c:w val="0.30627998008869584"/>
          <c:h val="0.596941382327209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Expenses.xlsx]Jan!PivotTable25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Jan!$J$16</c:f>
              <c:strCache>
                <c:ptCount val="1"/>
                <c:pt idx="0">
                  <c:v>Sum of Budget</c:v>
                </c:pt>
              </c:strCache>
            </c:strRef>
          </c:tx>
          <c:spPr>
            <a:solidFill>
              <a:schemeClr val="accent1"/>
            </a:solidFill>
            <a:ln>
              <a:noFill/>
            </a:ln>
            <a:effectLst/>
          </c:spPr>
          <c:invertIfNegative val="0"/>
          <c:cat>
            <c:strRef>
              <c:f>Jan!$I$17:$I$25</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Jan!$J$17:$J$25</c:f>
              <c:numCache>
                <c:formatCode>General</c:formatCode>
                <c:ptCount val="8"/>
                <c:pt idx="0">
                  <c:v>2000</c:v>
                </c:pt>
                <c:pt idx="1">
                  <c:v>5500</c:v>
                </c:pt>
                <c:pt idx="2">
                  <c:v>11250</c:v>
                </c:pt>
                <c:pt idx="3">
                  <c:v>2000</c:v>
                </c:pt>
                <c:pt idx="4">
                  <c:v>7500</c:v>
                </c:pt>
                <c:pt idx="5">
                  <c:v>2000</c:v>
                </c:pt>
                <c:pt idx="6">
                  <c:v>4000</c:v>
                </c:pt>
                <c:pt idx="7">
                  <c:v>3300</c:v>
                </c:pt>
              </c:numCache>
            </c:numRef>
          </c:val>
          <c:extLst>
            <c:ext xmlns:c16="http://schemas.microsoft.com/office/drawing/2014/chart" uri="{C3380CC4-5D6E-409C-BE32-E72D297353CC}">
              <c16:uniqueId val="{00000000-B159-4153-AF60-B3771DFD7930}"/>
            </c:ext>
          </c:extLst>
        </c:ser>
        <c:ser>
          <c:idx val="1"/>
          <c:order val="1"/>
          <c:tx>
            <c:strRef>
              <c:f>Jan!$K$16</c:f>
              <c:strCache>
                <c:ptCount val="1"/>
                <c:pt idx="0">
                  <c:v>Sum of Actual</c:v>
                </c:pt>
              </c:strCache>
            </c:strRef>
          </c:tx>
          <c:spPr>
            <a:solidFill>
              <a:schemeClr val="accent2"/>
            </a:solidFill>
            <a:ln>
              <a:noFill/>
            </a:ln>
            <a:effectLst/>
          </c:spPr>
          <c:invertIfNegative val="0"/>
          <c:cat>
            <c:strRef>
              <c:f>Jan!$I$17:$I$25</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Jan!$K$17:$K$25</c:f>
              <c:numCache>
                <c:formatCode>General</c:formatCode>
                <c:ptCount val="8"/>
                <c:pt idx="0">
                  <c:v>1760</c:v>
                </c:pt>
                <c:pt idx="1">
                  <c:v>6716</c:v>
                </c:pt>
                <c:pt idx="2">
                  <c:v>11451</c:v>
                </c:pt>
                <c:pt idx="3">
                  <c:v>2000</c:v>
                </c:pt>
                <c:pt idx="4">
                  <c:v>9135</c:v>
                </c:pt>
                <c:pt idx="5">
                  <c:v>3000</c:v>
                </c:pt>
                <c:pt idx="6">
                  <c:v>4400</c:v>
                </c:pt>
                <c:pt idx="7">
                  <c:v>3780</c:v>
                </c:pt>
              </c:numCache>
            </c:numRef>
          </c:val>
          <c:extLst>
            <c:ext xmlns:c16="http://schemas.microsoft.com/office/drawing/2014/chart" uri="{C3380CC4-5D6E-409C-BE32-E72D297353CC}">
              <c16:uniqueId val="{00000001-B159-4153-AF60-B3771DFD7930}"/>
            </c:ext>
          </c:extLst>
        </c:ser>
        <c:dLbls>
          <c:showLegendKey val="0"/>
          <c:showVal val="0"/>
          <c:showCatName val="0"/>
          <c:showSerName val="0"/>
          <c:showPercent val="0"/>
          <c:showBubbleSize val="0"/>
        </c:dLbls>
        <c:gapWidth val="219"/>
        <c:overlap val="-27"/>
        <c:axId val="1852278671"/>
        <c:axId val="1944478815"/>
      </c:barChart>
      <c:catAx>
        <c:axId val="1852278671"/>
        <c:scaling>
          <c:orientation val="minMax"/>
        </c:scaling>
        <c:delete val="1"/>
        <c:axPos val="b"/>
        <c:numFmt formatCode="General" sourceLinked="1"/>
        <c:majorTickMark val="none"/>
        <c:minorTickMark val="none"/>
        <c:tickLblPos val="nextTo"/>
        <c:crossAx val="1944478815"/>
        <c:crosses val="autoZero"/>
        <c:auto val="1"/>
        <c:lblAlgn val="ctr"/>
        <c:lblOffset val="100"/>
        <c:noMultiLvlLbl val="0"/>
      </c:catAx>
      <c:valAx>
        <c:axId val="1944478815"/>
        <c:scaling>
          <c:orientation val="minMax"/>
        </c:scaling>
        <c:delete val="1"/>
        <c:axPos val="l"/>
        <c:numFmt formatCode="General" sourceLinked="1"/>
        <c:majorTickMark val="none"/>
        <c:minorTickMark val="none"/>
        <c:tickLblPos val="nextTo"/>
        <c:crossAx val="1852278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Expenses.xlsx]Feb!PivotTable24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Feb!$J$16</c:f>
              <c:strCache>
                <c:ptCount val="1"/>
                <c:pt idx="0">
                  <c:v>Sum of Budget</c:v>
                </c:pt>
              </c:strCache>
            </c:strRef>
          </c:tx>
          <c:spPr>
            <a:solidFill>
              <a:schemeClr val="accent1"/>
            </a:solidFill>
            <a:ln>
              <a:noFill/>
            </a:ln>
            <a:effectLst/>
          </c:spPr>
          <c:invertIfNegative val="0"/>
          <c:cat>
            <c:strRef>
              <c:f>Feb!$I$17:$I$18</c:f>
              <c:strCache>
                <c:ptCount val="1"/>
                <c:pt idx="0">
                  <c:v>Housing</c:v>
                </c:pt>
              </c:strCache>
            </c:strRef>
          </c:cat>
          <c:val>
            <c:numRef>
              <c:f>Feb!$J$17:$J$18</c:f>
              <c:numCache>
                <c:formatCode>General</c:formatCode>
                <c:ptCount val="1"/>
                <c:pt idx="0">
                  <c:v>11450</c:v>
                </c:pt>
              </c:numCache>
            </c:numRef>
          </c:val>
          <c:extLst>
            <c:ext xmlns:c16="http://schemas.microsoft.com/office/drawing/2014/chart" uri="{C3380CC4-5D6E-409C-BE32-E72D297353CC}">
              <c16:uniqueId val="{00000000-E51A-4BEB-9182-E36D1A105443}"/>
            </c:ext>
          </c:extLst>
        </c:ser>
        <c:ser>
          <c:idx val="1"/>
          <c:order val="1"/>
          <c:tx>
            <c:strRef>
              <c:f>Feb!$K$16</c:f>
              <c:strCache>
                <c:ptCount val="1"/>
                <c:pt idx="0">
                  <c:v>Sum of Actual</c:v>
                </c:pt>
              </c:strCache>
            </c:strRef>
          </c:tx>
          <c:spPr>
            <a:solidFill>
              <a:schemeClr val="accent2"/>
            </a:solidFill>
            <a:ln>
              <a:noFill/>
            </a:ln>
            <a:effectLst/>
          </c:spPr>
          <c:invertIfNegative val="0"/>
          <c:cat>
            <c:strRef>
              <c:f>Feb!$I$17:$I$18</c:f>
              <c:strCache>
                <c:ptCount val="1"/>
                <c:pt idx="0">
                  <c:v>Housing</c:v>
                </c:pt>
              </c:strCache>
            </c:strRef>
          </c:cat>
          <c:val>
            <c:numRef>
              <c:f>Feb!$K$17:$K$18</c:f>
              <c:numCache>
                <c:formatCode>General</c:formatCode>
                <c:ptCount val="1"/>
                <c:pt idx="0">
                  <c:v>11250</c:v>
                </c:pt>
              </c:numCache>
            </c:numRef>
          </c:val>
          <c:extLst>
            <c:ext xmlns:c16="http://schemas.microsoft.com/office/drawing/2014/chart" uri="{C3380CC4-5D6E-409C-BE32-E72D297353CC}">
              <c16:uniqueId val="{00000001-E51A-4BEB-9182-E36D1A105443}"/>
            </c:ext>
          </c:extLst>
        </c:ser>
        <c:dLbls>
          <c:showLegendKey val="0"/>
          <c:showVal val="0"/>
          <c:showCatName val="0"/>
          <c:showSerName val="0"/>
          <c:showPercent val="0"/>
          <c:showBubbleSize val="0"/>
        </c:dLbls>
        <c:gapWidth val="219"/>
        <c:overlap val="-27"/>
        <c:axId val="1852277711"/>
        <c:axId val="1852278191"/>
      </c:barChart>
      <c:catAx>
        <c:axId val="1852277711"/>
        <c:scaling>
          <c:orientation val="minMax"/>
        </c:scaling>
        <c:delete val="1"/>
        <c:axPos val="b"/>
        <c:numFmt formatCode="General" sourceLinked="1"/>
        <c:majorTickMark val="none"/>
        <c:minorTickMark val="none"/>
        <c:tickLblPos val="nextTo"/>
        <c:crossAx val="1852278191"/>
        <c:crosses val="autoZero"/>
        <c:auto val="1"/>
        <c:lblAlgn val="ctr"/>
        <c:lblOffset val="100"/>
        <c:noMultiLvlLbl val="0"/>
      </c:catAx>
      <c:valAx>
        <c:axId val="1852278191"/>
        <c:scaling>
          <c:orientation val="minMax"/>
        </c:scaling>
        <c:delete val="1"/>
        <c:axPos val="l"/>
        <c:numFmt formatCode="General" sourceLinked="1"/>
        <c:majorTickMark val="none"/>
        <c:minorTickMark val="none"/>
        <c:tickLblPos val="nextTo"/>
        <c:crossAx val="185227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Expenses.xlsx]Mar!PivotTable23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Mar!$J$16</c:f>
              <c:strCache>
                <c:ptCount val="1"/>
                <c:pt idx="0">
                  <c:v>Sum of Budget</c:v>
                </c:pt>
              </c:strCache>
            </c:strRef>
          </c:tx>
          <c:spPr>
            <a:solidFill>
              <a:schemeClr val="accent1"/>
            </a:solidFill>
            <a:ln>
              <a:noFill/>
            </a:ln>
            <a:effectLst/>
          </c:spPr>
          <c:invertIfNegative val="0"/>
          <c:cat>
            <c:strRef>
              <c:f>Mar!$I$17:$I$18</c:f>
              <c:strCache>
                <c:ptCount val="1"/>
                <c:pt idx="0">
                  <c:v>Housing</c:v>
                </c:pt>
              </c:strCache>
            </c:strRef>
          </c:cat>
          <c:val>
            <c:numRef>
              <c:f>Mar!$J$17:$J$18</c:f>
              <c:numCache>
                <c:formatCode>General</c:formatCode>
                <c:ptCount val="1"/>
                <c:pt idx="0">
                  <c:v>11450</c:v>
                </c:pt>
              </c:numCache>
            </c:numRef>
          </c:val>
          <c:extLst>
            <c:ext xmlns:c16="http://schemas.microsoft.com/office/drawing/2014/chart" uri="{C3380CC4-5D6E-409C-BE32-E72D297353CC}">
              <c16:uniqueId val="{00000000-22A6-4E7B-B0C8-6B6A6DF5ACEE}"/>
            </c:ext>
          </c:extLst>
        </c:ser>
        <c:ser>
          <c:idx val="1"/>
          <c:order val="1"/>
          <c:tx>
            <c:strRef>
              <c:f>Mar!$K$16</c:f>
              <c:strCache>
                <c:ptCount val="1"/>
                <c:pt idx="0">
                  <c:v>Sum of Actual</c:v>
                </c:pt>
              </c:strCache>
            </c:strRef>
          </c:tx>
          <c:spPr>
            <a:solidFill>
              <a:schemeClr val="accent2"/>
            </a:solidFill>
            <a:ln>
              <a:noFill/>
            </a:ln>
            <a:effectLst/>
          </c:spPr>
          <c:invertIfNegative val="0"/>
          <c:cat>
            <c:strRef>
              <c:f>Mar!$I$17:$I$18</c:f>
              <c:strCache>
                <c:ptCount val="1"/>
                <c:pt idx="0">
                  <c:v>Housing</c:v>
                </c:pt>
              </c:strCache>
            </c:strRef>
          </c:cat>
          <c:val>
            <c:numRef>
              <c:f>Mar!$K$17:$K$18</c:f>
              <c:numCache>
                <c:formatCode>General</c:formatCode>
                <c:ptCount val="1"/>
                <c:pt idx="0">
                  <c:v>11250</c:v>
                </c:pt>
              </c:numCache>
            </c:numRef>
          </c:val>
          <c:extLst>
            <c:ext xmlns:c16="http://schemas.microsoft.com/office/drawing/2014/chart" uri="{C3380CC4-5D6E-409C-BE32-E72D297353CC}">
              <c16:uniqueId val="{00000001-22A6-4E7B-B0C8-6B6A6DF5ACEE}"/>
            </c:ext>
          </c:extLst>
        </c:ser>
        <c:dLbls>
          <c:showLegendKey val="0"/>
          <c:showVal val="0"/>
          <c:showCatName val="0"/>
          <c:showSerName val="0"/>
          <c:showPercent val="0"/>
          <c:showBubbleSize val="0"/>
        </c:dLbls>
        <c:gapWidth val="219"/>
        <c:overlap val="-27"/>
        <c:axId val="1859156431"/>
        <c:axId val="1859161231"/>
      </c:barChart>
      <c:catAx>
        <c:axId val="1859156431"/>
        <c:scaling>
          <c:orientation val="minMax"/>
        </c:scaling>
        <c:delete val="1"/>
        <c:axPos val="b"/>
        <c:numFmt formatCode="General" sourceLinked="1"/>
        <c:majorTickMark val="none"/>
        <c:minorTickMark val="none"/>
        <c:tickLblPos val="nextTo"/>
        <c:crossAx val="1859161231"/>
        <c:crosses val="autoZero"/>
        <c:auto val="1"/>
        <c:lblAlgn val="ctr"/>
        <c:lblOffset val="100"/>
        <c:noMultiLvlLbl val="0"/>
      </c:catAx>
      <c:valAx>
        <c:axId val="1859161231"/>
        <c:scaling>
          <c:orientation val="minMax"/>
        </c:scaling>
        <c:delete val="1"/>
        <c:axPos val="l"/>
        <c:numFmt formatCode="General" sourceLinked="1"/>
        <c:majorTickMark val="none"/>
        <c:minorTickMark val="none"/>
        <c:tickLblPos val="nextTo"/>
        <c:crossAx val="185915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Expenses.xlsx]Apr!PivotTable22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Apr!$J$16</c:f>
              <c:strCache>
                <c:ptCount val="1"/>
                <c:pt idx="0">
                  <c:v>Sum of Budget</c:v>
                </c:pt>
              </c:strCache>
            </c:strRef>
          </c:tx>
          <c:spPr>
            <a:solidFill>
              <a:schemeClr val="accent1"/>
            </a:solidFill>
            <a:ln>
              <a:noFill/>
            </a:ln>
            <a:effectLst/>
          </c:spPr>
          <c:invertIfNegative val="0"/>
          <c:cat>
            <c:strRef>
              <c:f>Apr!$I$17:$I$25</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Apr!$J$17:$J$25</c:f>
              <c:numCache>
                <c:formatCode>General</c:formatCode>
                <c:ptCount val="8"/>
                <c:pt idx="0">
                  <c:v>2000</c:v>
                </c:pt>
                <c:pt idx="1">
                  <c:v>5000</c:v>
                </c:pt>
                <c:pt idx="2">
                  <c:v>11250</c:v>
                </c:pt>
                <c:pt idx="3">
                  <c:v>2000</c:v>
                </c:pt>
                <c:pt idx="4">
                  <c:v>7500</c:v>
                </c:pt>
                <c:pt idx="5">
                  <c:v>2000</c:v>
                </c:pt>
                <c:pt idx="6">
                  <c:v>6000</c:v>
                </c:pt>
                <c:pt idx="7">
                  <c:v>2800</c:v>
                </c:pt>
              </c:numCache>
            </c:numRef>
          </c:val>
          <c:extLst>
            <c:ext xmlns:c16="http://schemas.microsoft.com/office/drawing/2014/chart" uri="{C3380CC4-5D6E-409C-BE32-E72D297353CC}">
              <c16:uniqueId val="{00000000-2130-469A-9C6F-B15E1EF9A613}"/>
            </c:ext>
          </c:extLst>
        </c:ser>
        <c:ser>
          <c:idx val="1"/>
          <c:order val="1"/>
          <c:tx>
            <c:strRef>
              <c:f>Apr!$K$16</c:f>
              <c:strCache>
                <c:ptCount val="1"/>
                <c:pt idx="0">
                  <c:v>Sum of Actual</c:v>
                </c:pt>
              </c:strCache>
            </c:strRef>
          </c:tx>
          <c:spPr>
            <a:solidFill>
              <a:schemeClr val="accent2"/>
            </a:solidFill>
            <a:ln>
              <a:noFill/>
            </a:ln>
            <a:effectLst/>
          </c:spPr>
          <c:invertIfNegative val="0"/>
          <c:cat>
            <c:strRef>
              <c:f>Apr!$I$17:$I$25</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Apr!$K$17:$K$25</c:f>
              <c:numCache>
                <c:formatCode>General</c:formatCode>
                <c:ptCount val="8"/>
                <c:pt idx="0">
                  <c:v>1760</c:v>
                </c:pt>
                <c:pt idx="1">
                  <c:v>5450</c:v>
                </c:pt>
                <c:pt idx="2">
                  <c:v>11250</c:v>
                </c:pt>
                <c:pt idx="3">
                  <c:v>2000</c:v>
                </c:pt>
                <c:pt idx="4">
                  <c:v>7200</c:v>
                </c:pt>
                <c:pt idx="5">
                  <c:v>4000</c:v>
                </c:pt>
                <c:pt idx="6">
                  <c:v>5600</c:v>
                </c:pt>
                <c:pt idx="7">
                  <c:v>2950</c:v>
                </c:pt>
              </c:numCache>
            </c:numRef>
          </c:val>
          <c:extLst>
            <c:ext xmlns:c16="http://schemas.microsoft.com/office/drawing/2014/chart" uri="{C3380CC4-5D6E-409C-BE32-E72D297353CC}">
              <c16:uniqueId val="{00000001-2130-469A-9C6F-B15E1EF9A613}"/>
            </c:ext>
          </c:extLst>
        </c:ser>
        <c:dLbls>
          <c:showLegendKey val="0"/>
          <c:showVal val="0"/>
          <c:showCatName val="0"/>
          <c:showSerName val="0"/>
          <c:showPercent val="0"/>
          <c:showBubbleSize val="0"/>
        </c:dLbls>
        <c:gapWidth val="219"/>
        <c:overlap val="-27"/>
        <c:axId val="1240959647"/>
        <c:axId val="1240961087"/>
      </c:barChart>
      <c:catAx>
        <c:axId val="1240959647"/>
        <c:scaling>
          <c:orientation val="minMax"/>
        </c:scaling>
        <c:delete val="1"/>
        <c:axPos val="b"/>
        <c:numFmt formatCode="General" sourceLinked="1"/>
        <c:majorTickMark val="none"/>
        <c:minorTickMark val="none"/>
        <c:tickLblPos val="nextTo"/>
        <c:crossAx val="1240961087"/>
        <c:crosses val="autoZero"/>
        <c:auto val="1"/>
        <c:lblAlgn val="ctr"/>
        <c:lblOffset val="100"/>
        <c:noMultiLvlLbl val="0"/>
      </c:catAx>
      <c:valAx>
        <c:axId val="1240961087"/>
        <c:scaling>
          <c:orientation val="minMax"/>
        </c:scaling>
        <c:delete val="1"/>
        <c:axPos val="l"/>
        <c:numFmt formatCode="General" sourceLinked="1"/>
        <c:majorTickMark val="none"/>
        <c:minorTickMark val="none"/>
        <c:tickLblPos val="nextTo"/>
        <c:crossAx val="1240959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Expenses.xlsx]May!PivotTable21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May!$J$16</c:f>
              <c:strCache>
                <c:ptCount val="1"/>
                <c:pt idx="0">
                  <c:v>Sum of Budget</c:v>
                </c:pt>
              </c:strCache>
            </c:strRef>
          </c:tx>
          <c:spPr>
            <a:solidFill>
              <a:schemeClr val="accent1"/>
            </a:solidFill>
            <a:ln>
              <a:noFill/>
            </a:ln>
            <a:effectLst/>
          </c:spPr>
          <c:invertIfNegative val="0"/>
          <c:cat>
            <c:strRef>
              <c:f>May!$I$17:$I$25</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May!$J$17:$J$25</c:f>
              <c:numCache>
                <c:formatCode>General</c:formatCode>
                <c:ptCount val="8"/>
                <c:pt idx="0">
                  <c:v>1500</c:v>
                </c:pt>
                <c:pt idx="1">
                  <c:v>4500</c:v>
                </c:pt>
                <c:pt idx="2">
                  <c:v>11250</c:v>
                </c:pt>
                <c:pt idx="3">
                  <c:v>2000</c:v>
                </c:pt>
                <c:pt idx="4">
                  <c:v>6500</c:v>
                </c:pt>
                <c:pt idx="5">
                  <c:v>2000</c:v>
                </c:pt>
                <c:pt idx="6">
                  <c:v>4000</c:v>
                </c:pt>
                <c:pt idx="7">
                  <c:v>2700</c:v>
                </c:pt>
              </c:numCache>
            </c:numRef>
          </c:val>
          <c:extLst>
            <c:ext xmlns:c16="http://schemas.microsoft.com/office/drawing/2014/chart" uri="{C3380CC4-5D6E-409C-BE32-E72D297353CC}">
              <c16:uniqueId val="{00000000-2B49-4C07-8CD6-98F998705C15}"/>
            </c:ext>
          </c:extLst>
        </c:ser>
        <c:ser>
          <c:idx val="1"/>
          <c:order val="1"/>
          <c:tx>
            <c:strRef>
              <c:f>May!$K$16</c:f>
              <c:strCache>
                <c:ptCount val="1"/>
                <c:pt idx="0">
                  <c:v>Sum of Actual</c:v>
                </c:pt>
              </c:strCache>
            </c:strRef>
          </c:tx>
          <c:spPr>
            <a:solidFill>
              <a:schemeClr val="accent2"/>
            </a:solidFill>
            <a:ln>
              <a:noFill/>
            </a:ln>
            <a:effectLst/>
          </c:spPr>
          <c:invertIfNegative val="0"/>
          <c:cat>
            <c:strRef>
              <c:f>May!$I$17:$I$25</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May!$K$17:$K$25</c:f>
              <c:numCache>
                <c:formatCode>General</c:formatCode>
                <c:ptCount val="8"/>
                <c:pt idx="0">
                  <c:v>1800</c:v>
                </c:pt>
                <c:pt idx="1">
                  <c:v>4253</c:v>
                </c:pt>
                <c:pt idx="2">
                  <c:v>11450</c:v>
                </c:pt>
                <c:pt idx="3">
                  <c:v>2000</c:v>
                </c:pt>
                <c:pt idx="4">
                  <c:v>5750</c:v>
                </c:pt>
                <c:pt idx="5">
                  <c:v>1500</c:v>
                </c:pt>
                <c:pt idx="6">
                  <c:v>4100</c:v>
                </c:pt>
                <c:pt idx="7">
                  <c:v>2770</c:v>
                </c:pt>
              </c:numCache>
            </c:numRef>
          </c:val>
          <c:extLst>
            <c:ext xmlns:c16="http://schemas.microsoft.com/office/drawing/2014/chart" uri="{C3380CC4-5D6E-409C-BE32-E72D297353CC}">
              <c16:uniqueId val="{00000001-2B49-4C07-8CD6-98F998705C15}"/>
            </c:ext>
          </c:extLst>
        </c:ser>
        <c:dLbls>
          <c:showLegendKey val="0"/>
          <c:showVal val="0"/>
          <c:showCatName val="0"/>
          <c:showSerName val="0"/>
          <c:showPercent val="0"/>
          <c:showBubbleSize val="0"/>
        </c:dLbls>
        <c:gapWidth val="219"/>
        <c:overlap val="-27"/>
        <c:axId val="1151567487"/>
        <c:axId val="1151564607"/>
      </c:barChart>
      <c:catAx>
        <c:axId val="1151567487"/>
        <c:scaling>
          <c:orientation val="minMax"/>
        </c:scaling>
        <c:delete val="1"/>
        <c:axPos val="b"/>
        <c:numFmt formatCode="General" sourceLinked="1"/>
        <c:majorTickMark val="none"/>
        <c:minorTickMark val="none"/>
        <c:tickLblPos val="nextTo"/>
        <c:crossAx val="1151564607"/>
        <c:crosses val="autoZero"/>
        <c:auto val="1"/>
        <c:lblAlgn val="ctr"/>
        <c:lblOffset val="100"/>
        <c:noMultiLvlLbl val="0"/>
      </c:catAx>
      <c:valAx>
        <c:axId val="1151564607"/>
        <c:scaling>
          <c:orientation val="minMax"/>
        </c:scaling>
        <c:delete val="1"/>
        <c:axPos val="l"/>
        <c:numFmt formatCode="General" sourceLinked="1"/>
        <c:majorTickMark val="none"/>
        <c:minorTickMark val="none"/>
        <c:tickLblPos val="nextTo"/>
        <c:crossAx val="1151567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Expenses.xlsx]Jun!PivotTable20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Jun!$J$15</c:f>
              <c:strCache>
                <c:ptCount val="1"/>
                <c:pt idx="0">
                  <c:v>Sum of Budget</c:v>
                </c:pt>
              </c:strCache>
            </c:strRef>
          </c:tx>
          <c:spPr>
            <a:solidFill>
              <a:schemeClr val="accent1"/>
            </a:solidFill>
            <a:ln>
              <a:noFill/>
            </a:ln>
            <a:effectLst/>
          </c:spPr>
          <c:invertIfNegative val="0"/>
          <c:cat>
            <c:strRef>
              <c:f>Jun!$I$16:$I$24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Jun!$J$16:$J$24</c:f>
              <c:numCache>
                <c:formatCode>General</c:formatCode>
                <c:ptCount val="8"/>
                <c:pt idx="0">
                  <c:v>2000</c:v>
                </c:pt>
                <c:pt idx="1">
                  <c:v>6000</c:v>
                </c:pt>
                <c:pt idx="2">
                  <c:v>11450</c:v>
                </c:pt>
                <c:pt idx="3">
                  <c:v>2000</c:v>
                </c:pt>
                <c:pt idx="4">
                  <c:v>8500</c:v>
                </c:pt>
                <c:pt idx="5">
                  <c:v>3000</c:v>
                </c:pt>
                <c:pt idx="6">
                  <c:v>4500</c:v>
                </c:pt>
                <c:pt idx="7">
                  <c:v>2800</c:v>
                </c:pt>
              </c:numCache>
            </c:numRef>
          </c:val>
          <c:extLst>
            <c:ext xmlns:c16="http://schemas.microsoft.com/office/drawing/2014/chart" uri="{C3380CC4-5D6E-409C-BE32-E72D297353CC}">
              <c16:uniqueId val="{00000000-9D7C-496F-A865-7570A36DF284}"/>
            </c:ext>
          </c:extLst>
        </c:ser>
        <c:ser>
          <c:idx val="1"/>
          <c:order val="1"/>
          <c:tx>
            <c:strRef>
              <c:f>Jun!$K$15</c:f>
              <c:strCache>
                <c:ptCount val="1"/>
                <c:pt idx="0">
                  <c:v>Sum of Actual</c:v>
                </c:pt>
              </c:strCache>
            </c:strRef>
          </c:tx>
          <c:spPr>
            <a:solidFill>
              <a:schemeClr val="accent2"/>
            </a:solidFill>
            <a:ln>
              <a:noFill/>
            </a:ln>
            <a:effectLst/>
          </c:spPr>
          <c:invertIfNegative val="0"/>
          <c:cat>
            <c:strRef>
              <c:f>Jun!$I$16:$I$24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Jun!$K$16:$K$24</c:f>
              <c:numCache>
                <c:formatCode>General</c:formatCode>
                <c:ptCount val="8"/>
                <c:pt idx="0">
                  <c:v>2500</c:v>
                </c:pt>
                <c:pt idx="1">
                  <c:v>6130</c:v>
                </c:pt>
                <c:pt idx="2">
                  <c:v>11250</c:v>
                </c:pt>
                <c:pt idx="3">
                  <c:v>2000</c:v>
                </c:pt>
                <c:pt idx="4">
                  <c:v>8165</c:v>
                </c:pt>
                <c:pt idx="5">
                  <c:v>3000</c:v>
                </c:pt>
                <c:pt idx="6">
                  <c:v>4500</c:v>
                </c:pt>
                <c:pt idx="7">
                  <c:v>3230</c:v>
                </c:pt>
              </c:numCache>
            </c:numRef>
          </c:val>
          <c:extLst>
            <c:ext xmlns:c16="http://schemas.microsoft.com/office/drawing/2014/chart" uri="{C3380CC4-5D6E-409C-BE32-E72D297353CC}">
              <c16:uniqueId val="{00000001-9D7C-496F-A865-7570A36DF284}"/>
            </c:ext>
          </c:extLst>
        </c:ser>
        <c:dLbls>
          <c:showLegendKey val="0"/>
          <c:showVal val="0"/>
          <c:showCatName val="0"/>
          <c:showSerName val="0"/>
          <c:showPercent val="0"/>
          <c:showBubbleSize val="0"/>
        </c:dLbls>
        <c:gapWidth val="219"/>
        <c:overlap val="-27"/>
        <c:axId val="1855546815"/>
        <c:axId val="1855547295"/>
      </c:barChart>
      <c:catAx>
        <c:axId val="1855546815"/>
        <c:scaling>
          <c:orientation val="minMax"/>
        </c:scaling>
        <c:delete val="1"/>
        <c:axPos val="b"/>
        <c:numFmt formatCode="General" sourceLinked="1"/>
        <c:majorTickMark val="none"/>
        <c:minorTickMark val="none"/>
        <c:tickLblPos val="nextTo"/>
        <c:crossAx val="1855547295"/>
        <c:crosses val="autoZero"/>
        <c:auto val="1"/>
        <c:lblAlgn val="ctr"/>
        <c:lblOffset val="100"/>
        <c:noMultiLvlLbl val="0"/>
      </c:catAx>
      <c:valAx>
        <c:axId val="1855547295"/>
        <c:scaling>
          <c:orientation val="minMax"/>
        </c:scaling>
        <c:delete val="1"/>
        <c:axPos val="l"/>
        <c:numFmt formatCode="General" sourceLinked="1"/>
        <c:majorTickMark val="none"/>
        <c:minorTickMark val="none"/>
        <c:tickLblPos val="nextTo"/>
        <c:crossAx val="1855546815"/>
        <c:crosses val="autoZero"/>
        <c:crossBetween val="between"/>
      </c:valAx>
      <c:spPr>
        <a:solidFill>
          <a:schemeClr val="accent3">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Expenses.xlsx]Jul!PivotTable19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Jul!$J$16</c:f>
              <c:strCache>
                <c:ptCount val="1"/>
                <c:pt idx="0">
                  <c:v>Sum of Budget</c:v>
                </c:pt>
              </c:strCache>
            </c:strRef>
          </c:tx>
          <c:spPr>
            <a:solidFill>
              <a:schemeClr val="accent1"/>
            </a:solidFill>
            <a:ln>
              <a:noFill/>
            </a:ln>
            <a:effectLst/>
          </c:spPr>
          <c:invertIfNegative val="0"/>
          <c:cat>
            <c:strRef>
              <c:f>Jul!$I$17:$I$25</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Jul!$J$17:$J$25</c:f>
              <c:numCache>
                <c:formatCode>General</c:formatCode>
                <c:ptCount val="8"/>
                <c:pt idx="0">
                  <c:v>2000</c:v>
                </c:pt>
                <c:pt idx="1">
                  <c:v>5500</c:v>
                </c:pt>
                <c:pt idx="2">
                  <c:v>11450</c:v>
                </c:pt>
                <c:pt idx="3">
                  <c:v>2000</c:v>
                </c:pt>
                <c:pt idx="4">
                  <c:v>6500</c:v>
                </c:pt>
                <c:pt idx="5">
                  <c:v>2000</c:v>
                </c:pt>
                <c:pt idx="6">
                  <c:v>4500</c:v>
                </c:pt>
                <c:pt idx="7">
                  <c:v>3300</c:v>
                </c:pt>
              </c:numCache>
            </c:numRef>
          </c:val>
          <c:extLst>
            <c:ext xmlns:c16="http://schemas.microsoft.com/office/drawing/2014/chart" uri="{C3380CC4-5D6E-409C-BE32-E72D297353CC}">
              <c16:uniqueId val="{00000000-07E0-4EEA-8F59-9F1B3B29E4DD}"/>
            </c:ext>
          </c:extLst>
        </c:ser>
        <c:ser>
          <c:idx val="1"/>
          <c:order val="1"/>
          <c:tx>
            <c:strRef>
              <c:f>Jul!$K$16</c:f>
              <c:strCache>
                <c:ptCount val="1"/>
                <c:pt idx="0">
                  <c:v>Sum of Actual</c:v>
                </c:pt>
              </c:strCache>
            </c:strRef>
          </c:tx>
          <c:spPr>
            <a:solidFill>
              <a:schemeClr val="accent2"/>
            </a:solidFill>
            <a:ln>
              <a:noFill/>
            </a:ln>
            <a:effectLst/>
          </c:spPr>
          <c:invertIfNegative val="0"/>
          <c:cat>
            <c:strRef>
              <c:f>Jul!$I$17:$I$25</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Jul!$K$17:$K$25</c:f>
              <c:numCache>
                <c:formatCode>General</c:formatCode>
                <c:ptCount val="8"/>
                <c:pt idx="0">
                  <c:v>2500</c:v>
                </c:pt>
                <c:pt idx="1">
                  <c:v>5967</c:v>
                </c:pt>
                <c:pt idx="2">
                  <c:v>11250</c:v>
                </c:pt>
                <c:pt idx="3">
                  <c:v>2000</c:v>
                </c:pt>
                <c:pt idx="4">
                  <c:v>10554</c:v>
                </c:pt>
                <c:pt idx="5">
                  <c:v>3000</c:v>
                </c:pt>
                <c:pt idx="6">
                  <c:v>5000</c:v>
                </c:pt>
                <c:pt idx="7">
                  <c:v>3230</c:v>
                </c:pt>
              </c:numCache>
            </c:numRef>
          </c:val>
          <c:extLst>
            <c:ext xmlns:c16="http://schemas.microsoft.com/office/drawing/2014/chart" uri="{C3380CC4-5D6E-409C-BE32-E72D297353CC}">
              <c16:uniqueId val="{00000001-07E0-4EEA-8F59-9F1B3B29E4DD}"/>
            </c:ext>
          </c:extLst>
        </c:ser>
        <c:dLbls>
          <c:showLegendKey val="0"/>
          <c:showVal val="0"/>
          <c:showCatName val="0"/>
          <c:showSerName val="0"/>
          <c:showPercent val="0"/>
          <c:showBubbleSize val="0"/>
        </c:dLbls>
        <c:gapWidth val="219"/>
        <c:overlap val="-27"/>
        <c:axId val="1855554015"/>
        <c:axId val="1855554495"/>
      </c:barChart>
      <c:catAx>
        <c:axId val="1855554015"/>
        <c:scaling>
          <c:orientation val="minMax"/>
        </c:scaling>
        <c:delete val="1"/>
        <c:axPos val="b"/>
        <c:numFmt formatCode="General" sourceLinked="1"/>
        <c:majorTickMark val="none"/>
        <c:minorTickMark val="none"/>
        <c:tickLblPos val="nextTo"/>
        <c:crossAx val="1855554495"/>
        <c:crosses val="autoZero"/>
        <c:auto val="1"/>
        <c:lblAlgn val="ctr"/>
        <c:lblOffset val="100"/>
        <c:noMultiLvlLbl val="0"/>
      </c:catAx>
      <c:valAx>
        <c:axId val="1855554495"/>
        <c:scaling>
          <c:orientation val="minMax"/>
        </c:scaling>
        <c:delete val="1"/>
        <c:axPos val="l"/>
        <c:numFmt formatCode="General" sourceLinked="1"/>
        <c:majorTickMark val="none"/>
        <c:minorTickMark val="none"/>
        <c:tickLblPos val="nextTo"/>
        <c:crossAx val="185555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Expenses.xlsx]Aug!PivotTable18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Aug!$J$16</c:f>
              <c:strCache>
                <c:ptCount val="1"/>
                <c:pt idx="0">
                  <c:v>Sum of Budget</c:v>
                </c:pt>
              </c:strCache>
            </c:strRef>
          </c:tx>
          <c:spPr>
            <a:solidFill>
              <a:schemeClr val="accent1"/>
            </a:solidFill>
            <a:ln>
              <a:noFill/>
            </a:ln>
            <a:effectLst/>
          </c:spPr>
          <c:invertIfNegative val="0"/>
          <c:cat>
            <c:strRef>
              <c:f>Aug!$I$17:$I$18</c:f>
              <c:strCache>
                <c:ptCount val="1"/>
                <c:pt idx="0">
                  <c:v>Housing</c:v>
                </c:pt>
              </c:strCache>
            </c:strRef>
          </c:cat>
          <c:val>
            <c:numRef>
              <c:f>Aug!$J$17:$J$18</c:f>
              <c:numCache>
                <c:formatCode>General</c:formatCode>
                <c:ptCount val="1"/>
                <c:pt idx="0">
                  <c:v>11250</c:v>
                </c:pt>
              </c:numCache>
            </c:numRef>
          </c:val>
          <c:extLst>
            <c:ext xmlns:c16="http://schemas.microsoft.com/office/drawing/2014/chart" uri="{C3380CC4-5D6E-409C-BE32-E72D297353CC}">
              <c16:uniqueId val="{00000000-8395-4C57-8B68-94E7C236EEAE}"/>
            </c:ext>
          </c:extLst>
        </c:ser>
        <c:ser>
          <c:idx val="1"/>
          <c:order val="1"/>
          <c:tx>
            <c:strRef>
              <c:f>Aug!$K$16</c:f>
              <c:strCache>
                <c:ptCount val="1"/>
                <c:pt idx="0">
                  <c:v>Sum of Actual</c:v>
                </c:pt>
              </c:strCache>
            </c:strRef>
          </c:tx>
          <c:spPr>
            <a:solidFill>
              <a:schemeClr val="accent2"/>
            </a:solidFill>
            <a:ln>
              <a:noFill/>
            </a:ln>
            <a:effectLst/>
          </c:spPr>
          <c:invertIfNegative val="0"/>
          <c:cat>
            <c:strRef>
              <c:f>Aug!$I$17:$I$18</c:f>
              <c:strCache>
                <c:ptCount val="1"/>
                <c:pt idx="0">
                  <c:v>Housing</c:v>
                </c:pt>
              </c:strCache>
            </c:strRef>
          </c:cat>
          <c:val>
            <c:numRef>
              <c:f>Aug!$K$17:$K$18</c:f>
              <c:numCache>
                <c:formatCode>General</c:formatCode>
                <c:ptCount val="1"/>
                <c:pt idx="0">
                  <c:v>11250</c:v>
                </c:pt>
              </c:numCache>
            </c:numRef>
          </c:val>
          <c:extLst>
            <c:ext xmlns:c16="http://schemas.microsoft.com/office/drawing/2014/chart" uri="{C3380CC4-5D6E-409C-BE32-E72D297353CC}">
              <c16:uniqueId val="{00000001-8395-4C57-8B68-94E7C236EEAE}"/>
            </c:ext>
          </c:extLst>
        </c:ser>
        <c:dLbls>
          <c:showLegendKey val="0"/>
          <c:showVal val="0"/>
          <c:showCatName val="0"/>
          <c:showSerName val="0"/>
          <c:showPercent val="0"/>
          <c:showBubbleSize val="0"/>
        </c:dLbls>
        <c:gapWidth val="219"/>
        <c:overlap val="-27"/>
        <c:axId val="1240966367"/>
        <c:axId val="1240963007"/>
      </c:barChart>
      <c:catAx>
        <c:axId val="1240966367"/>
        <c:scaling>
          <c:orientation val="minMax"/>
        </c:scaling>
        <c:delete val="1"/>
        <c:axPos val="b"/>
        <c:numFmt formatCode="General" sourceLinked="1"/>
        <c:majorTickMark val="none"/>
        <c:minorTickMark val="none"/>
        <c:tickLblPos val="nextTo"/>
        <c:crossAx val="1240963007"/>
        <c:crosses val="autoZero"/>
        <c:auto val="1"/>
        <c:lblAlgn val="ctr"/>
        <c:lblOffset val="100"/>
        <c:noMultiLvlLbl val="0"/>
      </c:catAx>
      <c:valAx>
        <c:axId val="1240963007"/>
        <c:scaling>
          <c:orientation val="minMax"/>
        </c:scaling>
        <c:delete val="1"/>
        <c:axPos val="l"/>
        <c:numFmt formatCode="General" sourceLinked="1"/>
        <c:majorTickMark val="none"/>
        <c:minorTickMark val="none"/>
        <c:tickLblPos val="nextTo"/>
        <c:crossAx val="124096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Expenses.xlsx]Sep!PivotTable17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Sep!$J$15</c:f>
              <c:strCache>
                <c:ptCount val="1"/>
                <c:pt idx="0">
                  <c:v>Sum of Budget</c:v>
                </c:pt>
              </c:strCache>
            </c:strRef>
          </c:tx>
          <c:spPr>
            <a:solidFill>
              <a:schemeClr val="accent1"/>
            </a:solidFill>
            <a:ln>
              <a:noFill/>
            </a:ln>
            <a:effectLst/>
          </c:spPr>
          <c:invertIfNegative val="0"/>
          <c:cat>
            <c:strRef>
              <c:f>Sep!$I$16:$I$24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Sep!$J$16:$J$24</c:f>
              <c:numCache>
                <c:formatCode>General</c:formatCode>
                <c:ptCount val="8"/>
                <c:pt idx="0">
                  <c:v>2000</c:v>
                </c:pt>
                <c:pt idx="1">
                  <c:v>6000</c:v>
                </c:pt>
                <c:pt idx="2">
                  <c:v>11450</c:v>
                </c:pt>
                <c:pt idx="3">
                  <c:v>2000</c:v>
                </c:pt>
                <c:pt idx="4">
                  <c:v>8500</c:v>
                </c:pt>
                <c:pt idx="5">
                  <c:v>3000</c:v>
                </c:pt>
                <c:pt idx="6">
                  <c:v>4500</c:v>
                </c:pt>
                <c:pt idx="7">
                  <c:v>3500</c:v>
                </c:pt>
              </c:numCache>
            </c:numRef>
          </c:val>
          <c:extLst>
            <c:ext xmlns:c16="http://schemas.microsoft.com/office/drawing/2014/chart" uri="{C3380CC4-5D6E-409C-BE32-E72D297353CC}">
              <c16:uniqueId val="{00000000-E45E-4574-A6AE-523F2FD4A56D}"/>
            </c:ext>
          </c:extLst>
        </c:ser>
        <c:ser>
          <c:idx val="1"/>
          <c:order val="1"/>
          <c:tx>
            <c:strRef>
              <c:f>Sep!$K$15</c:f>
              <c:strCache>
                <c:ptCount val="1"/>
                <c:pt idx="0">
                  <c:v>Sum of Actual</c:v>
                </c:pt>
              </c:strCache>
            </c:strRef>
          </c:tx>
          <c:spPr>
            <a:solidFill>
              <a:schemeClr val="accent2"/>
            </a:solidFill>
            <a:ln>
              <a:noFill/>
            </a:ln>
            <a:effectLst/>
          </c:spPr>
          <c:invertIfNegative val="0"/>
          <c:cat>
            <c:strRef>
              <c:f>Sep!$I$16:$I$24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Sep!$K$16:$K$24</c:f>
              <c:numCache>
                <c:formatCode>General</c:formatCode>
                <c:ptCount val="8"/>
                <c:pt idx="0">
                  <c:v>2500</c:v>
                </c:pt>
                <c:pt idx="1">
                  <c:v>5967</c:v>
                </c:pt>
                <c:pt idx="2">
                  <c:v>11250</c:v>
                </c:pt>
                <c:pt idx="3">
                  <c:v>2000</c:v>
                </c:pt>
                <c:pt idx="4">
                  <c:v>10554</c:v>
                </c:pt>
                <c:pt idx="5">
                  <c:v>3000</c:v>
                </c:pt>
                <c:pt idx="6">
                  <c:v>5000</c:v>
                </c:pt>
                <c:pt idx="7">
                  <c:v>3230</c:v>
                </c:pt>
              </c:numCache>
            </c:numRef>
          </c:val>
          <c:extLst>
            <c:ext xmlns:c16="http://schemas.microsoft.com/office/drawing/2014/chart" uri="{C3380CC4-5D6E-409C-BE32-E72D297353CC}">
              <c16:uniqueId val="{00000001-E45E-4574-A6AE-523F2FD4A56D}"/>
            </c:ext>
          </c:extLst>
        </c:ser>
        <c:dLbls>
          <c:showLegendKey val="0"/>
          <c:showVal val="0"/>
          <c:showCatName val="0"/>
          <c:showSerName val="0"/>
          <c:showPercent val="0"/>
          <c:showBubbleSize val="0"/>
        </c:dLbls>
        <c:gapWidth val="219"/>
        <c:overlap val="-27"/>
        <c:axId val="1145241615"/>
        <c:axId val="1145244975"/>
      </c:barChart>
      <c:catAx>
        <c:axId val="1145241615"/>
        <c:scaling>
          <c:orientation val="minMax"/>
        </c:scaling>
        <c:delete val="1"/>
        <c:axPos val="b"/>
        <c:numFmt formatCode="General" sourceLinked="1"/>
        <c:majorTickMark val="none"/>
        <c:minorTickMark val="none"/>
        <c:tickLblPos val="nextTo"/>
        <c:crossAx val="1145244975"/>
        <c:crosses val="autoZero"/>
        <c:auto val="1"/>
        <c:lblAlgn val="ctr"/>
        <c:lblOffset val="100"/>
        <c:noMultiLvlLbl val="0"/>
      </c:catAx>
      <c:valAx>
        <c:axId val="1145244975"/>
        <c:scaling>
          <c:orientation val="minMax"/>
        </c:scaling>
        <c:delete val="1"/>
        <c:axPos val="l"/>
        <c:numFmt formatCode="General" sourceLinked="1"/>
        <c:majorTickMark val="none"/>
        <c:minorTickMark val="none"/>
        <c:tickLblPos val="nextTo"/>
        <c:crossAx val="114524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Expenses.xlsx]Oct!PivotTable16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84776902887139"/>
          <c:y val="0.22583114610673666"/>
          <c:w val="0.63237335958005247"/>
          <c:h val="0.37812846310877807"/>
        </c:manualLayout>
      </c:layout>
      <c:barChart>
        <c:barDir val="col"/>
        <c:grouping val="clustered"/>
        <c:varyColors val="0"/>
        <c:ser>
          <c:idx val="0"/>
          <c:order val="0"/>
          <c:tx>
            <c:strRef>
              <c:f>Oct!$J$15</c:f>
              <c:strCache>
                <c:ptCount val="1"/>
                <c:pt idx="0">
                  <c:v>Sum of Budget</c:v>
                </c:pt>
              </c:strCache>
            </c:strRef>
          </c:tx>
          <c:spPr>
            <a:solidFill>
              <a:schemeClr val="accent1"/>
            </a:solidFill>
            <a:ln>
              <a:noFill/>
            </a:ln>
            <a:effectLst/>
          </c:spPr>
          <c:invertIfNegative val="0"/>
          <c:cat>
            <c:strRef>
              <c:f>Oct!$I$16:$I$24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Oct!$J$16:$J$24</c:f>
              <c:numCache>
                <c:formatCode>General</c:formatCode>
                <c:ptCount val="8"/>
                <c:pt idx="0">
                  <c:v>2000</c:v>
                </c:pt>
                <c:pt idx="1">
                  <c:v>6000</c:v>
                </c:pt>
                <c:pt idx="2">
                  <c:v>11450</c:v>
                </c:pt>
                <c:pt idx="3">
                  <c:v>2000</c:v>
                </c:pt>
                <c:pt idx="4">
                  <c:v>8500</c:v>
                </c:pt>
                <c:pt idx="5">
                  <c:v>3000</c:v>
                </c:pt>
                <c:pt idx="6">
                  <c:v>4500</c:v>
                </c:pt>
                <c:pt idx="7">
                  <c:v>3500</c:v>
                </c:pt>
              </c:numCache>
            </c:numRef>
          </c:val>
          <c:extLst>
            <c:ext xmlns:c16="http://schemas.microsoft.com/office/drawing/2014/chart" uri="{C3380CC4-5D6E-409C-BE32-E72D297353CC}">
              <c16:uniqueId val="{00000000-1E69-450F-A468-9D91D2911705}"/>
            </c:ext>
          </c:extLst>
        </c:ser>
        <c:ser>
          <c:idx val="1"/>
          <c:order val="1"/>
          <c:tx>
            <c:strRef>
              <c:f>Oct!$K$15</c:f>
              <c:strCache>
                <c:ptCount val="1"/>
                <c:pt idx="0">
                  <c:v>Sum of Actual</c:v>
                </c:pt>
              </c:strCache>
            </c:strRef>
          </c:tx>
          <c:spPr>
            <a:solidFill>
              <a:schemeClr val="accent2"/>
            </a:solidFill>
            <a:ln>
              <a:noFill/>
            </a:ln>
            <a:effectLst/>
          </c:spPr>
          <c:invertIfNegative val="0"/>
          <c:cat>
            <c:strRef>
              <c:f>Oct!$I$16:$I$24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Oct!$K$16:$K$24</c:f>
              <c:numCache>
                <c:formatCode>General</c:formatCode>
                <c:ptCount val="8"/>
                <c:pt idx="0">
                  <c:v>2500</c:v>
                </c:pt>
                <c:pt idx="1">
                  <c:v>5967</c:v>
                </c:pt>
                <c:pt idx="2">
                  <c:v>11250</c:v>
                </c:pt>
                <c:pt idx="3">
                  <c:v>2000</c:v>
                </c:pt>
                <c:pt idx="4">
                  <c:v>10554</c:v>
                </c:pt>
                <c:pt idx="5">
                  <c:v>3000</c:v>
                </c:pt>
                <c:pt idx="6">
                  <c:v>5000</c:v>
                </c:pt>
                <c:pt idx="7">
                  <c:v>3230</c:v>
                </c:pt>
              </c:numCache>
            </c:numRef>
          </c:val>
          <c:extLst>
            <c:ext xmlns:c16="http://schemas.microsoft.com/office/drawing/2014/chart" uri="{C3380CC4-5D6E-409C-BE32-E72D297353CC}">
              <c16:uniqueId val="{00000001-1E69-450F-A468-9D91D2911705}"/>
            </c:ext>
          </c:extLst>
        </c:ser>
        <c:dLbls>
          <c:showLegendKey val="0"/>
          <c:showVal val="0"/>
          <c:showCatName val="0"/>
          <c:showSerName val="0"/>
          <c:showPercent val="0"/>
          <c:showBubbleSize val="0"/>
        </c:dLbls>
        <c:gapWidth val="219"/>
        <c:overlap val="-27"/>
        <c:axId val="1322603135"/>
        <c:axId val="1322604095"/>
      </c:barChart>
      <c:catAx>
        <c:axId val="1322603135"/>
        <c:scaling>
          <c:orientation val="minMax"/>
        </c:scaling>
        <c:delete val="1"/>
        <c:axPos val="b"/>
        <c:numFmt formatCode="General" sourceLinked="1"/>
        <c:majorTickMark val="none"/>
        <c:minorTickMark val="none"/>
        <c:tickLblPos val="nextTo"/>
        <c:crossAx val="1322604095"/>
        <c:crosses val="autoZero"/>
        <c:auto val="1"/>
        <c:lblAlgn val="ctr"/>
        <c:lblOffset val="100"/>
        <c:noMultiLvlLbl val="0"/>
      </c:catAx>
      <c:valAx>
        <c:axId val="1322604095"/>
        <c:scaling>
          <c:orientation val="minMax"/>
        </c:scaling>
        <c:delete val="1"/>
        <c:axPos val="l"/>
        <c:numFmt formatCode="General" sourceLinked="1"/>
        <c:majorTickMark val="none"/>
        <c:minorTickMark val="none"/>
        <c:tickLblPos val="nextTo"/>
        <c:crossAx val="1322603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Expenses.xlsx]Nov!PivotTable15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Nov!$J$15</c:f>
              <c:strCache>
                <c:ptCount val="1"/>
                <c:pt idx="0">
                  <c:v>Sum of Budget</c:v>
                </c:pt>
              </c:strCache>
            </c:strRef>
          </c:tx>
          <c:spPr>
            <a:solidFill>
              <a:schemeClr val="accent1"/>
            </a:solidFill>
            <a:ln>
              <a:noFill/>
            </a:ln>
            <a:effectLst/>
          </c:spPr>
          <c:invertIfNegative val="0"/>
          <c:cat>
            <c:strRef>
              <c:f>Nov!$I$16:$I$24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Nov!$J$16:$J$24</c:f>
              <c:numCache>
                <c:formatCode>General</c:formatCode>
                <c:ptCount val="8"/>
                <c:pt idx="0">
                  <c:v>1500</c:v>
                </c:pt>
                <c:pt idx="1">
                  <c:v>4500</c:v>
                </c:pt>
                <c:pt idx="2">
                  <c:v>11250</c:v>
                </c:pt>
                <c:pt idx="3">
                  <c:v>2000</c:v>
                </c:pt>
                <c:pt idx="4">
                  <c:v>6500</c:v>
                </c:pt>
                <c:pt idx="5">
                  <c:v>2000</c:v>
                </c:pt>
                <c:pt idx="6">
                  <c:v>4000</c:v>
                </c:pt>
                <c:pt idx="7">
                  <c:v>2700</c:v>
                </c:pt>
              </c:numCache>
            </c:numRef>
          </c:val>
          <c:extLst>
            <c:ext xmlns:c16="http://schemas.microsoft.com/office/drawing/2014/chart" uri="{C3380CC4-5D6E-409C-BE32-E72D297353CC}">
              <c16:uniqueId val="{00000000-0422-4BF9-86BE-D9A8830F4A0F}"/>
            </c:ext>
          </c:extLst>
        </c:ser>
        <c:ser>
          <c:idx val="1"/>
          <c:order val="1"/>
          <c:tx>
            <c:strRef>
              <c:f>Nov!$K$15</c:f>
              <c:strCache>
                <c:ptCount val="1"/>
                <c:pt idx="0">
                  <c:v>Sum of Actual</c:v>
                </c:pt>
              </c:strCache>
            </c:strRef>
          </c:tx>
          <c:spPr>
            <a:solidFill>
              <a:schemeClr val="accent2"/>
            </a:solidFill>
            <a:ln>
              <a:noFill/>
            </a:ln>
            <a:effectLst/>
          </c:spPr>
          <c:invertIfNegative val="0"/>
          <c:cat>
            <c:strRef>
              <c:f>Nov!$I$16:$I$24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Nov!$K$16:$K$24</c:f>
              <c:numCache>
                <c:formatCode>General</c:formatCode>
                <c:ptCount val="8"/>
                <c:pt idx="0">
                  <c:v>1800</c:v>
                </c:pt>
                <c:pt idx="1">
                  <c:v>4253</c:v>
                </c:pt>
                <c:pt idx="2">
                  <c:v>11450</c:v>
                </c:pt>
                <c:pt idx="3">
                  <c:v>2000</c:v>
                </c:pt>
                <c:pt idx="4">
                  <c:v>5750</c:v>
                </c:pt>
                <c:pt idx="5">
                  <c:v>1500</c:v>
                </c:pt>
                <c:pt idx="6">
                  <c:v>4100</c:v>
                </c:pt>
                <c:pt idx="7">
                  <c:v>2770</c:v>
                </c:pt>
              </c:numCache>
            </c:numRef>
          </c:val>
          <c:extLst>
            <c:ext xmlns:c16="http://schemas.microsoft.com/office/drawing/2014/chart" uri="{C3380CC4-5D6E-409C-BE32-E72D297353CC}">
              <c16:uniqueId val="{00000001-0422-4BF9-86BE-D9A8830F4A0F}"/>
            </c:ext>
          </c:extLst>
        </c:ser>
        <c:dLbls>
          <c:showLegendKey val="0"/>
          <c:showVal val="0"/>
          <c:showCatName val="0"/>
          <c:showSerName val="0"/>
          <c:showPercent val="0"/>
          <c:showBubbleSize val="0"/>
        </c:dLbls>
        <c:gapWidth val="219"/>
        <c:overlap val="-27"/>
        <c:axId val="1322605055"/>
        <c:axId val="1322605535"/>
      </c:barChart>
      <c:catAx>
        <c:axId val="1322605055"/>
        <c:scaling>
          <c:orientation val="minMax"/>
        </c:scaling>
        <c:delete val="1"/>
        <c:axPos val="b"/>
        <c:numFmt formatCode="General" sourceLinked="1"/>
        <c:majorTickMark val="none"/>
        <c:minorTickMark val="none"/>
        <c:tickLblPos val="nextTo"/>
        <c:crossAx val="1322605535"/>
        <c:crosses val="autoZero"/>
        <c:auto val="1"/>
        <c:lblAlgn val="ctr"/>
        <c:lblOffset val="100"/>
        <c:noMultiLvlLbl val="0"/>
      </c:catAx>
      <c:valAx>
        <c:axId val="1322605535"/>
        <c:scaling>
          <c:orientation val="minMax"/>
        </c:scaling>
        <c:delete val="1"/>
        <c:axPos val="l"/>
        <c:numFmt formatCode="General" sourceLinked="1"/>
        <c:majorTickMark val="none"/>
        <c:minorTickMark val="none"/>
        <c:tickLblPos val="nextTo"/>
        <c:crossAx val="132260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Expenses.xlsx]Dec!PivotTable14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Dec!$J$15</c:f>
              <c:strCache>
                <c:ptCount val="1"/>
                <c:pt idx="0">
                  <c:v>Sum of Budget</c:v>
                </c:pt>
              </c:strCache>
            </c:strRef>
          </c:tx>
          <c:spPr>
            <a:solidFill>
              <a:schemeClr val="accent1"/>
            </a:solidFill>
            <a:ln>
              <a:noFill/>
            </a:ln>
            <a:effectLst/>
          </c:spPr>
          <c:invertIfNegative val="0"/>
          <c:cat>
            <c:strRef>
              <c:f>Dec!$I$16:$I$24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Dec!$J$16:$J$24</c:f>
              <c:numCache>
                <c:formatCode>General</c:formatCode>
                <c:ptCount val="8"/>
                <c:pt idx="0">
                  <c:v>2000</c:v>
                </c:pt>
                <c:pt idx="1">
                  <c:v>5500</c:v>
                </c:pt>
                <c:pt idx="2">
                  <c:v>11250</c:v>
                </c:pt>
                <c:pt idx="3">
                  <c:v>2000</c:v>
                </c:pt>
                <c:pt idx="4">
                  <c:v>38000</c:v>
                </c:pt>
                <c:pt idx="5">
                  <c:v>2000</c:v>
                </c:pt>
                <c:pt idx="6">
                  <c:v>5000</c:v>
                </c:pt>
                <c:pt idx="7">
                  <c:v>3000</c:v>
                </c:pt>
              </c:numCache>
            </c:numRef>
          </c:val>
          <c:extLst>
            <c:ext xmlns:c16="http://schemas.microsoft.com/office/drawing/2014/chart" uri="{C3380CC4-5D6E-409C-BE32-E72D297353CC}">
              <c16:uniqueId val="{00000000-FA36-4A93-8D74-B62D524AAAEF}"/>
            </c:ext>
          </c:extLst>
        </c:ser>
        <c:ser>
          <c:idx val="1"/>
          <c:order val="1"/>
          <c:tx>
            <c:strRef>
              <c:f>Dec!$K$15</c:f>
              <c:strCache>
                <c:ptCount val="1"/>
                <c:pt idx="0">
                  <c:v>Sum of Actual</c:v>
                </c:pt>
              </c:strCache>
            </c:strRef>
          </c:tx>
          <c:spPr>
            <a:solidFill>
              <a:schemeClr val="accent2"/>
            </a:solidFill>
            <a:ln>
              <a:noFill/>
            </a:ln>
            <a:effectLst/>
          </c:spPr>
          <c:invertIfNegative val="0"/>
          <c:cat>
            <c:strRef>
              <c:f>Dec!$I$16:$I$24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Dec!$K$16:$K$24</c:f>
              <c:numCache>
                <c:formatCode>General</c:formatCode>
                <c:ptCount val="8"/>
                <c:pt idx="0">
                  <c:v>1760</c:v>
                </c:pt>
                <c:pt idx="1">
                  <c:v>6716</c:v>
                </c:pt>
                <c:pt idx="2">
                  <c:v>11250</c:v>
                </c:pt>
                <c:pt idx="3">
                  <c:v>2000</c:v>
                </c:pt>
                <c:pt idx="4">
                  <c:v>29497</c:v>
                </c:pt>
                <c:pt idx="5">
                  <c:v>3000</c:v>
                </c:pt>
                <c:pt idx="6">
                  <c:v>5000</c:v>
                </c:pt>
                <c:pt idx="7">
                  <c:v>2700</c:v>
                </c:pt>
              </c:numCache>
            </c:numRef>
          </c:val>
          <c:extLst>
            <c:ext xmlns:c16="http://schemas.microsoft.com/office/drawing/2014/chart" uri="{C3380CC4-5D6E-409C-BE32-E72D297353CC}">
              <c16:uniqueId val="{00000001-FA36-4A93-8D74-B62D524AAAEF}"/>
            </c:ext>
          </c:extLst>
        </c:ser>
        <c:dLbls>
          <c:showLegendKey val="0"/>
          <c:showVal val="0"/>
          <c:showCatName val="0"/>
          <c:showSerName val="0"/>
          <c:showPercent val="0"/>
          <c:showBubbleSize val="0"/>
        </c:dLbls>
        <c:gapWidth val="219"/>
        <c:overlap val="-27"/>
        <c:axId val="1854274095"/>
        <c:axId val="1854273135"/>
      </c:barChart>
      <c:catAx>
        <c:axId val="1854274095"/>
        <c:scaling>
          <c:orientation val="minMax"/>
        </c:scaling>
        <c:delete val="1"/>
        <c:axPos val="b"/>
        <c:numFmt formatCode="General" sourceLinked="1"/>
        <c:majorTickMark val="none"/>
        <c:minorTickMark val="none"/>
        <c:tickLblPos val="nextTo"/>
        <c:crossAx val="1854273135"/>
        <c:crosses val="autoZero"/>
        <c:auto val="1"/>
        <c:lblAlgn val="ctr"/>
        <c:lblOffset val="100"/>
        <c:noMultiLvlLbl val="0"/>
      </c:catAx>
      <c:valAx>
        <c:axId val="1854273135"/>
        <c:scaling>
          <c:orientation val="minMax"/>
        </c:scaling>
        <c:delete val="1"/>
        <c:axPos val="l"/>
        <c:numFmt formatCode="General" sourceLinked="1"/>
        <c:majorTickMark val="none"/>
        <c:minorTickMark val="none"/>
        <c:tickLblPos val="nextTo"/>
        <c:crossAx val="1854274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and Expenses.xlsx]Annual!Annual</c:name>
    <c:fmtId val="6"/>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Annual!$D$5</c:f>
              <c:strCache>
                <c:ptCount val="1"/>
                <c:pt idx="0">
                  <c:v>Sum of Actual Spending</c:v>
                </c:pt>
              </c:strCache>
            </c:strRef>
          </c:tx>
          <c:spPr>
            <a:solidFill>
              <a:schemeClr val="accent1"/>
            </a:solidFill>
            <a:ln>
              <a:noFill/>
            </a:ln>
            <a:effectLst/>
            <a:sp3d/>
          </c:spPr>
          <c:invertIfNegative val="0"/>
          <c:cat>
            <c:strRef>
              <c:f>Annual!$C$6:$C$14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Annual!$D$6:$D$14</c:f>
              <c:numCache>
                <c:formatCode>"Ksh"#,##0.00</c:formatCode>
                <c:ptCount val="8"/>
                <c:pt idx="0">
                  <c:v>24640</c:v>
                </c:pt>
                <c:pt idx="1">
                  <c:v>67676</c:v>
                </c:pt>
                <c:pt idx="2">
                  <c:v>135601</c:v>
                </c:pt>
                <c:pt idx="3">
                  <c:v>24000</c:v>
                </c:pt>
                <c:pt idx="4">
                  <c:v>122113</c:v>
                </c:pt>
                <c:pt idx="5">
                  <c:v>34000</c:v>
                </c:pt>
                <c:pt idx="6">
                  <c:v>59640</c:v>
                </c:pt>
                <c:pt idx="7">
                  <c:v>37167</c:v>
                </c:pt>
              </c:numCache>
            </c:numRef>
          </c:val>
          <c:extLst>
            <c:ext xmlns:c16="http://schemas.microsoft.com/office/drawing/2014/chart" uri="{C3380CC4-5D6E-409C-BE32-E72D297353CC}">
              <c16:uniqueId val="{00000000-460F-4CDC-A21F-05C003DE7935}"/>
            </c:ext>
          </c:extLst>
        </c:ser>
        <c:ser>
          <c:idx val="1"/>
          <c:order val="1"/>
          <c:tx>
            <c:strRef>
              <c:f>Annual!$E$5</c:f>
              <c:strCache>
                <c:ptCount val="1"/>
                <c:pt idx="0">
                  <c:v>Sum of Amount Budgeted</c:v>
                </c:pt>
              </c:strCache>
            </c:strRef>
          </c:tx>
          <c:spPr>
            <a:solidFill>
              <a:schemeClr val="accent2"/>
            </a:solidFill>
            <a:ln>
              <a:noFill/>
            </a:ln>
            <a:effectLst/>
            <a:sp3d/>
          </c:spPr>
          <c:invertIfNegative val="0"/>
          <c:cat>
            <c:strRef>
              <c:f>Annual!$C$6:$C$14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Annual!$E$6:$E$14</c:f>
              <c:numCache>
                <c:formatCode>"Ksh"#,##0.00</c:formatCode>
                <c:ptCount val="8"/>
                <c:pt idx="0">
                  <c:v>23000</c:v>
                </c:pt>
                <c:pt idx="1">
                  <c:v>65000</c:v>
                </c:pt>
                <c:pt idx="2">
                  <c:v>136200</c:v>
                </c:pt>
                <c:pt idx="3">
                  <c:v>24000</c:v>
                </c:pt>
                <c:pt idx="4">
                  <c:v>120500</c:v>
                </c:pt>
                <c:pt idx="5">
                  <c:v>28000</c:v>
                </c:pt>
                <c:pt idx="6">
                  <c:v>56000</c:v>
                </c:pt>
                <c:pt idx="7">
                  <c:v>37200</c:v>
                </c:pt>
              </c:numCache>
            </c:numRef>
          </c:val>
          <c:extLst>
            <c:ext xmlns:c16="http://schemas.microsoft.com/office/drawing/2014/chart" uri="{C3380CC4-5D6E-409C-BE32-E72D297353CC}">
              <c16:uniqueId val="{00000001-460F-4CDC-A21F-05C003DE7935}"/>
            </c:ext>
          </c:extLst>
        </c:ser>
        <c:ser>
          <c:idx val="2"/>
          <c:order val="2"/>
          <c:tx>
            <c:strRef>
              <c:f>Annual!$F$5</c:f>
              <c:strCache>
                <c:ptCount val="1"/>
                <c:pt idx="0">
                  <c:v>Sum of Difference</c:v>
                </c:pt>
              </c:strCache>
            </c:strRef>
          </c:tx>
          <c:spPr>
            <a:solidFill>
              <a:schemeClr val="accent3"/>
            </a:solidFill>
            <a:ln>
              <a:noFill/>
            </a:ln>
            <a:effectLst/>
            <a:sp3d/>
          </c:spPr>
          <c:invertIfNegative val="0"/>
          <c:cat>
            <c:strRef>
              <c:f>Annual!$C$6:$C$14</c:f>
              <c:strCache>
                <c:ptCount val="8"/>
                <c:pt idx="0">
                  <c:v>Debt Payments</c:v>
                </c:pt>
                <c:pt idx="1">
                  <c:v>Food</c:v>
                </c:pt>
                <c:pt idx="2">
                  <c:v>Housing</c:v>
                </c:pt>
                <c:pt idx="3">
                  <c:v>Insurance</c:v>
                </c:pt>
                <c:pt idx="4">
                  <c:v>Personal Expenses</c:v>
                </c:pt>
                <c:pt idx="5">
                  <c:v>Savings &amp; Investments</c:v>
                </c:pt>
                <c:pt idx="6">
                  <c:v>Transportation</c:v>
                </c:pt>
                <c:pt idx="7">
                  <c:v>Utilities</c:v>
                </c:pt>
              </c:strCache>
            </c:strRef>
          </c:cat>
          <c:val>
            <c:numRef>
              <c:f>Annual!$F$6:$F$14</c:f>
              <c:numCache>
                <c:formatCode>"Ksh"#,##0.00</c:formatCode>
                <c:ptCount val="8"/>
                <c:pt idx="0">
                  <c:v>3280</c:v>
                </c:pt>
                <c:pt idx="1">
                  <c:v>9848</c:v>
                </c:pt>
                <c:pt idx="2">
                  <c:v>406</c:v>
                </c:pt>
                <c:pt idx="3">
                  <c:v>0</c:v>
                </c:pt>
                <c:pt idx="4">
                  <c:v>-450</c:v>
                </c:pt>
                <c:pt idx="5">
                  <c:v>15000</c:v>
                </c:pt>
                <c:pt idx="6">
                  <c:v>6880</c:v>
                </c:pt>
                <c:pt idx="7">
                  <c:v>2734</c:v>
                </c:pt>
              </c:numCache>
            </c:numRef>
          </c:val>
          <c:extLst>
            <c:ext xmlns:c16="http://schemas.microsoft.com/office/drawing/2014/chart" uri="{C3380CC4-5D6E-409C-BE32-E72D297353CC}">
              <c16:uniqueId val="{00000002-460F-4CDC-A21F-05C003DE7935}"/>
            </c:ext>
          </c:extLst>
        </c:ser>
        <c:dLbls>
          <c:showLegendKey val="0"/>
          <c:showVal val="0"/>
          <c:showCatName val="0"/>
          <c:showSerName val="0"/>
          <c:showPercent val="0"/>
          <c:showBubbleSize val="0"/>
        </c:dLbls>
        <c:gapWidth val="150"/>
        <c:shape val="box"/>
        <c:axId val="1151564127"/>
        <c:axId val="1151565087"/>
        <c:axId val="1895243759"/>
      </c:bar3DChart>
      <c:catAx>
        <c:axId val="1151564127"/>
        <c:scaling>
          <c:orientation val="minMax"/>
        </c:scaling>
        <c:delete val="1"/>
        <c:axPos val="b"/>
        <c:numFmt formatCode="General" sourceLinked="1"/>
        <c:majorTickMark val="none"/>
        <c:minorTickMark val="none"/>
        <c:tickLblPos val="nextTo"/>
        <c:crossAx val="1151565087"/>
        <c:crosses val="autoZero"/>
        <c:auto val="1"/>
        <c:lblAlgn val="ctr"/>
        <c:lblOffset val="100"/>
        <c:noMultiLvlLbl val="0"/>
      </c:catAx>
      <c:valAx>
        <c:axId val="1151565087"/>
        <c:scaling>
          <c:orientation val="minMax"/>
        </c:scaling>
        <c:delete val="1"/>
        <c:axPos val="l"/>
        <c:majorGridlines>
          <c:spPr>
            <a:ln w="9525" cap="flat" cmpd="sng" algn="ctr">
              <a:solidFill>
                <a:schemeClr val="tx1">
                  <a:lumMod val="15000"/>
                  <a:lumOff val="85000"/>
                </a:schemeClr>
              </a:solidFill>
              <a:round/>
            </a:ln>
            <a:effectLst/>
          </c:spPr>
        </c:majorGridlines>
        <c:numFmt formatCode="&quot;Ksh&quot;#,##0.00" sourceLinked="1"/>
        <c:majorTickMark val="none"/>
        <c:minorTickMark val="none"/>
        <c:tickLblPos val="nextTo"/>
        <c:crossAx val="1151564127"/>
        <c:crosses val="autoZero"/>
        <c:crossBetween val="between"/>
      </c:valAx>
      <c:serAx>
        <c:axId val="1895243759"/>
        <c:scaling>
          <c:orientation val="minMax"/>
        </c:scaling>
        <c:delete val="1"/>
        <c:axPos val="b"/>
        <c:majorTickMark val="none"/>
        <c:minorTickMark val="none"/>
        <c:tickLblPos val="nextTo"/>
        <c:crossAx val="115156508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'Housing Forecast'!$B$1</c:f>
              <c:strCache>
                <c:ptCount val="1"/>
                <c:pt idx="0">
                  <c:v>Sum of Housing</c:v>
                </c:pt>
              </c:strCache>
            </c:strRef>
          </c:tx>
          <c:spPr>
            <a:ln w="28575" cap="rnd">
              <a:solidFill>
                <a:schemeClr val="accent1"/>
              </a:solidFill>
              <a:round/>
            </a:ln>
            <a:effectLst/>
          </c:spPr>
          <c:marker>
            <c:symbol val="none"/>
          </c:marker>
          <c:val>
            <c:numRef>
              <c:f>'Housing Forecast'!$B$2:$B$16</c:f>
              <c:numCache>
                <c:formatCode>"Ksh"#,##0.00</c:formatCode>
                <c:ptCount val="15"/>
                <c:pt idx="0">
                  <c:v>11451</c:v>
                </c:pt>
                <c:pt idx="1">
                  <c:v>11250</c:v>
                </c:pt>
                <c:pt idx="2">
                  <c:v>11250</c:v>
                </c:pt>
                <c:pt idx="3">
                  <c:v>11250</c:v>
                </c:pt>
                <c:pt idx="4">
                  <c:v>11450</c:v>
                </c:pt>
                <c:pt idx="5">
                  <c:v>11250</c:v>
                </c:pt>
                <c:pt idx="6">
                  <c:v>11250</c:v>
                </c:pt>
                <c:pt idx="7">
                  <c:v>11250</c:v>
                </c:pt>
                <c:pt idx="8">
                  <c:v>11250</c:v>
                </c:pt>
                <c:pt idx="9">
                  <c:v>11250</c:v>
                </c:pt>
                <c:pt idx="10">
                  <c:v>11450</c:v>
                </c:pt>
                <c:pt idx="11">
                  <c:v>11250</c:v>
                </c:pt>
              </c:numCache>
            </c:numRef>
          </c:val>
          <c:smooth val="0"/>
          <c:extLst>
            <c:ext xmlns:c16="http://schemas.microsoft.com/office/drawing/2014/chart" uri="{C3380CC4-5D6E-409C-BE32-E72D297353CC}">
              <c16:uniqueId val="{00000000-A0F9-40F1-8ECC-0E1A86A7927B}"/>
            </c:ext>
          </c:extLst>
        </c:ser>
        <c:ser>
          <c:idx val="1"/>
          <c:order val="1"/>
          <c:tx>
            <c:strRef>
              <c:f>'Housing Forecast'!$C$1</c:f>
              <c:strCache>
                <c:ptCount val="1"/>
                <c:pt idx="0">
                  <c:v>Forecast(Sum of Housing)</c:v>
                </c:pt>
              </c:strCache>
            </c:strRef>
          </c:tx>
          <c:spPr>
            <a:ln w="25400" cap="rnd">
              <a:solidFill>
                <a:schemeClr val="accent2"/>
              </a:solidFill>
              <a:round/>
            </a:ln>
            <a:effectLst/>
          </c:spPr>
          <c:marker>
            <c:symbol val="none"/>
          </c:marker>
          <c:cat>
            <c:numRef>
              <c:f>'Housing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'Housing Forecast'!$C$2:$C$16</c:f>
              <c:numCache>
                <c:formatCode>General</c:formatCode>
                <c:ptCount val="15"/>
                <c:pt idx="11" formatCode="&quot;Ksh&quot;#,##0.00">
                  <c:v>11250</c:v>
                </c:pt>
                <c:pt idx="12" formatCode="&quot;Ksh&quot;#,##0.00">
                  <c:v>11293.358269508752</c:v>
                </c:pt>
                <c:pt idx="13" formatCode="&quot;Ksh&quot;#,##0.00">
                  <c:v>11289.598663288503</c:v>
                </c:pt>
                <c:pt idx="14" formatCode="&quot;Ksh&quot;#,##0.00">
                  <c:v>11285.839057068253</c:v>
                </c:pt>
              </c:numCache>
            </c:numRef>
          </c:val>
          <c:smooth val="0"/>
          <c:extLst>
            <c:ext xmlns:c16="http://schemas.microsoft.com/office/drawing/2014/chart" uri="{C3380CC4-5D6E-409C-BE32-E72D297353CC}">
              <c16:uniqueId val="{00000001-A0F9-40F1-8ECC-0E1A86A7927B}"/>
            </c:ext>
          </c:extLst>
        </c:ser>
        <c:ser>
          <c:idx val="2"/>
          <c:order val="2"/>
          <c:tx>
            <c:strRef>
              <c:f>'Housing Forecast'!$D$1</c:f>
              <c:strCache>
                <c:ptCount val="1"/>
                <c:pt idx="0">
                  <c:v>Lower Confidence Bound(Sum of Housing)</c:v>
                </c:pt>
              </c:strCache>
            </c:strRef>
          </c:tx>
          <c:spPr>
            <a:ln w="12700" cap="rnd">
              <a:solidFill>
                <a:srgbClr val="EA4335"/>
              </a:solidFill>
              <a:prstDash val="solid"/>
              <a:round/>
            </a:ln>
            <a:effectLst/>
          </c:spPr>
          <c:marker>
            <c:symbol val="none"/>
          </c:marker>
          <c:cat>
            <c:numRef>
              <c:f>'Housing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'Housing Forecast'!$D$2:$D$16</c:f>
              <c:numCache>
                <c:formatCode>General</c:formatCode>
                <c:ptCount val="15"/>
                <c:pt idx="11" formatCode="&quot;Ksh&quot;#,##0.00">
                  <c:v>11250</c:v>
                </c:pt>
                <c:pt idx="12" formatCode="&quot;Ksh&quot;#,##0.00">
                  <c:v>11076.004528423371</c:v>
                </c:pt>
                <c:pt idx="13" formatCode="&quot;Ksh&quot;#,##0.00">
                  <c:v>11046.492511893324</c:v>
                </c:pt>
                <c:pt idx="14" formatCode="&quot;Ksh&quot;#,##0.00">
                  <c:v>11019.369664256901</c:v>
                </c:pt>
              </c:numCache>
            </c:numRef>
          </c:val>
          <c:smooth val="0"/>
          <c:extLst>
            <c:ext xmlns:c16="http://schemas.microsoft.com/office/drawing/2014/chart" uri="{C3380CC4-5D6E-409C-BE32-E72D297353CC}">
              <c16:uniqueId val="{00000002-A0F9-40F1-8ECC-0E1A86A7927B}"/>
            </c:ext>
          </c:extLst>
        </c:ser>
        <c:ser>
          <c:idx val="3"/>
          <c:order val="3"/>
          <c:tx>
            <c:strRef>
              <c:f>'Housing Forecast'!$E$1</c:f>
              <c:strCache>
                <c:ptCount val="1"/>
                <c:pt idx="0">
                  <c:v>Upper Confidence Bound(Sum of Housing)</c:v>
                </c:pt>
              </c:strCache>
            </c:strRef>
          </c:tx>
          <c:spPr>
            <a:ln w="12700" cap="rnd">
              <a:solidFill>
                <a:srgbClr val="EA4335"/>
              </a:solidFill>
              <a:prstDash val="solid"/>
              <a:round/>
            </a:ln>
            <a:effectLst/>
          </c:spPr>
          <c:marker>
            <c:symbol val="none"/>
          </c:marker>
          <c:cat>
            <c:numRef>
              <c:f>'Housing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'Housing Forecast'!$E$2:$E$16</c:f>
              <c:numCache>
                <c:formatCode>General</c:formatCode>
                <c:ptCount val="15"/>
                <c:pt idx="11" formatCode="&quot;Ksh&quot;#,##0.00">
                  <c:v>11250</c:v>
                </c:pt>
                <c:pt idx="12" formatCode="&quot;Ksh&quot;#,##0.00">
                  <c:v>11510.712010594132</c:v>
                </c:pt>
                <c:pt idx="13" formatCode="&quot;Ksh&quot;#,##0.00">
                  <c:v>11532.704814683682</c:v>
                </c:pt>
                <c:pt idx="14" formatCode="&quot;Ksh&quot;#,##0.00">
                  <c:v>11552.308449879605</c:v>
                </c:pt>
              </c:numCache>
            </c:numRef>
          </c:val>
          <c:smooth val="0"/>
          <c:extLst>
            <c:ext xmlns:c16="http://schemas.microsoft.com/office/drawing/2014/chart" uri="{C3380CC4-5D6E-409C-BE32-E72D297353CC}">
              <c16:uniqueId val="{00000003-A0F9-40F1-8ECC-0E1A86A7927B}"/>
            </c:ext>
          </c:extLst>
        </c:ser>
        <c:dLbls>
          <c:showLegendKey val="0"/>
          <c:showVal val="0"/>
          <c:showCatName val="0"/>
          <c:showSerName val="0"/>
          <c:showPercent val="0"/>
          <c:showBubbleSize val="0"/>
        </c:dLbls>
        <c:smooth val="0"/>
        <c:axId val="1054703199"/>
        <c:axId val="1054712799"/>
      </c:lineChart>
      <c:catAx>
        <c:axId val="105470319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54712799"/>
        <c:crosses val="autoZero"/>
        <c:auto val="1"/>
        <c:lblAlgn val="ctr"/>
        <c:lblOffset val="100"/>
        <c:noMultiLvlLbl val="0"/>
      </c:catAx>
      <c:valAx>
        <c:axId val="1054712799"/>
        <c:scaling>
          <c:orientation val="minMax"/>
        </c:scaling>
        <c:delete val="0"/>
        <c:axPos val="l"/>
        <c:majorGridlines>
          <c:spPr>
            <a:ln w="9525" cap="flat" cmpd="sng" algn="ctr">
              <a:solidFill>
                <a:schemeClr val="tx1">
                  <a:lumMod val="15000"/>
                  <a:lumOff val="85000"/>
                </a:schemeClr>
              </a:solidFill>
              <a:round/>
            </a:ln>
            <a:effectLst/>
          </c:spPr>
        </c:majorGridlines>
        <c:numFmt formatCode="&quot;Ksh&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547031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'Utilities Forecast'!$B$1</c:f>
              <c:strCache>
                <c:ptCount val="1"/>
                <c:pt idx="0">
                  <c:v>Sum of Utilities</c:v>
                </c:pt>
              </c:strCache>
            </c:strRef>
          </c:tx>
          <c:spPr>
            <a:ln w="28575" cap="rnd">
              <a:solidFill>
                <a:schemeClr val="accent1"/>
              </a:solidFill>
              <a:round/>
            </a:ln>
            <a:effectLst/>
          </c:spPr>
          <c:marker>
            <c:symbol val="none"/>
          </c:marker>
          <c:val>
            <c:numRef>
              <c:f>'Utilities Forecast'!$B$2:$B$16</c:f>
              <c:numCache>
                <c:formatCode>"Ksh"#,##0.00</c:formatCode>
                <c:ptCount val="15"/>
                <c:pt idx="0">
                  <c:v>3780</c:v>
                </c:pt>
                <c:pt idx="1">
                  <c:v>3230</c:v>
                </c:pt>
                <c:pt idx="2">
                  <c:v>3097</c:v>
                </c:pt>
                <c:pt idx="3">
                  <c:v>2950</c:v>
                </c:pt>
                <c:pt idx="4">
                  <c:v>2770</c:v>
                </c:pt>
                <c:pt idx="5">
                  <c:v>3230</c:v>
                </c:pt>
                <c:pt idx="6">
                  <c:v>3230</c:v>
                </c:pt>
                <c:pt idx="7">
                  <c:v>2950</c:v>
                </c:pt>
                <c:pt idx="8">
                  <c:v>3230</c:v>
                </c:pt>
                <c:pt idx="9">
                  <c:v>3230</c:v>
                </c:pt>
                <c:pt idx="10">
                  <c:v>2770</c:v>
                </c:pt>
                <c:pt idx="11">
                  <c:v>2700</c:v>
                </c:pt>
              </c:numCache>
            </c:numRef>
          </c:val>
          <c:smooth val="0"/>
          <c:extLst>
            <c:ext xmlns:c16="http://schemas.microsoft.com/office/drawing/2014/chart" uri="{C3380CC4-5D6E-409C-BE32-E72D297353CC}">
              <c16:uniqueId val="{00000000-8D03-4CB6-9071-BCC5689F8B57}"/>
            </c:ext>
          </c:extLst>
        </c:ser>
        <c:ser>
          <c:idx val="1"/>
          <c:order val="1"/>
          <c:tx>
            <c:strRef>
              <c:f>'Utilities Forecast'!$C$1</c:f>
              <c:strCache>
                <c:ptCount val="1"/>
                <c:pt idx="0">
                  <c:v>Forecast(Sum of Utilities)</c:v>
                </c:pt>
              </c:strCache>
            </c:strRef>
          </c:tx>
          <c:spPr>
            <a:ln w="25400" cap="rnd">
              <a:solidFill>
                <a:schemeClr val="accent2"/>
              </a:solidFill>
              <a:round/>
            </a:ln>
            <a:effectLst/>
          </c:spPr>
          <c:marker>
            <c:symbol val="none"/>
          </c:marker>
          <c:cat>
            <c:numRef>
              <c:f>'Utilities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'Utilities Forecast'!$C$2:$C$16</c:f>
              <c:numCache>
                <c:formatCode>General</c:formatCode>
                <c:ptCount val="15"/>
                <c:pt idx="11" formatCode="&quot;Ksh&quot;#,##0.00">
                  <c:v>2700</c:v>
                </c:pt>
                <c:pt idx="12" formatCode="&quot;Ksh&quot;#,##0.00">
                  <c:v>2683.2154202108381</c:v>
                </c:pt>
                <c:pt idx="13" formatCode="&quot;Ksh&quot;#,##0.00">
                  <c:v>2636.5219129492471</c:v>
                </c:pt>
                <c:pt idx="14" formatCode="&quot;Ksh&quot;#,##0.00">
                  <c:v>2589.8284056876555</c:v>
                </c:pt>
              </c:numCache>
            </c:numRef>
          </c:val>
          <c:smooth val="0"/>
          <c:extLst>
            <c:ext xmlns:c16="http://schemas.microsoft.com/office/drawing/2014/chart" uri="{C3380CC4-5D6E-409C-BE32-E72D297353CC}">
              <c16:uniqueId val="{00000001-8D03-4CB6-9071-BCC5689F8B57}"/>
            </c:ext>
          </c:extLst>
        </c:ser>
        <c:ser>
          <c:idx val="2"/>
          <c:order val="2"/>
          <c:tx>
            <c:strRef>
              <c:f>'Utilities Forecast'!$D$1</c:f>
              <c:strCache>
                <c:ptCount val="1"/>
                <c:pt idx="0">
                  <c:v>Lower Confidence Bound(Sum of Utilities)</c:v>
                </c:pt>
              </c:strCache>
            </c:strRef>
          </c:tx>
          <c:spPr>
            <a:ln w="12700" cap="rnd">
              <a:solidFill>
                <a:srgbClr val="EA4335"/>
              </a:solidFill>
              <a:prstDash val="solid"/>
              <a:round/>
            </a:ln>
            <a:effectLst/>
          </c:spPr>
          <c:marker>
            <c:symbol val="none"/>
          </c:marker>
          <c:cat>
            <c:numRef>
              <c:f>'Utilities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'Utilities Forecast'!$D$2:$D$16</c:f>
              <c:numCache>
                <c:formatCode>General</c:formatCode>
                <c:ptCount val="15"/>
                <c:pt idx="11" formatCode="&quot;Ksh&quot;#,##0.00">
                  <c:v>2700</c:v>
                </c:pt>
                <c:pt idx="12" formatCode="&quot;Ksh&quot;#,##0.00">
                  <c:v>2151.0748591212905</c:v>
                </c:pt>
                <c:pt idx="13" formatCode="&quot;Ksh&quot;#,##0.00">
                  <c:v>1971.0267910880475</c:v>
                </c:pt>
                <c:pt idx="14" formatCode="&quot;Ksh&quot;#,##0.00">
                  <c:v>1813.285072980927</c:v>
                </c:pt>
              </c:numCache>
            </c:numRef>
          </c:val>
          <c:smooth val="0"/>
          <c:extLst>
            <c:ext xmlns:c16="http://schemas.microsoft.com/office/drawing/2014/chart" uri="{C3380CC4-5D6E-409C-BE32-E72D297353CC}">
              <c16:uniqueId val="{00000002-8D03-4CB6-9071-BCC5689F8B57}"/>
            </c:ext>
          </c:extLst>
        </c:ser>
        <c:ser>
          <c:idx val="3"/>
          <c:order val="3"/>
          <c:tx>
            <c:strRef>
              <c:f>'Utilities Forecast'!$E$1</c:f>
              <c:strCache>
                <c:ptCount val="1"/>
                <c:pt idx="0">
                  <c:v>Upper Confidence Bound(Sum of Utilities)</c:v>
                </c:pt>
              </c:strCache>
            </c:strRef>
          </c:tx>
          <c:spPr>
            <a:ln w="12700" cap="rnd">
              <a:solidFill>
                <a:srgbClr val="EA4335"/>
              </a:solidFill>
              <a:prstDash val="solid"/>
              <a:round/>
            </a:ln>
            <a:effectLst/>
          </c:spPr>
          <c:marker>
            <c:symbol val="none"/>
          </c:marker>
          <c:cat>
            <c:numRef>
              <c:f>'Utilities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'Utilities Forecast'!$E$2:$E$16</c:f>
              <c:numCache>
                <c:formatCode>General</c:formatCode>
                <c:ptCount val="15"/>
                <c:pt idx="11" formatCode="&quot;Ksh&quot;#,##0.00">
                  <c:v>2700</c:v>
                </c:pt>
                <c:pt idx="12" formatCode="&quot;Ksh&quot;#,##0.00">
                  <c:v>3215.3559813003858</c:v>
                </c:pt>
                <c:pt idx="13" formatCode="&quot;Ksh&quot;#,##0.00">
                  <c:v>3302.0170348104466</c:v>
                </c:pt>
                <c:pt idx="14" formatCode="&quot;Ksh&quot;#,##0.00">
                  <c:v>3366.371738394384</c:v>
                </c:pt>
              </c:numCache>
            </c:numRef>
          </c:val>
          <c:smooth val="0"/>
          <c:extLst>
            <c:ext xmlns:c16="http://schemas.microsoft.com/office/drawing/2014/chart" uri="{C3380CC4-5D6E-409C-BE32-E72D297353CC}">
              <c16:uniqueId val="{00000003-8D03-4CB6-9071-BCC5689F8B57}"/>
            </c:ext>
          </c:extLst>
        </c:ser>
        <c:dLbls>
          <c:showLegendKey val="0"/>
          <c:showVal val="0"/>
          <c:showCatName val="0"/>
          <c:showSerName val="0"/>
          <c:showPercent val="0"/>
          <c:showBubbleSize val="0"/>
        </c:dLbls>
        <c:smooth val="0"/>
        <c:axId val="1054704639"/>
        <c:axId val="1054705119"/>
      </c:lineChart>
      <c:catAx>
        <c:axId val="105470463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54705119"/>
        <c:crosses val="autoZero"/>
        <c:auto val="1"/>
        <c:lblAlgn val="ctr"/>
        <c:lblOffset val="100"/>
        <c:noMultiLvlLbl val="0"/>
      </c:catAx>
      <c:valAx>
        <c:axId val="1054705119"/>
        <c:scaling>
          <c:orientation val="minMax"/>
        </c:scaling>
        <c:delete val="0"/>
        <c:axPos val="l"/>
        <c:majorGridlines>
          <c:spPr>
            <a:ln w="9525" cap="flat" cmpd="sng" algn="ctr">
              <a:solidFill>
                <a:schemeClr val="tx1">
                  <a:lumMod val="15000"/>
                  <a:lumOff val="85000"/>
                </a:schemeClr>
              </a:solidFill>
              <a:round/>
            </a:ln>
            <a:effectLst/>
          </c:spPr>
        </c:majorGridlines>
        <c:numFmt formatCode="&quot;Ksh&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54704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'Food Forecast'!$B$1</c:f>
              <c:strCache>
                <c:ptCount val="1"/>
                <c:pt idx="0">
                  <c:v>Sum of Food</c:v>
                </c:pt>
              </c:strCache>
            </c:strRef>
          </c:tx>
          <c:spPr>
            <a:ln w="28575" cap="rnd">
              <a:solidFill>
                <a:schemeClr val="accent1"/>
              </a:solidFill>
              <a:round/>
            </a:ln>
            <a:effectLst/>
          </c:spPr>
          <c:marker>
            <c:symbol val="none"/>
          </c:marker>
          <c:val>
            <c:numRef>
              <c:f>'Food Forecast'!$B$2:$B$16</c:f>
              <c:numCache>
                <c:formatCode>"Ksh"#,##0.00</c:formatCode>
                <c:ptCount val="15"/>
                <c:pt idx="0">
                  <c:v>6716</c:v>
                </c:pt>
                <c:pt idx="1">
                  <c:v>5967</c:v>
                </c:pt>
                <c:pt idx="2">
                  <c:v>4840</c:v>
                </c:pt>
                <c:pt idx="3">
                  <c:v>5450</c:v>
                </c:pt>
                <c:pt idx="4">
                  <c:v>4253</c:v>
                </c:pt>
                <c:pt idx="5">
                  <c:v>6130</c:v>
                </c:pt>
                <c:pt idx="6">
                  <c:v>5967</c:v>
                </c:pt>
                <c:pt idx="7">
                  <c:v>5450</c:v>
                </c:pt>
                <c:pt idx="8">
                  <c:v>5967</c:v>
                </c:pt>
                <c:pt idx="9">
                  <c:v>5967</c:v>
                </c:pt>
                <c:pt idx="10">
                  <c:v>4253</c:v>
                </c:pt>
                <c:pt idx="11">
                  <c:v>6716</c:v>
                </c:pt>
              </c:numCache>
            </c:numRef>
          </c:val>
          <c:smooth val="0"/>
          <c:extLst>
            <c:ext xmlns:c16="http://schemas.microsoft.com/office/drawing/2014/chart" uri="{C3380CC4-5D6E-409C-BE32-E72D297353CC}">
              <c16:uniqueId val="{00000000-3DF2-452B-9EE0-173A370191A5}"/>
            </c:ext>
          </c:extLst>
        </c:ser>
        <c:ser>
          <c:idx val="1"/>
          <c:order val="1"/>
          <c:tx>
            <c:strRef>
              <c:f>'Food Forecast'!$C$1</c:f>
              <c:strCache>
                <c:ptCount val="1"/>
                <c:pt idx="0">
                  <c:v>Forecast(Sum of Food)</c:v>
                </c:pt>
              </c:strCache>
            </c:strRef>
          </c:tx>
          <c:spPr>
            <a:ln w="25400" cap="rnd">
              <a:solidFill>
                <a:schemeClr val="accent2"/>
              </a:solidFill>
              <a:round/>
            </a:ln>
            <a:effectLst/>
          </c:spPr>
          <c:marker>
            <c:symbol val="none"/>
          </c:marker>
          <c:cat>
            <c:numRef>
              <c:f>'Food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'Food Forecast'!$C$2:$C$16</c:f>
              <c:numCache>
                <c:formatCode>General</c:formatCode>
                <c:ptCount val="15"/>
                <c:pt idx="11" formatCode="&quot;Ksh&quot;#,##0.00">
                  <c:v>6716</c:v>
                </c:pt>
                <c:pt idx="12" formatCode="&quot;Ksh&quot;#,##0.00">
                  <c:v>5875.0406905594455</c:v>
                </c:pt>
                <c:pt idx="13" formatCode="&quot;Ksh&quot;#,##0.00">
                  <c:v>5868.2047687975819</c:v>
                </c:pt>
                <c:pt idx="14" formatCode="&quot;Ksh&quot;#,##0.00">
                  <c:v>5861.3688470357138</c:v>
                </c:pt>
              </c:numCache>
            </c:numRef>
          </c:val>
          <c:smooth val="0"/>
          <c:extLst>
            <c:ext xmlns:c16="http://schemas.microsoft.com/office/drawing/2014/chart" uri="{C3380CC4-5D6E-409C-BE32-E72D297353CC}">
              <c16:uniqueId val="{00000001-3DF2-452B-9EE0-173A370191A5}"/>
            </c:ext>
          </c:extLst>
        </c:ser>
        <c:ser>
          <c:idx val="2"/>
          <c:order val="2"/>
          <c:tx>
            <c:strRef>
              <c:f>'Food Forecast'!$D$1</c:f>
              <c:strCache>
                <c:ptCount val="1"/>
                <c:pt idx="0">
                  <c:v>Lower Confidence Bound(Sum of Food)</c:v>
                </c:pt>
              </c:strCache>
            </c:strRef>
          </c:tx>
          <c:spPr>
            <a:ln w="12700" cap="rnd">
              <a:solidFill>
                <a:srgbClr val="EA4335"/>
              </a:solidFill>
              <a:prstDash val="solid"/>
              <a:round/>
            </a:ln>
            <a:effectLst/>
          </c:spPr>
          <c:marker>
            <c:symbol val="none"/>
          </c:marker>
          <c:cat>
            <c:numRef>
              <c:f>'Food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'Food Forecast'!$D$2:$D$16</c:f>
              <c:numCache>
                <c:formatCode>General</c:formatCode>
                <c:ptCount val="15"/>
                <c:pt idx="11" formatCode="&quot;Ksh&quot;#,##0.00">
                  <c:v>6716</c:v>
                </c:pt>
                <c:pt idx="12" formatCode="&quot;Ksh&quot;#,##0.00">
                  <c:v>3930.7036968653547</c:v>
                </c:pt>
                <c:pt idx="13" formatCode="&quot;Ksh&quot;#,##0.00">
                  <c:v>3693.4996949770857</c:v>
                </c:pt>
                <c:pt idx="14" formatCode="&quot;Ksh&quot;#,##0.00">
                  <c:v>3477.6679935648071</c:v>
                </c:pt>
              </c:numCache>
            </c:numRef>
          </c:val>
          <c:smooth val="0"/>
          <c:extLst>
            <c:ext xmlns:c16="http://schemas.microsoft.com/office/drawing/2014/chart" uri="{C3380CC4-5D6E-409C-BE32-E72D297353CC}">
              <c16:uniqueId val="{00000002-3DF2-452B-9EE0-173A370191A5}"/>
            </c:ext>
          </c:extLst>
        </c:ser>
        <c:ser>
          <c:idx val="3"/>
          <c:order val="3"/>
          <c:tx>
            <c:strRef>
              <c:f>'Food Forecast'!$E$1</c:f>
              <c:strCache>
                <c:ptCount val="1"/>
                <c:pt idx="0">
                  <c:v>Upper Confidence Bound(Sum of Food)</c:v>
                </c:pt>
              </c:strCache>
            </c:strRef>
          </c:tx>
          <c:spPr>
            <a:ln w="12700" cap="rnd">
              <a:solidFill>
                <a:srgbClr val="EA4335"/>
              </a:solidFill>
              <a:prstDash val="solid"/>
              <a:round/>
            </a:ln>
            <a:effectLst/>
          </c:spPr>
          <c:marker>
            <c:symbol val="none"/>
          </c:marker>
          <c:cat>
            <c:numRef>
              <c:f>'Food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'Food Forecast'!$E$2:$E$16</c:f>
              <c:numCache>
                <c:formatCode>General</c:formatCode>
                <c:ptCount val="15"/>
                <c:pt idx="11" formatCode="&quot;Ksh&quot;#,##0.00">
                  <c:v>6716</c:v>
                </c:pt>
                <c:pt idx="12" formatCode="&quot;Ksh&quot;#,##0.00">
                  <c:v>7819.3776842535362</c:v>
                </c:pt>
                <c:pt idx="13" formatCode="&quot;Ksh&quot;#,##0.00">
                  <c:v>8042.9098426180781</c:v>
                </c:pt>
                <c:pt idx="14" formatCode="&quot;Ksh&quot;#,##0.00">
                  <c:v>8245.0697005066213</c:v>
                </c:pt>
              </c:numCache>
            </c:numRef>
          </c:val>
          <c:smooth val="0"/>
          <c:extLst>
            <c:ext xmlns:c16="http://schemas.microsoft.com/office/drawing/2014/chart" uri="{C3380CC4-5D6E-409C-BE32-E72D297353CC}">
              <c16:uniqueId val="{00000003-3DF2-452B-9EE0-173A370191A5}"/>
            </c:ext>
          </c:extLst>
        </c:ser>
        <c:dLbls>
          <c:showLegendKey val="0"/>
          <c:showVal val="0"/>
          <c:showCatName val="0"/>
          <c:showSerName val="0"/>
          <c:showPercent val="0"/>
          <c:showBubbleSize val="0"/>
        </c:dLbls>
        <c:smooth val="0"/>
        <c:axId val="1043113711"/>
        <c:axId val="1043132911"/>
      </c:lineChart>
      <c:catAx>
        <c:axId val="1043113711"/>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43132911"/>
        <c:crosses val="autoZero"/>
        <c:auto val="1"/>
        <c:lblAlgn val="ctr"/>
        <c:lblOffset val="100"/>
        <c:noMultiLvlLbl val="0"/>
      </c:catAx>
      <c:valAx>
        <c:axId val="1043132911"/>
        <c:scaling>
          <c:orientation val="minMax"/>
        </c:scaling>
        <c:delete val="0"/>
        <c:axPos val="l"/>
        <c:majorGridlines>
          <c:spPr>
            <a:ln w="9525" cap="flat" cmpd="sng" algn="ctr">
              <a:solidFill>
                <a:schemeClr val="tx1">
                  <a:lumMod val="15000"/>
                  <a:lumOff val="85000"/>
                </a:schemeClr>
              </a:solidFill>
              <a:round/>
            </a:ln>
            <a:effectLst/>
          </c:spPr>
        </c:majorGridlines>
        <c:numFmt formatCode="&quot;Ksh&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43113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'Transportation Forecast'!$B$1</c:f>
              <c:strCache>
                <c:ptCount val="1"/>
                <c:pt idx="0">
                  <c:v>Sum of Transportation</c:v>
                </c:pt>
              </c:strCache>
            </c:strRef>
          </c:tx>
          <c:spPr>
            <a:ln w="28575" cap="rnd">
              <a:solidFill>
                <a:schemeClr val="accent1"/>
              </a:solidFill>
              <a:round/>
            </a:ln>
            <a:effectLst/>
          </c:spPr>
          <c:marker>
            <c:symbol val="none"/>
          </c:marker>
          <c:val>
            <c:numRef>
              <c:f>'Transportation Forecast'!$B$2:$B$16</c:f>
              <c:numCache>
                <c:formatCode>"Ksh"#,##0.00</c:formatCode>
                <c:ptCount val="15"/>
                <c:pt idx="0">
                  <c:v>4400</c:v>
                </c:pt>
                <c:pt idx="1">
                  <c:v>5000</c:v>
                </c:pt>
                <c:pt idx="2">
                  <c:v>6340</c:v>
                </c:pt>
                <c:pt idx="3">
                  <c:v>5600</c:v>
                </c:pt>
                <c:pt idx="4">
                  <c:v>4100</c:v>
                </c:pt>
                <c:pt idx="5">
                  <c:v>4500</c:v>
                </c:pt>
                <c:pt idx="6">
                  <c:v>5000</c:v>
                </c:pt>
                <c:pt idx="7">
                  <c:v>5600</c:v>
                </c:pt>
                <c:pt idx="8">
                  <c:v>5000</c:v>
                </c:pt>
                <c:pt idx="9">
                  <c:v>5000</c:v>
                </c:pt>
                <c:pt idx="10">
                  <c:v>4100</c:v>
                </c:pt>
                <c:pt idx="11">
                  <c:v>5000</c:v>
                </c:pt>
              </c:numCache>
            </c:numRef>
          </c:val>
          <c:smooth val="0"/>
          <c:extLst>
            <c:ext xmlns:c16="http://schemas.microsoft.com/office/drawing/2014/chart" uri="{C3380CC4-5D6E-409C-BE32-E72D297353CC}">
              <c16:uniqueId val="{00000000-6684-4AD9-B074-96FF2392E427}"/>
            </c:ext>
          </c:extLst>
        </c:ser>
        <c:ser>
          <c:idx val="1"/>
          <c:order val="1"/>
          <c:tx>
            <c:strRef>
              <c:f>'Transportation Forecast'!$C$1</c:f>
              <c:strCache>
                <c:ptCount val="1"/>
                <c:pt idx="0">
                  <c:v>Forecast(Sum of Transportation)</c:v>
                </c:pt>
              </c:strCache>
            </c:strRef>
          </c:tx>
          <c:spPr>
            <a:ln w="25400" cap="rnd">
              <a:solidFill>
                <a:schemeClr val="accent2"/>
              </a:solidFill>
              <a:round/>
            </a:ln>
            <a:effectLst/>
          </c:spPr>
          <c:marker>
            <c:symbol val="none"/>
          </c:marker>
          <c:cat>
            <c:numRef>
              <c:f>'Transportation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'Transportation Forecast'!$C$2:$C$16</c:f>
              <c:numCache>
                <c:formatCode>General</c:formatCode>
                <c:ptCount val="15"/>
                <c:pt idx="11" formatCode="&quot;Ksh&quot;#,##0.00">
                  <c:v>5000</c:v>
                </c:pt>
                <c:pt idx="12" formatCode="&quot;Ksh&quot;#,##0.00">
                  <c:v>4731.2520121098587</c:v>
                </c:pt>
                <c:pt idx="13" formatCode="&quot;Ksh&quot;#,##0.00">
                  <c:v>4702.9106260476319</c:v>
                </c:pt>
                <c:pt idx="14" formatCode="&quot;Ksh&quot;#,##0.00">
                  <c:v>4674.5692399854042</c:v>
                </c:pt>
              </c:numCache>
            </c:numRef>
          </c:val>
          <c:smooth val="0"/>
          <c:extLst>
            <c:ext xmlns:c16="http://schemas.microsoft.com/office/drawing/2014/chart" uri="{C3380CC4-5D6E-409C-BE32-E72D297353CC}">
              <c16:uniqueId val="{00000001-6684-4AD9-B074-96FF2392E427}"/>
            </c:ext>
          </c:extLst>
        </c:ser>
        <c:ser>
          <c:idx val="2"/>
          <c:order val="2"/>
          <c:tx>
            <c:strRef>
              <c:f>'Transportation Forecast'!$D$1</c:f>
              <c:strCache>
                <c:ptCount val="1"/>
                <c:pt idx="0">
                  <c:v>Lower Confidence Bound(Sum of Transportation)</c:v>
                </c:pt>
              </c:strCache>
            </c:strRef>
          </c:tx>
          <c:spPr>
            <a:ln w="12700" cap="rnd">
              <a:solidFill>
                <a:srgbClr val="EA4335"/>
              </a:solidFill>
              <a:prstDash val="solid"/>
              <a:round/>
            </a:ln>
            <a:effectLst/>
          </c:spPr>
          <c:marker>
            <c:symbol val="none"/>
          </c:marker>
          <c:cat>
            <c:numRef>
              <c:f>'Transportation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'Transportation Forecast'!$D$2:$D$16</c:f>
              <c:numCache>
                <c:formatCode>General</c:formatCode>
                <c:ptCount val="15"/>
                <c:pt idx="11" formatCode="&quot;Ksh&quot;#,##0.00">
                  <c:v>5000</c:v>
                </c:pt>
                <c:pt idx="12" formatCode="&quot;Ksh&quot;#,##0.00">
                  <c:v>3247.4805090146783</c:v>
                </c:pt>
                <c:pt idx="13" formatCode="&quot;Ksh&quot;#,##0.00">
                  <c:v>3173.1134234749393</c:v>
                </c:pt>
                <c:pt idx="14" formatCode="&quot;Ksh&quot;#,##0.00">
                  <c:v>3099.7395722843348</c:v>
                </c:pt>
              </c:numCache>
            </c:numRef>
          </c:val>
          <c:smooth val="0"/>
          <c:extLst>
            <c:ext xmlns:c16="http://schemas.microsoft.com/office/drawing/2014/chart" uri="{C3380CC4-5D6E-409C-BE32-E72D297353CC}">
              <c16:uniqueId val="{00000002-6684-4AD9-B074-96FF2392E427}"/>
            </c:ext>
          </c:extLst>
        </c:ser>
        <c:ser>
          <c:idx val="3"/>
          <c:order val="3"/>
          <c:tx>
            <c:strRef>
              <c:f>'Transportation Forecast'!$E$1</c:f>
              <c:strCache>
                <c:ptCount val="1"/>
                <c:pt idx="0">
                  <c:v>Upper Confidence Bound(Sum of Transportation)</c:v>
                </c:pt>
              </c:strCache>
            </c:strRef>
          </c:tx>
          <c:spPr>
            <a:ln w="12700" cap="rnd">
              <a:solidFill>
                <a:srgbClr val="EA4335"/>
              </a:solidFill>
              <a:prstDash val="solid"/>
              <a:round/>
            </a:ln>
            <a:effectLst/>
          </c:spPr>
          <c:marker>
            <c:symbol val="none"/>
          </c:marker>
          <c:cat>
            <c:numRef>
              <c:f>'Transportation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'Transportation Forecast'!$E$2:$E$16</c:f>
              <c:numCache>
                <c:formatCode>General</c:formatCode>
                <c:ptCount val="15"/>
                <c:pt idx="11" formatCode="&quot;Ksh&quot;#,##0.00">
                  <c:v>5000</c:v>
                </c:pt>
                <c:pt idx="12" formatCode="&quot;Ksh&quot;#,##0.00">
                  <c:v>6215.0235152050391</c:v>
                </c:pt>
                <c:pt idx="13" formatCode="&quot;Ksh&quot;#,##0.00">
                  <c:v>6232.707828620325</c:v>
                </c:pt>
                <c:pt idx="14" formatCode="&quot;Ksh&quot;#,##0.00">
                  <c:v>6249.3989076864736</c:v>
                </c:pt>
              </c:numCache>
            </c:numRef>
          </c:val>
          <c:smooth val="0"/>
          <c:extLst>
            <c:ext xmlns:c16="http://schemas.microsoft.com/office/drawing/2014/chart" uri="{C3380CC4-5D6E-409C-BE32-E72D297353CC}">
              <c16:uniqueId val="{00000003-6684-4AD9-B074-96FF2392E427}"/>
            </c:ext>
          </c:extLst>
        </c:ser>
        <c:dLbls>
          <c:showLegendKey val="0"/>
          <c:showVal val="0"/>
          <c:showCatName val="0"/>
          <c:showSerName val="0"/>
          <c:showPercent val="0"/>
          <c:showBubbleSize val="0"/>
        </c:dLbls>
        <c:smooth val="0"/>
        <c:axId val="1878536351"/>
        <c:axId val="1878532511"/>
      </c:lineChart>
      <c:catAx>
        <c:axId val="1878536351"/>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78532511"/>
        <c:crosses val="autoZero"/>
        <c:auto val="1"/>
        <c:lblAlgn val="ctr"/>
        <c:lblOffset val="100"/>
        <c:noMultiLvlLbl val="0"/>
      </c:catAx>
      <c:valAx>
        <c:axId val="1878532511"/>
        <c:scaling>
          <c:orientation val="minMax"/>
        </c:scaling>
        <c:delete val="0"/>
        <c:axPos val="l"/>
        <c:majorGridlines>
          <c:spPr>
            <a:ln w="9525" cap="flat" cmpd="sng" algn="ctr">
              <a:solidFill>
                <a:schemeClr val="tx1">
                  <a:lumMod val="15000"/>
                  <a:lumOff val="85000"/>
                </a:schemeClr>
              </a:solidFill>
              <a:round/>
            </a:ln>
            <a:effectLst/>
          </c:spPr>
        </c:majorGridlines>
        <c:numFmt formatCode="&quot;Ksh&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78536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'Insurance Forecast'!$B$1</c:f>
              <c:strCache>
                <c:ptCount val="1"/>
                <c:pt idx="0">
                  <c:v>Sum of Insuance</c:v>
                </c:pt>
              </c:strCache>
            </c:strRef>
          </c:tx>
          <c:spPr>
            <a:ln w="28575" cap="rnd">
              <a:solidFill>
                <a:schemeClr val="accent1"/>
              </a:solidFill>
              <a:round/>
            </a:ln>
            <a:effectLst/>
          </c:spPr>
          <c:marker>
            <c:symbol val="none"/>
          </c:marker>
          <c:val>
            <c:numRef>
              <c:f>'Insurance Forecast'!$B$2:$B$16</c:f>
              <c:numCache>
                <c:formatCode>"Ksh"#,##0.00</c:formatCode>
                <c:ptCount val="15"/>
                <c:pt idx="0">
                  <c:v>2000</c:v>
                </c:pt>
                <c:pt idx="1">
                  <c:v>2000</c:v>
                </c:pt>
                <c:pt idx="2">
                  <c:v>2000</c:v>
                </c:pt>
                <c:pt idx="3">
                  <c:v>2000</c:v>
                </c:pt>
                <c:pt idx="4">
                  <c:v>2000</c:v>
                </c:pt>
                <c:pt idx="5">
                  <c:v>2000</c:v>
                </c:pt>
                <c:pt idx="6">
                  <c:v>2000</c:v>
                </c:pt>
                <c:pt idx="7">
                  <c:v>2000</c:v>
                </c:pt>
                <c:pt idx="8">
                  <c:v>2000</c:v>
                </c:pt>
                <c:pt idx="9">
                  <c:v>2000</c:v>
                </c:pt>
                <c:pt idx="10">
                  <c:v>2000</c:v>
                </c:pt>
                <c:pt idx="11">
                  <c:v>2000</c:v>
                </c:pt>
              </c:numCache>
            </c:numRef>
          </c:val>
          <c:smooth val="0"/>
          <c:extLst>
            <c:ext xmlns:c16="http://schemas.microsoft.com/office/drawing/2014/chart" uri="{C3380CC4-5D6E-409C-BE32-E72D297353CC}">
              <c16:uniqueId val="{00000000-9B21-4743-8C9E-89BE799FDB2E}"/>
            </c:ext>
          </c:extLst>
        </c:ser>
        <c:ser>
          <c:idx val="1"/>
          <c:order val="1"/>
          <c:tx>
            <c:strRef>
              <c:f>'Insurance Forecast'!$C$1</c:f>
              <c:strCache>
                <c:ptCount val="1"/>
                <c:pt idx="0">
                  <c:v>Forecast(Sum of Insuance)</c:v>
                </c:pt>
              </c:strCache>
            </c:strRef>
          </c:tx>
          <c:spPr>
            <a:ln w="25400" cap="rnd">
              <a:solidFill>
                <a:schemeClr val="accent2"/>
              </a:solidFill>
              <a:round/>
            </a:ln>
            <a:effectLst/>
          </c:spPr>
          <c:marker>
            <c:symbol val="none"/>
          </c:marker>
          <c:cat>
            <c:numRef>
              <c:f>'Insurance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'Insurance Forecast'!$C$2:$C$16</c:f>
              <c:numCache>
                <c:formatCode>General</c:formatCode>
                <c:ptCount val="15"/>
                <c:pt idx="11" formatCode="&quot;Ksh&quot;#,##0.00">
                  <c:v>2000</c:v>
                </c:pt>
                <c:pt idx="12" formatCode="&quot;Ksh&quot;#,##0.00">
                  <c:v>2000</c:v>
                </c:pt>
                <c:pt idx="13" formatCode="&quot;Ksh&quot;#,##0.00">
                  <c:v>2000</c:v>
                </c:pt>
                <c:pt idx="14" formatCode="&quot;Ksh&quot;#,##0.00">
                  <c:v>2000</c:v>
                </c:pt>
              </c:numCache>
            </c:numRef>
          </c:val>
          <c:smooth val="0"/>
          <c:extLst>
            <c:ext xmlns:c16="http://schemas.microsoft.com/office/drawing/2014/chart" uri="{C3380CC4-5D6E-409C-BE32-E72D297353CC}">
              <c16:uniqueId val="{00000001-9B21-4743-8C9E-89BE799FDB2E}"/>
            </c:ext>
          </c:extLst>
        </c:ser>
        <c:ser>
          <c:idx val="2"/>
          <c:order val="2"/>
          <c:tx>
            <c:strRef>
              <c:f>'Insurance Forecast'!$D$1</c:f>
              <c:strCache>
                <c:ptCount val="1"/>
                <c:pt idx="0">
                  <c:v>Lower Confidence Bound(Sum of Insuance)</c:v>
                </c:pt>
              </c:strCache>
            </c:strRef>
          </c:tx>
          <c:spPr>
            <a:ln w="12700" cap="rnd">
              <a:solidFill>
                <a:srgbClr val="EA4335"/>
              </a:solidFill>
              <a:prstDash val="solid"/>
              <a:round/>
            </a:ln>
            <a:effectLst/>
          </c:spPr>
          <c:marker>
            <c:symbol val="none"/>
          </c:marker>
          <c:cat>
            <c:numRef>
              <c:f>'Insurance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'Insurance Forecast'!$D$2:$D$16</c:f>
              <c:numCache>
                <c:formatCode>General</c:formatCode>
                <c:ptCount val="15"/>
                <c:pt idx="11" formatCode="&quot;Ksh&quot;#,##0.00">
                  <c:v>2000</c:v>
                </c:pt>
                <c:pt idx="12" formatCode="&quot;Ksh&quot;#,##0.00">
                  <c:v>2000</c:v>
                </c:pt>
                <c:pt idx="13" formatCode="&quot;Ksh&quot;#,##0.00">
                  <c:v>2000</c:v>
                </c:pt>
                <c:pt idx="14" formatCode="&quot;Ksh&quot;#,##0.00">
                  <c:v>2000</c:v>
                </c:pt>
              </c:numCache>
            </c:numRef>
          </c:val>
          <c:smooth val="0"/>
          <c:extLst>
            <c:ext xmlns:c16="http://schemas.microsoft.com/office/drawing/2014/chart" uri="{C3380CC4-5D6E-409C-BE32-E72D297353CC}">
              <c16:uniqueId val="{00000002-9B21-4743-8C9E-89BE799FDB2E}"/>
            </c:ext>
          </c:extLst>
        </c:ser>
        <c:ser>
          <c:idx val="3"/>
          <c:order val="3"/>
          <c:tx>
            <c:strRef>
              <c:f>'Insurance Forecast'!$E$1</c:f>
              <c:strCache>
                <c:ptCount val="1"/>
                <c:pt idx="0">
                  <c:v>Upper Confidence Bound(Sum of Insuance)</c:v>
                </c:pt>
              </c:strCache>
            </c:strRef>
          </c:tx>
          <c:spPr>
            <a:ln w="12700" cap="rnd">
              <a:solidFill>
                <a:srgbClr val="EA4335"/>
              </a:solidFill>
              <a:prstDash val="solid"/>
              <a:round/>
            </a:ln>
            <a:effectLst/>
          </c:spPr>
          <c:marker>
            <c:symbol val="none"/>
          </c:marker>
          <c:cat>
            <c:numRef>
              <c:f>'Insurance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'Insurance Forecast'!$E$2:$E$16</c:f>
              <c:numCache>
                <c:formatCode>General</c:formatCode>
                <c:ptCount val="15"/>
                <c:pt idx="11" formatCode="&quot;Ksh&quot;#,##0.00">
                  <c:v>2000</c:v>
                </c:pt>
                <c:pt idx="12" formatCode="&quot;Ksh&quot;#,##0.00">
                  <c:v>2000</c:v>
                </c:pt>
                <c:pt idx="13" formatCode="&quot;Ksh&quot;#,##0.00">
                  <c:v>2000</c:v>
                </c:pt>
                <c:pt idx="14" formatCode="&quot;Ksh&quot;#,##0.00">
                  <c:v>2000</c:v>
                </c:pt>
              </c:numCache>
            </c:numRef>
          </c:val>
          <c:smooth val="0"/>
          <c:extLst>
            <c:ext xmlns:c16="http://schemas.microsoft.com/office/drawing/2014/chart" uri="{C3380CC4-5D6E-409C-BE32-E72D297353CC}">
              <c16:uniqueId val="{00000003-9B21-4743-8C9E-89BE799FDB2E}"/>
            </c:ext>
          </c:extLst>
        </c:ser>
        <c:dLbls>
          <c:showLegendKey val="0"/>
          <c:showVal val="0"/>
          <c:showCatName val="0"/>
          <c:showSerName val="0"/>
          <c:showPercent val="0"/>
          <c:showBubbleSize val="0"/>
        </c:dLbls>
        <c:smooth val="0"/>
        <c:axId val="1043135311"/>
        <c:axId val="1043110351"/>
      </c:lineChart>
      <c:catAx>
        <c:axId val="1043135311"/>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43110351"/>
        <c:crosses val="autoZero"/>
        <c:auto val="1"/>
        <c:lblAlgn val="ctr"/>
        <c:lblOffset val="100"/>
        <c:noMultiLvlLbl val="0"/>
      </c:catAx>
      <c:valAx>
        <c:axId val="1043110351"/>
        <c:scaling>
          <c:orientation val="minMax"/>
        </c:scaling>
        <c:delete val="0"/>
        <c:axPos val="l"/>
        <c:majorGridlines>
          <c:spPr>
            <a:ln w="9525" cap="flat" cmpd="sng" algn="ctr">
              <a:solidFill>
                <a:schemeClr val="tx1">
                  <a:lumMod val="15000"/>
                  <a:lumOff val="85000"/>
                </a:schemeClr>
              </a:solidFill>
              <a:round/>
            </a:ln>
            <a:effectLst/>
          </c:spPr>
        </c:majorGridlines>
        <c:numFmt formatCode="&quot;Ksh&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43135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'Debt Payment Forecast'!$B$1</c:f>
              <c:strCache>
                <c:ptCount val="1"/>
                <c:pt idx="0">
                  <c:v>Sum of Debt Payment</c:v>
                </c:pt>
              </c:strCache>
            </c:strRef>
          </c:tx>
          <c:spPr>
            <a:ln w="28575" cap="rnd">
              <a:solidFill>
                <a:schemeClr val="accent1"/>
              </a:solidFill>
              <a:round/>
            </a:ln>
            <a:effectLst/>
          </c:spPr>
          <c:marker>
            <c:symbol val="none"/>
          </c:marker>
          <c:val>
            <c:numRef>
              <c:f>'Debt Payment Forecast'!$B$2:$B$16</c:f>
              <c:numCache>
                <c:formatCode>"Ksh"#,##0.00</c:formatCode>
                <c:ptCount val="15"/>
                <c:pt idx="0">
                  <c:v>1760</c:v>
                </c:pt>
                <c:pt idx="1">
                  <c:v>2500</c:v>
                </c:pt>
                <c:pt idx="2">
                  <c:v>1500</c:v>
                </c:pt>
                <c:pt idx="3">
                  <c:v>1760</c:v>
                </c:pt>
                <c:pt idx="4">
                  <c:v>1800</c:v>
                </c:pt>
                <c:pt idx="5">
                  <c:v>2500</c:v>
                </c:pt>
                <c:pt idx="6">
                  <c:v>2500</c:v>
                </c:pt>
                <c:pt idx="7">
                  <c:v>2500</c:v>
                </c:pt>
                <c:pt idx="8">
                  <c:v>2500</c:v>
                </c:pt>
                <c:pt idx="9">
                  <c:v>2500</c:v>
                </c:pt>
                <c:pt idx="10">
                  <c:v>1800</c:v>
                </c:pt>
                <c:pt idx="11">
                  <c:v>1760</c:v>
                </c:pt>
              </c:numCache>
            </c:numRef>
          </c:val>
          <c:smooth val="0"/>
          <c:extLst>
            <c:ext xmlns:c16="http://schemas.microsoft.com/office/drawing/2014/chart" uri="{C3380CC4-5D6E-409C-BE32-E72D297353CC}">
              <c16:uniqueId val="{00000000-ADED-428A-BC82-EFC0FC973216}"/>
            </c:ext>
          </c:extLst>
        </c:ser>
        <c:ser>
          <c:idx val="1"/>
          <c:order val="1"/>
          <c:tx>
            <c:strRef>
              <c:f>'Debt Payment Forecast'!$C$1</c:f>
              <c:strCache>
                <c:ptCount val="1"/>
                <c:pt idx="0">
                  <c:v>Forecast(Sum of Debt Payment)</c:v>
                </c:pt>
              </c:strCache>
            </c:strRef>
          </c:tx>
          <c:spPr>
            <a:ln w="25400" cap="rnd">
              <a:solidFill>
                <a:schemeClr val="accent2"/>
              </a:solidFill>
              <a:round/>
            </a:ln>
            <a:effectLst/>
          </c:spPr>
          <c:marker>
            <c:symbol val="none"/>
          </c:marker>
          <c:cat>
            <c:numRef>
              <c:f>'Debt Payment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'Debt Payment Forecast'!$C$2:$C$16</c:f>
              <c:numCache>
                <c:formatCode>General</c:formatCode>
                <c:ptCount val="15"/>
                <c:pt idx="11" formatCode="&quot;Ksh&quot;#,##0.00">
                  <c:v>1760</c:v>
                </c:pt>
                <c:pt idx="12" formatCode="&quot;Ksh&quot;#,##0.00">
                  <c:v>2210.7247697235302</c:v>
                </c:pt>
                <c:pt idx="13" formatCode="&quot;Ksh&quot;#,##0.00">
                  <c:v>2234.7658762273768</c:v>
                </c:pt>
                <c:pt idx="14" formatCode="&quot;Ksh&quot;#,##0.00">
                  <c:v>2258.8069827312233</c:v>
                </c:pt>
              </c:numCache>
            </c:numRef>
          </c:val>
          <c:smooth val="0"/>
          <c:extLst>
            <c:ext xmlns:c16="http://schemas.microsoft.com/office/drawing/2014/chart" uri="{C3380CC4-5D6E-409C-BE32-E72D297353CC}">
              <c16:uniqueId val="{00000001-ADED-428A-BC82-EFC0FC973216}"/>
            </c:ext>
          </c:extLst>
        </c:ser>
        <c:ser>
          <c:idx val="2"/>
          <c:order val="2"/>
          <c:tx>
            <c:strRef>
              <c:f>'Debt Payment Forecast'!$D$1</c:f>
              <c:strCache>
                <c:ptCount val="1"/>
                <c:pt idx="0">
                  <c:v>Lower Confidence Bound(Sum of Debt Payment)</c:v>
                </c:pt>
              </c:strCache>
            </c:strRef>
          </c:tx>
          <c:spPr>
            <a:ln w="12700" cap="rnd">
              <a:solidFill>
                <a:srgbClr val="EA4335"/>
              </a:solidFill>
              <a:prstDash val="solid"/>
              <a:round/>
            </a:ln>
            <a:effectLst/>
          </c:spPr>
          <c:marker>
            <c:symbol val="none"/>
          </c:marker>
          <c:cat>
            <c:numRef>
              <c:f>'Debt Payment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'Debt Payment Forecast'!$D$2:$D$16</c:f>
              <c:numCache>
                <c:formatCode>General</c:formatCode>
                <c:ptCount val="15"/>
                <c:pt idx="11" formatCode="&quot;Ksh&quot;#,##0.00">
                  <c:v>1760</c:v>
                </c:pt>
                <c:pt idx="12" formatCode="&quot;Ksh&quot;#,##0.00">
                  <c:v>1378.9446420058496</c:v>
                </c:pt>
                <c:pt idx="13" formatCode="&quot;Ksh&quot;#,##0.00">
                  <c:v>1396.3046896091591</c:v>
                </c:pt>
                <c:pt idx="14" formatCode="&quot;Ksh&quot;#,##0.00">
                  <c:v>1413.6131789793626</c:v>
                </c:pt>
              </c:numCache>
            </c:numRef>
          </c:val>
          <c:smooth val="0"/>
          <c:extLst>
            <c:ext xmlns:c16="http://schemas.microsoft.com/office/drawing/2014/chart" uri="{C3380CC4-5D6E-409C-BE32-E72D297353CC}">
              <c16:uniqueId val="{00000002-ADED-428A-BC82-EFC0FC973216}"/>
            </c:ext>
          </c:extLst>
        </c:ser>
        <c:ser>
          <c:idx val="3"/>
          <c:order val="3"/>
          <c:tx>
            <c:strRef>
              <c:f>'Debt Payment Forecast'!$E$1</c:f>
              <c:strCache>
                <c:ptCount val="1"/>
                <c:pt idx="0">
                  <c:v>Upper Confidence Bound(Sum of Debt Payment)</c:v>
                </c:pt>
              </c:strCache>
            </c:strRef>
          </c:tx>
          <c:spPr>
            <a:ln w="12700" cap="rnd">
              <a:solidFill>
                <a:srgbClr val="EA4335"/>
              </a:solidFill>
              <a:prstDash val="solid"/>
              <a:round/>
            </a:ln>
            <a:effectLst/>
          </c:spPr>
          <c:marker>
            <c:symbol val="none"/>
          </c:marker>
          <c:cat>
            <c:numRef>
              <c:f>'Debt Payment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'Debt Payment Forecast'!$E$2:$E$16</c:f>
              <c:numCache>
                <c:formatCode>General</c:formatCode>
                <c:ptCount val="15"/>
                <c:pt idx="11" formatCode="&quot;Ksh&quot;#,##0.00">
                  <c:v>1760</c:v>
                </c:pt>
                <c:pt idx="12" formatCode="&quot;Ksh&quot;#,##0.00">
                  <c:v>3042.5048974412111</c:v>
                </c:pt>
                <c:pt idx="13" formatCode="&quot;Ksh&quot;#,##0.00">
                  <c:v>3073.2270628455944</c:v>
                </c:pt>
                <c:pt idx="14" formatCode="&quot;Ksh&quot;#,##0.00">
                  <c:v>3104.0007864830841</c:v>
                </c:pt>
              </c:numCache>
            </c:numRef>
          </c:val>
          <c:smooth val="0"/>
          <c:extLst>
            <c:ext xmlns:c16="http://schemas.microsoft.com/office/drawing/2014/chart" uri="{C3380CC4-5D6E-409C-BE32-E72D297353CC}">
              <c16:uniqueId val="{00000003-ADED-428A-BC82-EFC0FC973216}"/>
            </c:ext>
          </c:extLst>
        </c:ser>
        <c:dLbls>
          <c:showLegendKey val="0"/>
          <c:showVal val="0"/>
          <c:showCatName val="0"/>
          <c:showSerName val="0"/>
          <c:showPercent val="0"/>
          <c:showBubbleSize val="0"/>
        </c:dLbls>
        <c:smooth val="0"/>
        <c:axId val="1878538751"/>
        <c:axId val="1878532031"/>
      </c:lineChart>
      <c:catAx>
        <c:axId val="1878538751"/>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78532031"/>
        <c:crosses val="autoZero"/>
        <c:auto val="1"/>
        <c:lblAlgn val="ctr"/>
        <c:lblOffset val="100"/>
        <c:noMultiLvlLbl val="0"/>
      </c:catAx>
      <c:valAx>
        <c:axId val="1878532031"/>
        <c:scaling>
          <c:orientation val="minMax"/>
        </c:scaling>
        <c:delete val="0"/>
        <c:axPos val="l"/>
        <c:majorGridlines>
          <c:spPr>
            <a:ln w="9525" cap="flat" cmpd="sng" algn="ctr">
              <a:solidFill>
                <a:schemeClr val="tx1">
                  <a:lumMod val="15000"/>
                  <a:lumOff val="85000"/>
                </a:schemeClr>
              </a:solidFill>
              <a:round/>
            </a:ln>
            <a:effectLst/>
          </c:spPr>
        </c:majorGridlines>
        <c:numFmt formatCode="&quot;Ksh&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785387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'Personal Expenses Forecast'!$B$1</c:f>
              <c:strCache>
                <c:ptCount val="1"/>
                <c:pt idx="0">
                  <c:v>Sum of Personal Expenses</c:v>
                </c:pt>
              </c:strCache>
            </c:strRef>
          </c:tx>
          <c:spPr>
            <a:ln w="28575" cap="rnd">
              <a:solidFill>
                <a:schemeClr val="accent1"/>
              </a:solidFill>
              <a:round/>
            </a:ln>
            <a:effectLst/>
          </c:spPr>
          <c:marker>
            <c:symbol val="none"/>
          </c:marker>
          <c:val>
            <c:numRef>
              <c:f>'Personal Expenses Forecast'!$B$2:$B$16</c:f>
              <c:numCache>
                <c:formatCode>"Ksh"#,##0.00</c:formatCode>
                <c:ptCount val="15"/>
                <c:pt idx="0">
                  <c:v>9135</c:v>
                </c:pt>
                <c:pt idx="1">
                  <c:v>10554</c:v>
                </c:pt>
                <c:pt idx="2">
                  <c:v>7200</c:v>
                </c:pt>
                <c:pt idx="3">
                  <c:v>7200</c:v>
                </c:pt>
                <c:pt idx="4">
                  <c:v>5750</c:v>
                </c:pt>
                <c:pt idx="5">
                  <c:v>8165</c:v>
                </c:pt>
                <c:pt idx="6">
                  <c:v>10554</c:v>
                </c:pt>
                <c:pt idx="7">
                  <c:v>7200</c:v>
                </c:pt>
                <c:pt idx="8">
                  <c:v>10554</c:v>
                </c:pt>
                <c:pt idx="9">
                  <c:v>10554</c:v>
                </c:pt>
                <c:pt idx="10">
                  <c:v>5750</c:v>
                </c:pt>
                <c:pt idx="11">
                  <c:v>29497</c:v>
                </c:pt>
              </c:numCache>
            </c:numRef>
          </c:val>
          <c:smooth val="0"/>
          <c:extLst>
            <c:ext xmlns:c16="http://schemas.microsoft.com/office/drawing/2014/chart" uri="{C3380CC4-5D6E-409C-BE32-E72D297353CC}">
              <c16:uniqueId val="{00000000-4E18-4038-9E15-418761A114D1}"/>
            </c:ext>
          </c:extLst>
        </c:ser>
        <c:ser>
          <c:idx val="1"/>
          <c:order val="1"/>
          <c:tx>
            <c:strRef>
              <c:f>'Personal Expenses Forecast'!$C$1</c:f>
              <c:strCache>
                <c:ptCount val="1"/>
                <c:pt idx="0">
                  <c:v>Forecast(Sum of Personal Expenses)</c:v>
                </c:pt>
              </c:strCache>
            </c:strRef>
          </c:tx>
          <c:spPr>
            <a:ln w="25400" cap="rnd">
              <a:solidFill>
                <a:schemeClr val="accent2"/>
              </a:solidFill>
              <a:round/>
            </a:ln>
            <a:effectLst/>
          </c:spPr>
          <c:marker>
            <c:symbol val="none"/>
          </c:marker>
          <c:cat>
            <c:numRef>
              <c:f>'Personal Expenses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'Personal Expenses Forecast'!$C$2:$C$16</c:f>
              <c:numCache>
                <c:formatCode>General</c:formatCode>
                <c:ptCount val="15"/>
                <c:pt idx="11" formatCode="&quot;Ksh&quot;#,##0.00">
                  <c:v>29497</c:v>
                </c:pt>
                <c:pt idx="12" formatCode="&quot;Ksh&quot;#,##0.00">
                  <c:v>16675.648747173444</c:v>
                </c:pt>
                <c:pt idx="13" formatCode="&quot;Ksh&quot;#,##0.00">
                  <c:v>17464.402555566208</c:v>
                </c:pt>
                <c:pt idx="14" formatCode="&quot;Ksh&quot;#,##0.00">
                  <c:v>18253.156363958955</c:v>
                </c:pt>
              </c:numCache>
            </c:numRef>
          </c:val>
          <c:smooth val="0"/>
          <c:extLst>
            <c:ext xmlns:c16="http://schemas.microsoft.com/office/drawing/2014/chart" uri="{C3380CC4-5D6E-409C-BE32-E72D297353CC}">
              <c16:uniqueId val="{00000001-4E18-4038-9E15-418761A114D1}"/>
            </c:ext>
          </c:extLst>
        </c:ser>
        <c:ser>
          <c:idx val="2"/>
          <c:order val="2"/>
          <c:tx>
            <c:strRef>
              <c:f>'Personal Expenses Forecast'!$D$1</c:f>
              <c:strCache>
                <c:ptCount val="1"/>
                <c:pt idx="0">
                  <c:v>Lower Confidence Bound(Sum of Personal Expenses)</c:v>
                </c:pt>
              </c:strCache>
            </c:strRef>
          </c:tx>
          <c:spPr>
            <a:ln w="12700" cap="rnd">
              <a:solidFill>
                <a:srgbClr val="EA4335"/>
              </a:solidFill>
              <a:prstDash val="solid"/>
              <a:round/>
            </a:ln>
            <a:effectLst/>
          </c:spPr>
          <c:marker>
            <c:symbol val="none"/>
          </c:marker>
          <c:cat>
            <c:numRef>
              <c:f>'Personal Expenses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'Personal Expenses Forecast'!$D$2:$D$16</c:f>
              <c:numCache>
                <c:formatCode>General</c:formatCode>
                <c:ptCount val="15"/>
                <c:pt idx="11" formatCode="&quot;Ksh&quot;#,##0.00">
                  <c:v>29497</c:v>
                </c:pt>
                <c:pt idx="12" formatCode="&quot;Ksh&quot;#,##0.00">
                  <c:v>4755.0527693127588</c:v>
                </c:pt>
                <c:pt idx="13" formatCode="&quot;Ksh&quot;#,##0.00">
                  <c:v>5174.0368611923313</c:v>
                </c:pt>
                <c:pt idx="14" formatCode="&quot;Ksh&quot;#,##0.00">
                  <c:v>5601.0005815811801</c:v>
                </c:pt>
              </c:numCache>
            </c:numRef>
          </c:val>
          <c:smooth val="0"/>
          <c:extLst>
            <c:ext xmlns:c16="http://schemas.microsoft.com/office/drawing/2014/chart" uri="{C3380CC4-5D6E-409C-BE32-E72D297353CC}">
              <c16:uniqueId val="{00000002-4E18-4038-9E15-418761A114D1}"/>
            </c:ext>
          </c:extLst>
        </c:ser>
        <c:ser>
          <c:idx val="3"/>
          <c:order val="3"/>
          <c:tx>
            <c:strRef>
              <c:f>'Personal Expenses Forecast'!$E$1</c:f>
              <c:strCache>
                <c:ptCount val="1"/>
                <c:pt idx="0">
                  <c:v>Upper Confidence Bound(Sum of Personal Expenses)</c:v>
                </c:pt>
              </c:strCache>
            </c:strRef>
          </c:tx>
          <c:spPr>
            <a:ln w="12700" cap="rnd">
              <a:solidFill>
                <a:srgbClr val="EA4335"/>
              </a:solidFill>
              <a:prstDash val="solid"/>
              <a:round/>
            </a:ln>
            <a:effectLst/>
          </c:spPr>
          <c:marker>
            <c:symbol val="none"/>
          </c:marker>
          <c:cat>
            <c:numRef>
              <c:f>'Personal Expenses Forecast'!$A$2:$A$16</c:f>
              <c:numCache>
                <c:formatCode>m/d/yyyy</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'Personal Expenses Forecast'!$E$2:$E$16</c:f>
              <c:numCache>
                <c:formatCode>General</c:formatCode>
                <c:ptCount val="15"/>
                <c:pt idx="11" formatCode="&quot;Ksh&quot;#,##0.00">
                  <c:v>29497</c:v>
                </c:pt>
                <c:pt idx="12" formatCode="&quot;Ksh&quot;#,##0.00">
                  <c:v>28596.244725034128</c:v>
                </c:pt>
                <c:pt idx="13" formatCode="&quot;Ksh&quot;#,##0.00">
                  <c:v>29754.768249940083</c:v>
                </c:pt>
                <c:pt idx="14" formatCode="&quot;Ksh&quot;#,##0.00">
                  <c:v>30905.312146336728</c:v>
                </c:pt>
              </c:numCache>
            </c:numRef>
          </c:val>
          <c:smooth val="0"/>
          <c:extLst>
            <c:ext xmlns:c16="http://schemas.microsoft.com/office/drawing/2014/chart" uri="{C3380CC4-5D6E-409C-BE32-E72D297353CC}">
              <c16:uniqueId val="{00000003-4E18-4038-9E15-418761A114D1}"/>
            </c:ext>
          </c:extLst>
        </c:ser>
        <c:dLbls>
          <c:showLegendKey val="0"/>
          <c:showVal val="0"/>
          <c:showCatName val="0"/>
          <c:showSerName val="0"/>
          <c:showPercent val="0"/>
          <c:showBubbleSize val="0"/>
        </c:dLbls>
        <c:smooth val="0"/>
        <c:axId val="1054710879"/>
        <c:axId val="1054712319"/>
      </c:lineChart>
      <c:catAx>
        <c:axId val="105471087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54712319"/>
        <c:crosses val="autoZero"/>
        <c:auto val="1"/>
        <c:lblAlgn val="ctr"/>
        <c:lblOffset val="100"/>
        <c:noMultiLvlLbl val="0"/>
      </c:catAx>
      <c:valAx>
        <c:axId val="1054712319"/>
        <c:scaling>
          <c:orientation val="minMax"/>
        </c:scaling>
        <c:delete val="0"/>
        <c:axPos val="l"/>
        <c:majorGridlines>
          <c:spPr>
            <a:ln w="9525" cap="flat" cmpd="sng" algn="ctr">
              <a:solidFill>
                <a:schemeClr val="tx1">
                  <a:lumMod val="15000"/>
                  <a:lumOff val="85000"/>
                </a:schemeClr>
              </a:solidFill>
              <a:round/>
            </a:ln>
            <a:effectLst/>
          </c:spPr>
        </c:majorGridlines>
        <c:numFmt formatCode="&quot;Ksh&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54710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'Savings and Investments Forecas'!$B$1</c:f>
              <c:strCache>
                <c:ptCount val="1"/>
                <c:pt idx="0">
                  <c:v>Sum of Savings and Investments</c:v>
                </c:pt>
              </c:strCache>
            </c:strRef>
          </c:tx>
          <c:spPr>
            <a:ln w="28575" cap="rnd">
              <a:solidFill>
                <a:schemeClr val="accent1"/>
              </a:solidFill>
              <a:round/>
            </a:ln>
            <a:effectLst/>
          </c:spPr>
          <c:marker>
            <c:symbol val="none"/>
          </c:marker>
          <c:val>
            <c:numRef>
              <c:f>'Savings and Investments Forecas'!$B$2:$B$17</c:f>
              <c:numCache>
                <c:formatCode>"Ksh"#,##0.00</c:formatCode>
                <c:ptCount val="16"/>
                <c:pt idx="0">
                  <c:v>3000</c:v>
                </c:pt>
                <c:pt idx="1">
                  <c:v>3000</c:v>
                </c:pt>
                <c:pt idx="2">
                  <c:v>2000</c:v>
                </c:pt>
                <c:pt idx="3">
                  <c:v>4000</c:v>
                </c:pt>
                <c:pt idx="4">
                  <c:v>1500</c:v>
                </c:pt>
                <c:pt idx="5">
                  <c:v>3000</c:v>
                </c:pt>
                <c:pt idx="6">
                  <c:v>3000</c:v>
                </c:pt>
                <c:pt idx="7">
                  <c:v>4000</c:v>
                </c:pt>
                <c:pt idx="8">
                  <c:v>3000</c:v>
                </c:pt>
                <c:pt idx="9">
                  <c:v>3000</c:v>
                </c:pt>
                <c:pt idx="10">
                  <c:v>1500</c:v>
                </c:pt>
                <c:pt idx="11">
                  <c:v>3000</c:v>
                </c:pt>
              </c:numCache>
            </c:numRef>
          </c:val>
          <c:smooth val="0"/>
          <c:extLst>
            <c:ext xmlns:c16="http://schemas.microsoft.com/office/drawing/2014/chart" uri="{C3380CC4-5D6E-409C-BE32-E72D297353CC}">
              <c16:uniqueId val="{00000000-086D-44F1-8A2C-10D4F9B17D39}"/>
            </c:ext>
          </c:extLst>
        </c:ser>
        <c:ser>
          <c:idx val="1"/>
          <c:order val="1"/>
          <c:tx>
            <c:strRef>
              <c:f>'Savings and Investments Forecas'!$C$1</c:f>
              <c:strCache>
                <c:ptCount val="1"/>
                <c:pt idx="0">
                  <c:v>Forecast(Sum of Savings and Investments)</c:v>
                </c:pt>
              </c:strCache>
            </c:strRef>
          </c:tx>
          <c:spPr>
            <a:ln w="25400" cap="rnd">
              <a:solidFill>
                <a:schemeClr val="accent2"/>
              </a:solidFill>
              <a:round/>
            </a:ln>
            <a:effectLst/>
          </c:spPr>
          <c:marker>
            <c:symbol val="none"/>
          </c:marker>
          <c:cat>
            <c:numRef>
              <c:f>'Savings and Investments Forecas'!$A$2:$A$17</c:f>
              <c:numCache>
                <c:formatCode>m/d/yyyy</c:formatCode>
                <c:ptCount val="16"/>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numCache>
            </c:numRef>
          </c:cat>
          <c:val>
            <c:numRef>
              <c:f>'Savings and Investments Forecas'!$C$2:$C$17</c:f>
              <c:numCache>
                <c:formatCode>General</c:formatCode>
                <c:ptCount val="16"/>
                <c:pt idx="11" formatCode="&quot;Ksh&quot;#,##0.00">
                  <c:v>3000</c:v>
                </c:pt>
                <c:pt idx="12" formatCode="&quot;Ksh&quot;#,##0.00">
                  <c:v>2004.9395210110961</c:v>
                </c:pt>
                <c:pt idx="13" formatCode="&quot;Ksh&quot;#,##0.00">
                  <c:v>3049.420562451643</c:v>
                </c:pt>
                <c:pt idx="14" formatCode="&quot;Ksh&quot;#,##0.00">
                  <c:v>1927.2422830256733</c:v>
                </c:pt>
                <c:pt idx="15" formatCode="&quot;Ksh&quot;#,##0.00">
                  <c:v>2971.7233244662198</c:v>
                </c:pt>
              </c:numCache>
            </c:numRef>
          </c:val>
          <c:smooth val="0"/>
          <c:extLst>
            <c:ext xmlns:c16="http://schemas.microsoft.com/office/drawing/2014/chart" uri="{C3380CC4-5D6E-409C-BE32-E72D297353CC}">
              <c16:uniqueId val="{00000001-086D-44F1-8A2C-10D4F9B17D39}"/>
            </c:ext>
          </c:extLst>
        </c:ser>
        <c:ser>
          <c:idx val="2"/>
          <c:order val="2"/>
          <c:tx>
            <c:strRef>
              <c:f>'Savings and Investments Forecas'!$D$1</c:f>
              <c:strCache>
                <c:ptCount val="1"/>
                <c:pt idx="0">
                  <c:v>Lower Confidence Bound(Sum of Savings and Investments)</c:v>
                </c:pt>
              </c:strCache>
            </c:strRef>
          </c:tx>
          <c:spPr>
            <a:ln w="12700" cap="rnd">
              <a:solidFill>
                <a:srgbClr val="EA4335"/>
              </a:solidFill>
              <a:prstDash val="solid"/>
              <a:round/>
            </a:ln>
            <a:effectLst/>
          </c:spPr>
          <c:marker>
            <c:symbol val="none"/>
          </c:marker>
          <c:cat>
            <c:numRef>
              <c:f>'Savings and Investments Forecas'!$A$2:$A$17</c:f>
              <c:numCache>
                <c:formatCode>m/d/yyyy</c:formatCode>
                <c:ptCount val="16"/>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numCache>
            </c:numRef>
          </c:cat>
          <c:val>
            <c:numRef>
              <c:f>'Savings and Investments Forecas'!$D$2:$D$17</c:f>
              <c:numCache>
                <c:formatCode>General</c:formatCode>
                <c:ptCount val="16"/>
                <c:pt idx="11" formatCode="&quot;Ksh&quot;#,##0.00">
                  <c:v>3000</c:v>
                </c:pt>
                <c:pt idx="12" formatCode="&quot;Ksh&quot;#,##0.00">
                  <c:v>675.52014062405624</c:v>
                </c:pt>
                <c:pt idx="13" formatCode="&quot;Ksh&quot;#,##0.00">
                  <c:v>1678.4391412352734</c:v>
                </c:pt>
                <c:pt idx="14" formatCode="&quot;Ksh&quot;#,##0.00">
                  <c:v>515.28874630717723</c:v>
                </c:pt>
                <c:pt idx="15" formatCode="&quot;Ksh&quot;#,##0.00">
                  <c:v>1519.9535347325718</c:v>
                </c:pt>
              </c:numCache>
            </c:numRef>
          </c:val>
          <c:smooth val="0"/>
          <c:extLst>
            <c:ext xmlns:c16="http://schemas.microsoft.com/office/drawing/2014/chart" uri="{C3380CC4-5D6E-409C-BE32-E72D297353CC}">
              <c16:uniqueId val="{00000002-086D-44F1-8A2C-10D4F9B17D39}"/>
            </c:ext>
          </c:extLst>
        </c:ser>
        <c:ser>
          <c:idx val="3"/>
          <c:order val="3"/>
          <c:tx>
            <c:strRef>
              <c:f>'Savings and Investments Forecas'!$E$1</c:f>
              <c:strCache>
                <c:ptCount val="1"/>
                <c:pt idx="0">
                  <c:v>Upper Confidence Bound(Sum of Savings and Investments)</c:v>
                </c:pt>
              </c:strCache>
            </c:strRef>
          </c:tx>
          <c:spPr>
            <a:ln w="12700" cap="rnd">
              <a:solidFill>
                <a:srgbClr val="EA4335"/>
              </a:solidFill>
              <a:prstDash val="solid"/>
              <a:round/>
            </a:ln>
            <a:effectLst/>
          </c:spPr>
          <c:marker>
            <c:symbol val="none"/>
          </c:marker>
          <c:cat>
            <c:numRef>
              <c:f>'Savings and Investments Forecas'!$A$2:$A$17</c:f>
              <c:numCache>
                <c:formatCode>m/d/yyyy</c:formatCode>
                <c:ptCount val="16"/>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numCache>
            </c:numRef>
          </c:cat>
          <c:val>
            <c:numRef>
              <c:f>'Savings and Investments Forecas'!$E$2:$E$17</c:f>
              <c:numCache>
                <c:formatCode>General</c:formatCode>
                <c:ptCount val="16"/>
                <c:pt idx="11" formatCode="&quot;Ksh&quot;#,##0.00">
                  <c:v>3000</c:v>
                </c:pt>
                <c:pt idx="12" formatCode="&quot;Ksh&quot;#,##0.00">
                  <c:v>3334.3589013981359</c:v>
                </c:pt>
                <c:pt idx="13" formatCode="&quot;Ksh&quot;#,##0.00">
                  <c:v>4420.4019836680127</c:v>
                </c:pt>
                <c:pt idx="14" formatCode="&quot;Ksh&quot;#,##0.00">
                  <c:v>3339.1958197441691</c:v>
                </c:pt>
                <c:pt idx="15" formatCode="&quot;Ksh&quot;#,##0.00">
                  <c:v>4423.4931141998677</c:v>
                </c:pt>
              </c:numCache>
            </c:numRef>
          </c:val>
          <c:smooth val="0"/>
          <c:extLst>
            <c:ext xmlns:c16="http://schemas.microsoft.com/office/drawing/2014/chart" uri="{C3380CC4-5D6E-409C-BE32-E72D297353CC}">
              <c16:uniqueId val="{00000003-086D-44F1-8A2C-10D4F9B17D39}"/>
            </c:ext>
          </c:extLst>
        </c:ser>
        <c:dLbls>
          <c:showLegendKey val="0"/>
          <c:showVal val="0"/>
          <c:showCatName val="0"/>
          <c:showSerName val="0"/>
          <c:showPercent val="0"/>
          <c:showBubbleSize val="0"/>
        </c:dLbls>
        <c:smooth val="0"/>
        <c:axId val="1105816143"/>
        <c:axId val="1105808943"/>
      </c:lineChart>
      <c:catAx>
        <c:axId val="1105816143"/>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05808943"/>
        <c:crosses val="autoZero"/>
        <c:auto val="1"/>
        <c:lblAlgn val="ctr"/>
        <c:lblOffset val="100"/>
        <c:noMultiLvlLbl val="0"/>
      </c:catAx>
      <c:valAx>
        <c:axId val="1105808943"/>
        <c:scaling>
          <c:orientation val="minMax"/>
        </c:scaling>
        <c:delete val="0"/>
        <c:axPos val="l"/>
        <c:majorGridlines>
          <c:spPr>
            <a:ln w="9525" cap="flat" cmpd="sng" algn="ctr">
              <a:solidFill>
                <a:schemeClr val="tx1">
                  <a:lumMod val="15000"/>
                  <a:lumOff val="85000"/>
                </a:schemeClr>
              </a:solidFill>
              <a:round/>
            </a:ln>
            <a:effectLst/>
          </c:spPr>
        </c:majorGridlines>
        <c:numFmt formatCode="&quot;Ksh&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0581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chemeClr val="bg2">
                    <a:lumMod val="65000"/>
                  </a:schemeClr>
                </a:solidFill>
                <a:latin typeface="Calibri" panose="020F0502020204030204" pitchFamily="34" charset="0"/>
                <a:cs typeface="Calibri" panose="020F0502020204030204" pitchFamily="34" charset="0"/>
              </a:rPr>
              <a:t>Percentage of Budget</a:t>
            </a:r>
          </a:p>
          <a:p>
            <a:pPr algn="ctr" rtl="0">
              <a:defRPr/>
            </a:pPr>
            <a:endParaRPr lang="en-US" sz="1400" b="0" i="0" u="none" strike="noStrike" baseline="0">
              <a:solidFill>
                <a:srgbClr val="000000">
                  <a:lumMod val="65000"/>
                  <a:lumOff val="35000"/>
                </a:srgbClr>
              </a:solidFill>
              <a:latin typeface="Arial"/>
              <a:cs typeface="Arial"/>
            </a:endParaRPr>
          </a:p>
        </cx:rich>
      </cx:tx>
    </cx:title>
    <cx:plotArea>
      <cx:plotAreaRegion>
        <cx:series layoutId="boxWhisker" uniqueId="{27A0204D-43E2-43AD-927E-45779FCBE0F6}">
          <cx:tx>
            <cx:txData>
              <cx:f>_xlchart.v1.1</cx:f>
              <cx:v>Percentage of Budget</cx:v>
            </cx:txData>
          </cx:tx>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spPr>
    <a:effectLst>
      <a:outerShdw blurRad="50800" dist="38100" dir="18900000" algn="bl" rotWithShape="0">
        <a:prstClr val="black">
          <a:alpha val="40000"/>
        </a:prstClr>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chemeClr val="bg2">
                    <a:lumMod val="65000"/>
                  </a:schemeClr>
                </a:solidFill>
                <a:latin typeface="Calibri" panose="020F0502020204030204" pitchFamily="34" charset="0"/>
                <a:cs typeface="Calibri" panose="020F0502020204030204" pitchFamily="34" charset="0"/>
              </a:rPr>
              <a:t>Percentage of Budget</a:t>
            </a:r>
          </a:p>
          <a:p>
            <a:pPr algn="ctr" rtl="0">
              <a:defRPr/>
            </a:pPr>
            <a:endParaRPr lang="en-US" sz="1400" b="0" i="0" u="none" strike="noStrike" baseline="0">
              <a:solidFill>
                <a:srgbClr val="000000">
                  <a:lumMod val="65000"/>
                  <a:lumOff val="35000"/>
                </a:srgbClr>
              </a:solidFill>
              <a:latin typeface="Arial"/>
              <a:cs typeface="Arial"/>
            </a:endParaRPr>
          </a:p>
        </cx:rich>
      </cx:tx>
    </cx:title>
    <cx:plotArea>
      <cx:plotAreaRegion>
        <cx:series layoutId="boxWhisker" uniqueId="{27A0204D-43E2-43AD-927E-45779FCBE0F6}">
          <cx:tx>
            <cx:txData>
              <cx:f>_xlchart.v1.7</cx:f>
              <cx:v>Percentage of Budget</cx:v>
            </cx:txData>
          </cx:tx>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15.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editAs="oneCell">
    <xdr:from>
      <xdr:col>9</xdr:col>
      <xdr:colOff>104775</xdr:colOff>
      <xdr:row>0</xdr:row>
      <xdr:rowOff>161924</xdr:rowOff>
    </xdr:from>
    <xdr:to>
      <xdr:col>12</xdr:col>
      <xdr:colOff>104775</xdr:colOff>
      <xdr:row>17</xdr:row>
      <xdr:rowOff>104774</xdr:rowOff>
    </xdr:to>
    <mc:AlternateContent xmlns:mc="http://schemas.openxmlformats.org/markup-compatibility/2006">
      <mc:Choice xmlns:a14="http://schemas.microsoft.com/office/drawing/2010/main" Requires="a14">
        <xdr:graphicFrame macro="">
          <xdr:nvGraphicFramePr>
            <xdr:cNvPr id="8" name="Row Labels">
              <a:extLst>
                <a:ext uri="{FF2B5EF4-FFF2-40B4-BE49-F238E27FC236}">
                  <a16:creationId xmlns:a16="http://schemas.microsoft.com/office/drawing/2014/main" id="{ADCF3A60-085A-7270-9518-45EBF7E5EAF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ow Labels"/>
            </a:graphicData>
          </a:graphic>
        </xdr:graphicFrame>
      </mc:Choice>
      <mc:Fallback>
        <xdr:sp macro="" textlink="">
          <xdr:nvSpPr>
            <xdr:cNvPr id="0" name=""/>
            <xdr:cNvSpPr>
              <a:spLocks noTextEdit="1"/>
            </xdr:cNvSpPr>
          </xdr:nvSpPr>
          <xdr:spPr>
            <a:xfrm>
              <a:off x="5591175" y="161924"/>
              <a:ext cx="1828800" cy="269557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381001</xdr:colOff>
      <xdr:row>1</xdr:row>
      <xdr:rowOff>19051</xdr:rowOff>
    </xdr:from>
    <xdr:to>
      <xdr:col>7</xdr:col>
      <xdr:colOff>504825</xdr:colOff>
      <xdr:row>17</xdr:row>
      <xdr:rowOff>123825</xdr:rowOff>
    </xdr:to>
    <xdr:graphicFrame macro="">
      <xdr:nvGraphicFramePr>
        <xdr:cNvPr id="3" name="Chart 2">
          <a:extLst>
            <a:ext uri="{FF2B5EF4-FFF2-40B4-BE49-F238E27FC236}">
              <a16:creationId xmlns:a16="http://schemas.microsoft.com/office/drawing/2014/main" id="{D7FAF01A-6983-4F81-ABBF-FB22B9E39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276225</xdr:colOff>
      <xdr:row>1</xdr:row>
      <xdr:rowOff>38100</xdr:rowOff>
    </xdr:from>
    <xdr:to>
      <xdr:col>20</xdr:col>
      <xdr:colOff>247650</xdr:colOff>
      <xdr:row>17</xdr:row>
      <xdr:rowOff>152400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0D8E7639-CBF7-4361-A3FE-6C6D6D4B85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201025" y="200025"/>
              <a:ext cx="4238625" cy="27051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38100</xdr:colOff>
      <xdr:row>20</xdr:row>
      <xdr:rowOff>19050</xdr:rowOff>
    </xdr:from>
    <xdr:to>
      <xdr:col>14</xdr:col>
      <xdr:colOff>190500</xdr:colOff>
      <xdr:row>36</xdr:row>
      <xdr:rowOff>142875</xdr:rowOff>
    </xdr:to>
    <xdr:graphicFrame macro="">
      <xdr:nvGraphicFramePr>
        <xdr:cNvPr id="14" name="Chart 13">
          <a:extLst>
            <a:ext uri="{FF2B5EF4-FFF2-40B4-BE49-F238E27FC236}">
              <a16:creationId xmlns:a16="http://schemas.microsoft.com/office/drawing/2014/main" id="{FA3A0C51-96EA-4DD7-9EEE-A1D8F31A81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666750</xdr:colOff>
      <xdr:row>25</xdr:row>
      <xdr:rowOff>161925</xdr:rowOff>
    </xdr:from>
    <xdr:to>
      <xdr:col>12</xdr:col>
      <xdr:colOff>333375</xdr:colOff>
      <xdr:row>41</xdr:row>
      <xdr:rowOff>9525</xdr:rowOff>
    </xdr:to>
    <xdr:graphicFrame macro="">
      <xdr:nvGraphicFramePr>
        <xdr:cNvPr id="2" name="Chart 1">
          <a:extLst>
            <a:ext uri="{FF2B5EF4-FFF2-40B4-BE49-F238E27FC236}">
              <a16:creationId xmlns:a16="http://schemas.microsoft.com/office/drawing/2014/main" id="{4C8D4A2D-B85D-9B13-BDE2-68DD7DB684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628650</xdr:colOff>
      <xdr:row>25</xdr:row>
      <xdr:rowOff>171450</xdr:rowOff>
    </xdr:from>
    <xdr:to>
      <xdr:col>14</xdr:col>
      <xdr:colOff>781050</xdr:colOff>
      <xdr:row>40</xdr:row>
      <xdr:rowOff>114300</xdr:rowOff>
    </xdr:to>
    <mc:AlternateContent xmlns:mc="http://schemas.openxmlformats.org/markup-compatibility/2006" xmlns:a14="http://schemas.microsoft.com/office/drawing/2010/main">
      <mc:Choice Requires="a14">
        <xdr:graphicFrame macro="">
          <xdr:nvGraphicFramePr>
            <xdr:cNvPr id="3" name="Category 11">
              <a:extLst>
                <a:ext uri="{FF2B5EF4-FFF2-40B4-BE49-F238E27FC236}">
                  <a16:creationId xmlns:a16="http://schemas.microsoft.com/office/drawing/2014/main" id="{3E0430C0-2CA3-371E-1888-028F0C7CF068}"/>
                </a:ext>
              </a:extLst>
            </xdr:cNvPr>
            <xdr:cNvGraphicFramePr/>
          </xdr:nvGraphicFramePr>
          <xdr:xfrm>
            <a:off x="0" y="0"/>
            <a:ext cx="0" cy="0"/>
          </xdr:xfrm>
          <a:graphic>
            <a:graphicData uri="http://schemas.microsoft.com/office/drawing/2010/slicer">
              <sle:slicer xmlns:sle="http://schemas.microsoft.com/office/drawing/2010/slicer" name="Category 11"/>
            </a:graphicData>
          </a:graphic>
        </xdr:graphicFrame>
      </mc:Choice>
      <mc:Fallback xmlns="">
        <xdr:sp macro="" textlink="">
          <xdr:nvSpPr>
            <xdr:cNvPr id="0" name=""/>
            <xdr:cNvSpPr>
              <a:spLocks noTextEdit="1"/>
            </xdr:cNvSpPr>
          </xdr:nvSpPr>
          <xdr:spPr>
            <a:xfrm>
              <a:off x="14554200" y="4733925"/>
              <a:ext cx="1828800" cy="2381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361950</xdr:colOff>
      <xdr:row>28</xdr:row>
      <xdr:rowOff>57150</xdr:rowOff>
    </xdr:from>
    <xdr:to>
      <xdr:col>12</xdr:col>
      <xdr:colOff>19050</xdr:colOff>
      <xdr:row>43</xdr:row>
      <xdr:rowOff>85725</xdr:rowOff>
    </xdr:to>
    <xdr:graphicFrame macro="">
      <xdr:nvGraphicFramePr>
        <xdr:cNvPr id="3" name="Chart 2">
          <a:extLst>
            <a:ext uri="{FF2B5EF4-FFF2-40B4-BE49-F238E27FC236}">
              <a16:creationId xmlns:a16="http://schemas.microsoft.com/office/drawing/2014/main" id="{6EEB1E55-3CE5-89C6-74E5-B45E903B3E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371475</xdr:colOff>
      <xdr:row>28</xdr:row>
      <xdr:rowOff>57150</xdr:rowOff>
    </xdr:from>
    <xdr:to>
      <xdr:col>15</xdr:col>
      <xdr:colOff>371475</xdr:colOff>
      <xdr:row>43</xdr:row>
      <xdr:rowOff>9525</xdr:rowOff>
    </xdr:to>
    <mc:AlternateContent xmlns:mc="http://schemas.openxmlformats.org/markup-compatibility/2006" xmlns:a14="http://schemas.microsoft.com/office/drawing/2010/main">
      <mc:Choice Requires="a14">
        <xdr:graphicFrame macro="">
          <xdr:nvGraphicFramePr>
            <xdr:cNvPr id="4" name="Category 10">
              <a:extLst>
                <a:ext uri="{FF2B5EF4-FFF2-40B4-BE49-F238E27FC236}">
                  <a16:creationId xmlns:a16="http://schemas.microsoft.com/office/drawing/2014/main" id="{EC0B89A4-6EC1-8EB3-6F8A-153C7EFF619B}"/>
                </a:ext>
              </a:extLst>
            </xdr:cNvPr>
            <xdr:cNvGraphicFramePr/>
          </xdr:nvGraphicFramePr>
          <xdr:xfrm>
            <a:off x="0" y="0"/>
            <a:ext cx="0" cy="0"/>
          </xdr:xfrm>
          <a:graphic>
            <a:graphicData uri="http://schemas.microsoft.com/office/drawing/2010/slicer">
              <sle:slicer xmlns:sle="http://schemas.microsoft.com/office/drawing/2010/slicer" name="Category 10"/>
            </a:graphicData>
          </a:graphic>
        </xdr:graphicFrame>
      </mc:Choice>
      <mc:Fallback xmlns="">
        <xdr:sp macro="" textlink="">
          <xdr:nvSpPr>
            <xdr:cNvPr id="0" name=""/>
            <xdr:cNvSpPr>
              <a:spLocks noTextEdit="1"/>
            </xdr:cNvSpPr>
          </xdr:nvSpPr>
          <xdr:spPr>
            <a:xfrm>
              <a:off x="13877925" y="5162550"/>
              <a:ext cx="1828800" cy="2381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533400</xdr:colOff>
      <xdr:row>28</xdr:row>
      <xdr:rowOff>38100</xdr:rowOff>
    </xdr:from>
    <xdr:to>
      <xdr:col>11</xdr:col>
      <xdr:colOff>657225</xdr:colOff>
      <xdr:row>43</xdr:row>
      <xdr:rowOff>66675</xdr:rowOff>
    </xdr:to>
    <xdr:graphicFrame macro="">
      <xdr:nvGraphicFramePr>
        <xdr:cNvPr id="2" name="Chart 1">
          <a:extLst>
            <a:ext uri="{FF2B5EF4-FFF2-40B4-BE49-F238E27FC236}">
              <a16:creationId xmlns:a16="http://schemas.microsoft.com/office/drawing/2014/main" id="{A20F2317-008F-0DE2-4B98-6174F579D6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28575</xdr:colOff>
      <xdr:row>27</xdr:row>
      <xdr:rowOff>171450</xdr:rowOff>
    </xdr:from>
    <xdr:to>
      <xdr:col>15</xdr:col>
      <xdr:colOff>28575</xdr:colOff>
      <xdr:row>42</xdr:row>
      <xdr:rowOff>114300</xdr:rowOff>
    </xdr:to>
    <mc:AlternateContent xmlns:mc="http://schemas.openxmlformats.org/markup-compatibility/2006" xmlns:a14="http://schemas.microsoft.com/office/drawing/2010/main">
      <mc:Choice Requires="a14">
        <xdr:graphicFrame macro="">
          <xdr:nvGraphicFramePr>
            <xdr:cNvPr id="3" name="Category 9">
              <a:extLst>
                <a:ext uri="{FF2B5EF4-FFF2-40B4-BE49-F238E27FC236}">
                  <a16:creationId xmlns:a16="http://schemas.microsoft.com/office/drawing/2014/main" id="{62317341-9A75-9FBD-548B-A8DFDE9BFB44}"/>
                </a:ext>
              </a:extLst>
            </xdr:cNvPr>
            <xdr:cNvGraphicFramePr/>
          </xdr:nvGraphicFramePr>
          <xdr:xfrm>
            <a:off x="0" y="0"/>
            <a:ext cx="0" cy="0"/>
          </xdr:xfrm>
          <a:graphic>
            <a:graphicData uri="http://schemas.microsoft.com/office/drawing/2010/slicer">
              <sle:slicer xmlns:sle="http://schemas.microsoft.com/office/drawing/2010/slicer" name="Category 9"/>
            </a:graphicData>
          </a:graphic>
        </xdr:graphicFrame>
      </mc:Choice>
      <mc:Fallback xmlns="">
        <xdr:sp macro="" textlink="">
          <xdr:nvSpPr>
            <xdr:cNvPr id="0" name=""/>
            <xdr:cNvSpPr>
              <a:spLocks noTextEdit="1"/>
            </xdr:cNvSpPr>
          </xdr:nvSpPr>
          <xdr:spPr>
            <a:xfrm>
              <a:off x="12687300" y="4819650"/>
              <a:ext cx="1828800" cy="2381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571500</xdr:colOff>
      <xdr:row>27</xdr:row>
      <xdr:rowOff>152400</xdr:rowOff>
    </xdr:from>
    <xdr:to>
      <xdr:col>11</xdr:col>
      <xdr:colOff>695325</xdr:colOff>
      <xdr:row>43</xdr:row>
      <xdr:rowOff>0</xdr:rowOff>
    </xdr:to>
    <xdr:graphicFrame macro="">
      <xdr:nvGraphicFramePr>
        <xdr:cNvPr id="2" name="Chart 1">
          <a:extLst>
            <a:ext uri="{FF2B5EF4-FFF2-40B4-BE49-F238E27FC236}">
              <a16:creationId xmlns:a16="http://schemas.microsoft.com/office/drawing/2014/main" id="{C51EAEFF-6386-89C0-69D3-68965C8CD6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152400</xdr:colOff>
      <xdr:row>27</xdr:row>
      <xdr:rowOff>142875</xdr:rowOff>
    </xdr:from>
    <xdr:to>
      <xdr:col>15</xdr:col>
      <xdr:colOff>152400</xdr:colOff>
      <xdr:row>42</xdr:row>
      <xdr:rowOff>95250</xdr:rowOff>
    </xdr:to>
    <mc:AlternateContent xmlns:mc="http://schemas.openxmlformats.org/markup-compatibility/2006" xmlns:a14="http://schemas.microsoft.com/office/drawing/2010/main">
      <mc:Choice Requires="a14">
        <xdr:graphicFrame macro="">
          <xdr:nvGraphicFramePr>
            <xdr:cNvPr id="3" name="Category 8">
              <a:extLst>
                <a:ext uri="{FF2B5EF4-FFF2-40B4-BE49-F238E27FC236}">
                  <a16:creationId xmlns:a16="http://schemas.microsoft.com/office/drawing/2014/main" id="{7E192525-6B51-74B6-AC15-39AEE41029DD}"/>
                </a:ext>
              </a:extLst>
            </xdr:cNvPr>
            <xdr:cNvGraphicFramePr/>
          </xdr:nvGraphicFramePr>
          <xdr:xfrm>
            <a:off x="0" y="0"/>
            <a:ext cx="0" cy="0"/>
          </xdr:xfrm>
          <a:graphic>
            <a:graphicData uri="http://schemas.microsoft.com/office/drawing/2010/slicer">
              <sle:slicer xmlns:sle="http://schemas.microsoft.com/office/drawing/2010/slicer" name="Category 8"/>
            </a:graphicData>
          </a:graphic>
        </xdr:graphicFrame>
      </mc:Choice>
      <mc:Fallback xmlns="">
        <xdr:sp macro="" textlink="">
          <xdr:nvSpPr>
            <xdr:cNvPr id="0" name=""/>
            <xdr:cNvSpPr>
              <a:spLocks noTextEdit="1"/>
            </xdr:cNvSpPr>
          </xdr:nvSpPr>
          <xdr:spPr>
            <a:xfrm>
              <a:off x="13658850" y="5067300"/>
              <a:ext cx="1828800" cy="2381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38100</xdr:colOff>
      <xdr:row>26</xdr:row>
      <xdr:rowOff>104775</xdr:rowOff>
    </xdr:from>
    <xdr:to>
      <xdr:col>11</xdr:col>
      <xdr:colOff>771525</xdr:colOff>
      <xdr:row>41</xdr:row>
      <xdr:rowOff>133350</xdr:rowOff>
    </xdr:to>
    <xdr:graphicFrame macro="">
      <xdr:nvGraphicFramePr>
        <xdr:cNvPr id="2" name="Chart 1">
          <a:extLst>
            <a:ext uri="{FF2B5EF4-FFF2-40B4-BE49-F238E27FC236}">
              <a16:creationId xmlns:a16="http://schemas.microsoft.com/office/drawing/2014/main" id="{49DC82B6-F814-C94A-4FC7-F03C80532F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200025</xdr:colOff>
      <xdr:row>26</xdr:row>
      <xdr:rowOff>104775</xdr:rowOff>
    </xdr:from>
    <xdr:to>
      <xdr:col>15</xdr:col>
      <xdr:colOff>200025</xdr:colOff>
      <xdr:row>41</xdr:row>
      <xdr:rowOff>57150</xdr:rowOff>
    </xdr:to>
    <mc:AlternateContent xmlns:mc="http://schemas.openxmlformats.org/markup-compatibility/2006" xmlns:a14="http://schemas.microsoft.com/office/drawing/2010/main">
      <mc:Choice Requires="a14">
        <xdr:graphicFrame macro="">
          <xdr:nvGraphicFramePr>
            <xdr:cNvPr id="3" name="Category 7">
              <a:extLst>
                <a:ext uri="{FF2B5EF4-FFF2-40B4-BE49-F238E27FC236}">
                  <a16:creationId xmlns:a16="http://schemas.microsoft.com/office/drawing/2014/main" id="{8742E807-AF39-321E-404C-208839223E8B}"/>
                </a:ext>
              </a:extLst>
            </xdr:cNvPr>
            <xdr:cNvGraphicFramePr/>
          </xdr:nvGraphicFramePr>
          <xdr:xfrm>
            <a:off x="0" y="0"/>
            <a:ext cx="0" cy="0"/>
          </xdr:xfrm>
          <a:graphic>
            <a:graphicData uri="http://schemas.microsoft.com/office/drawing/2010/slicer">
              <sle:slicer xmlns:sle="http://schemas.microsoft.com/office/drawing/2010/slicer" name="Category 7"/>
            </a:graphicData>
          </a:graphic>
        </xdr:graphicFrame>
      </mc:Choice>
      <mc:Fallback xmlns="">
        <xdr:sp macro="" textlink="">
          <xdr:nvSpPr>
            <xdr:cNvPr id="0" name=""/>
            <xdr:cNvSpPr>
              <a:spLocks noTextEdit="1"/>
            </xdr:cNvSpPr>
          </xdr:nvSpPr>
          <xdr:spPr>
            <a:xfrm>
              <a:off x="13706475" y="4848225"/>
              <a:ext cx="1828800" cy="2381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7</xdr:col>
      <xdr:colOff>38100</xdr:colOff>
      <xdr:row>26</xdr:row>
      <xdr:rowOff>104775</xdr:rowOff>
    </xdr:from>
    <xdr:to>
      <xdr:col>11</xdr:col>
      <xdr:colOff>771525</xdr:colOff>
      <xdr:row>41</xdr:row>
      <xdr:rowOff>133350</xdr:rowOff>
    </xdr:to>
    <xdr:graphicFrame macro="">
      <xdr:nvGraphicFramePr>
        <xdr:cNvPr id="2" name="Chart 1">
          <a:extLst>
            <a:ext uri="{FF2B5EF4-FFF2-40B4-BE49-F238E27FC236}">
              <a16:creationId xmlns:a16="http://schemas.microsoft.com/office/drawing/2014/main" id="{94C2D106-2DD6-E671-54F8-67551C8F61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257175</xdr:colOff>
      <xdr:row>26</xdr:row>
      <xdr:rowOff>38100</xdr:rowOff>
    </xdr:from>
    <xdr:to>
      <xdr:col>15</xdr:col>
      <xdr:colOff>257175</xdr:colOff>
      <xdr:row>40</xdr:row>
      <xdr:rowOff>152400</xdr:rowOff>
    </xdr:to>
    <mc:AlternateContent xmlns:mc="http://schemas.openxmlformats.org/markup-compatibility/2006" xmlns:a14="http://schemas.microsoft.com/office/drawing/2010/main">
      <mc:Choice Requires="a14">
        <xdr:graphicFrame macro="">
          <xdr:nvGraphicFramePr>
            <xdr:cNvPr id="3" name="Category 6">
              <a:extLst>
                <a:ext uri="{FF2B5EF4-FFF2-40B4-BE49-F238E27FC236}">
                  <a16:creationId xmlns:a16="http://schemas.microsoft.com/office/drawing/2014/main" id="{09B46E77-DBE4-5E20-5BB3-92CC932F8908}"/>
                </a:ext>
              </a:extLst>
            </xdr:cNvPr>
            <xdr:cNvGraphicFramePr/>
          </xdr:nvGraphicFramePr>
          <xdr:xfrm>
            <a:off x="0" y="0"/>
            <a:ext cx="0" cy="0"/>
          </xdr:xfrm>
          <a:graphic>
            <a:graphicData uri="http://schemas.microsoft.com/office/drawing/2010/slicer">
              <sle:slicer xmlns:sle="http://schemas.microsoft.com/office/drawing/2010/slicer" name="Category 6"/>
            </a:graphicData>
          </a:graphic>
        </xdr:graphicFrame>
      </mc:Choice>
      <mc:Fallback xmlns="">
        <xdr:sp macro="" textlink="">
          <xdr:nvSpPr>
            <xdr:cNvPr id="0" name=""/>
            <xdr:cNvSpPr>
              <a:spLocks noTextEdit="1"/>
            </xdr:cNvSpPr>
          </xdr:nvSpPr>
          <xdr:spPr>
            <a:xfrm>
              <a:off x="13763625" y="4781550"/>
              <a:ext cx="1828800" cy="2381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28575</xdr:colOff>
      <xdr:row>26</xdr:row>
      <xdr:rowOff>133350</xdr:rowOff>
    </xdr:from>
    <xdr:to>
      <xdr:col>15</xdr:col>
      <xdr:colOff>28575</xdr:colOff>
      <xdr:row>41</xdr:row>
      <xdr:rowOff>85725</xdr:rowOff>
    </xdr:to>
    <mc:AlternateContent xmlns:mc="http://schemas.openxmlformats.org/markup-compatibility/2006" xmlns:a14="http://schemas.microsoft.com/office/drawing/2010/main">
      <mc:Choice Requires="a14">
        <xdr:graphicFrame macro="">
          <xdr:nvGraphicFramePr>
            <xdr:cNvPr id="3" name="Category 5">
              <a:extLst>
                <a:ext uri="{FF2B5EF4-FFF2-40B4-BE49-F238E27FC236}">
                  <a16:creationId xmlns:a16="http://schemas.microsoft.com/office/drawing/2014/main" id="{658BD095-9604-40BF-6E2C-EC43B1C65E2F}"/>
                </a:ext>
              </a:extLst>
            </xdr:cNvPr>
            <xdr:cNvGraphicFramePr/>
          </xdr:nvGraphicFramePr>
          <xdr:xfrm>
            <a:off x="0" y="0"/>
            <a:ext cx="0" cy="0"/>
          </xdr:xfrm>
          <a:graphic>
            <a:graphicData uri="http://schemas.microsoft.com/office/drawing/2010/slicer">
              <sle:slicer xmlns:sle="http://schemas.microsoft.com/office/drawing/2010/slicer" name="Category 5"/>
            </a:graphicData>
          </a:graphic>
        </xdr:graphicFrame>
      </mc:Choice>
      <mc:Fallback xmlns="">
        <xdr:sp macro="" textlink="">
          <xdr:nvSpPr>
            <xdr:cNvPr id="0" name=""/>
            <xdr:cNvSpPr>
              <a:spLocks noTextEdit="1"/>
            </xdr:cNvSpPr>
          </xdr:nvSpPr>
          <xdr:spPr>
            <a:xfrm>
              <a:off x="13535025" y="4876800"/>
              <a:ext cx="1828800" cy="2381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504825</xdr:colOff>
      <xdr:row>27</xdr:row>
      <xdr:rowOff>76200</xdr:rowOff>
    </xdr:from>
    <xdr:to>
      <xdr:col>11</xdr:col>
      <xdr:colOff>628650</xdr:colOff>
      <xdr:row>42</xdr:row>
      <xdr:rowOff>104775</xdr:rowOff>
    </xdr:to>
    <xdr:graphicFrame macro="">
      <xdr:nvGraphicFramePr>
        <xdr:cNvPr id="2" name="Chart 1">
          <a:extLst>
            <a:ext uri="{FF2B5EF4-FFF2-40B4-BE49-F238E27FC236}">
              <a16:creationId xmlns:a16="http://schemas.microsoft.com/office/drawing/2014/main" id="{15815E4B-4DA9-FBEC-E43E-714374CDFB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461962</xdr:colOff>
      <xdr:row>27</xdr:row>
      <xdr:rowOff>85725</xdr:rowOff>
    </xdr:from>
    <xdr:to>
      <xdr:col>11</xdr:col>
      <xdr:colOff>585787</xdr:colOff>
      <xdr:row>42</xdr:row>
      <xdr:rowOff>114300</xdr:rowOff>
    </xdr:to>
    <xdr:graphicFrame macro="">
      <xdr:nvGraphicFramePr>
        <xdr:cNvPr id="2" name="Chart 1">
          <a:extLst>
            <a:ext uri="{FF2B5EF4-FFF2-40B4-BE49-F238E27FC236}">
              <a16:creationId xmlns:a16="http://schemas.microsoft.com/office/drawing/2014/main" id="{BCCE6CF4-CEBC-1FE1-9234-BB31214772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828675</xdr:colOff>
      <xdr:row>27</xdr:row>
      <xdr:rowOff>142875</xdr:rowOff>
    </xdr:from>
    <xdr:to>
      <xdr:col>14</xdr:col>
      <xdr:colOff>361950</xdr:colOff>
      <xdr:row>42</xdr:row>
      <xdr:rowOff>95250</xdr:rowOff>
    </xdr:to>
    <mc:AlternateContent xmlns:mc="http://schemas.openxmlformats.org/markup-compatibility/2006" xmlns:a14="http://schemas.microsoft.com/office/drawing/2010/main">
      <mc:Choice Requires="a14">
        <xdr:graphicFrame macro="">
          <xdr:nvGraphicFramePr>
            <xdr:cNvPr id="3" name="Category 4">
              <a:extLst>
                <a:ext uri="{FF2B5EF4-FFF2-40B4-BE49-F238E27FC236}">
                  <a16:creationId xmlns:a16="http://schemas.microsoft.com/office/drawing/2014/main" id="{C9F8D66B-8935-9529-9195-47210D00E59D}"/>
                </a:ext>
              </a:extLst>
            </xdr:cNvPr>
            <xdr:cNvGraphicFramePr/>
          </xdr:nvGraphicFramePr>
          <xdr:xfrm>
            <a:off x="0" y="0"/>
            <a:ext cx="0" cy="0"/>
          </xdr:xfrm>
          <a:graphic>
            <a:graphicData uri="http://schemas.microsoft.com/office/drawing/2010/slicer">
              <sle:slicer xmlns:sle="http://schemas.microsoft.com/office/drawing/2010/slicer" name="Category 4"/>
            </a:graphicData>
          </a:graphic>
        </xdr:graphicFrame>
      </mc:Choice>
      <mc:Fallback xmlns="">
        <xdr:sp macro="" textlink="">
          <xdr:nvSpPr>
            <xdr:cNvPr id="0" name=""/>
            <xdr:cNvSpPr>
              <a:spLocks noTextEdit="1"/>
            </xdr:cNvSpPr>
          </xdr:nvSpPr>
          <xdr:spPr>
            <a:xfrm>
              <a:off x="12849225" y="5067300"/>
              <a:ext cx="1828800" cy="2381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7</xdr:col>
      <xdr:colOff>228600</xdr:colOff>
      <xdr:row>26</xdr:row>
      <xdr:rowOff>133350</xdr:rowOff>
    </xdr:from>
    <xdr:to>
      <xdr:col>11</xdr:col>
      <xdr:colOff>962025</xdr:colOff>
      <xdr:row>41</xdr:row>
      <xdr:rowOff>161925</xdr:rowOff>
    </xdr:to>
    <xdr:graphicFrame macro="">
      <xdr:nvGraphicFramePr>
        <xdr:cNvPr id="2" name="Chart 1">
          <a:extLst>
            <a:ext uri="{FF2B5EF4-FFF2-40B4-BE49-F238E27FC236}">
              <a16:creationId xmlns:a16="http://schemas.microsoft.com/office/drawing/2014/main" id="{6798B965-9F72-DA78-93C8-C08021491F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171450</xdr:colOff>
      <xdr:row>26</xdr:row>
      <xdr:rowOff>57150</xdr:rowOff>
    </xdr:from>
    <xdr:to>
      <xdr:col>15</xdr:col>
      <xdr:colOff>171450</xdr:colOff>
      <xdr:row>41</xdr:row>
      <xdr:rowOff>9525</xdr:rowOff>
    </xdr:to>
    <mc:AlternateContent xmlns:mc="http://schemas.openxmlformats.org/markup-compatibility/2006" xmlns:a14="http://schemas.microsoft.com/office/drawing/2010/main">
      <mc:Choice Requires="a14">
        <xdr:graphicFrame macro="">
          <xdr:nvGraphicFramePr>
            <xdr:cNvPr id="3" name="Category 3">
              <a:extLst>
                <a:ext uri="{FF2B5EF4-FFF2-40B4-BE49-F238E27FC236}">
                  <a16:creationId xmlns:a16="http://schemas.microsoft.com/office/drawing/2014/main" id="{F56505C9-19D5-1E90-D0A4-271D93DB4DD3}"/>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mlns="">
        <xdr:sp macro="" textlink="">
          <xdr:nvSpPr>
            <xdr:cNvPr id="0" name=""/>
            <xdr:cNvSpPr>
              <a:spLocks noTextEdit="1"/>
            </xdr:cNvSpPr>
          </xdr:nvSpPr>
          <xdr:spPr>
            <a:xfrm>
              <a:off x="13677900" y="4800600"/>
              <a:ext cx="1828800" cy="2381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7</xdr:col>
      <xdr:colOff>257175</xdr:colOff>
      <xdr:row>20</xdr:row>
      <xdr:rowOff>171450</xdr:rowOff>
    </xdr:from>
    <xdr:to>
      <xdr:col>11</xdr:col>
      <xdr:colOff>990600</xdr:colOff>
      <xdr:row>36</xdr:row>
      <xdr:rowOff>19050</xdr:rowOff>
    </xdr:to>
    <xdr:graphicFrame macro="">
      <xdr:nvGraphicFramePr>
        <xdr:cNvPr id="2" name="Chart 1">
          <a:extLst>
            <a:ext uri="{FF2B5EF4-FFF2-40B4-BE49-F238E27FC236}">
              <a16:creationId xmlns:a16="http://schemas.microsoft.com/office/drawing/2014/main" id="{88480A1E-B894-92E0-A967-C5D170E94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190500</xdr:colOff>
      <xdr:row>21</xdr:row>
      <xdr:rowOff>114300</xdr:rowOff>
    </xdr:from>
    <xdr:to>
      <xdr:col>15</xdr:col>
      <xdr:colOff>190500</xdr:colOff>
      <xdr:row>36</xdr:row>
      <xdr:rowOff>66675</xdr:rowOff>
    </xdr:to>
    <mc:AlternateContent xmlns:mc="http://schemas.openxmlformats.org/markup-compatibility/2006" xmlns:a14="http://schemas.microsoft.com/office/drawing/2010/main">
      <mc:Choice Requires="a14">
        <xdr:graphicFrame macro="">
          <xdr:nvGraphicFramePr>
            <xdr:cNvPr id="3" name="Category 2">
              <a:extLst>
                <a:ext uri="{FF2B5EF4-FFF2-40B4-BE49-F238E27FC236}">
                  <a16:creationId xmlns:a16="http://schemas.microsoft.com/office/drawing/2014/main" id="{22AB2A4B-6241-3350-FD06-618AF50DE6FF}"/>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3696950" y="3952875"/>
              <a:ext cx="1828800" cy="2381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7</xdr:col>
      <xdr:colOff>400050</xdr:colOff>
      <xdr:row>26</xdr:row>
      <xdr:rowOff>38100</xdr:rowOff>
    </xdr:from>
    <xdr:to>
      <xdr:col>12</xdr:col>
      <xdr:colOff>57150</xdr:colOff>
      <xdr:row>41</xdr:row>
      <xdr:rowOff>66675</xdr:rowOff>
    </xdr:to>
    <xdr:graphicFrame macro="">
      <xdr:nvGraphicFramePr>
        <xdr:cNvPr id="2" name="Chart 1">
          <a:extLst>
            <a:ext uri="{FF2B5EF4-FFF2-40B4-BE49-F238E27FC236}">
              <a16:creationId xmlns:a16="http://schemas.microsoft.com/office/drawing/2014/main" id="{A5DB5CE8-E975-7B2E-100E-2ACC6D8C5A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171450</xdr:colOff>
      <xdr:row>24</xdr:row>
      <xdr:rowOff>9525</xdr:rowOff>
    </xdr:from>
    <xdr:to>
      <xdr:col>15</xdr:col>
      <xdr:colOff>171450</xdr:colOff>
      <xdr:row>38</xdr:row>
      <xdr:rowOff>123825</xdr:rowOff>
    </xdr:to>
    <mc:AlternateContent xmlns:mc="http://schemas.openxmlformats.org/markup-compatibility/2006" xmlns:a14="http://schemas.microsoft.com/office/drawing/2010/main">
      <mc:Choice Requires="a14">
        <xdr:graphicFrame macro="">
          <xdr:nvGraphicFramePr>
            <xdr:cNvPr id="3" name="Category 1">
              <a:extLst>
                <a:ext uri="{FF2B5EF4-FFF2-40B4-BE49-F238E27FC236}">
                  <a16:creationId xmlns:a16="http://schemas.microsoft.com/office/drawing/2014/main" id="{AC7A541F-8E40-0388-5469-FC6ACBA9CEE3}"/>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3677900" y="4391025"/>
              <a:ext cx="1828800" cy="2381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7</xdr:col>
      <xdr:colOff>590550</xdr:colOff>
      <xdr:row>28</xdr:row>
      <xdr:rowOff>114300</xdr:rowOff>
    </xdr:from>
    <xdr:to>
      <xdr:col>12</xdr:col>
      <xdr:colOff>152400</xdr:colOff>
      <xdr:row>43</xdr:row>
      <xdr:rowOff>142875</xdr:rowOff>
    </xdr:to>
    <xdr:graphicFrame macro="">
      <xdr:nvGraphicFramePr>
        <xdr:cNvPr id="10" name="Chart 9">
          <a:extLst>
            <a:ext uri="{FF2B5EF4-FFF2-40B4-BE49-F238E27FC236}">
              <a16:creationId xmlns:a16="http://schemas.microsoft.com/office/drawing/2014/main" id="{758BE38B-510C-C6FB-3480-85243EBA5A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438150</xdr:colOff>
      <xdr:row>28</xdr:row>
      <xdr:rowOff>57150</xdr:rowOff>
    </xdr:from>
    <xdr:to>
      <xdr:col>15</xdr:col>
      <xdr:colOff>438150</xdr:colOff>
      <xdr:row>43</xdr:row>
      <xdr:rowOff>9525</xdr:rowOff>
    </xdr:to>
    <mc:AlternateContent xmlns:mc="http://schemas.openxmlformats.org/markup-compatibility/2006" xmlns:a14="http://schemas.microsoft.com/office/drawing/2010/main">
      <mc:Choice Requires="a14">
        <xdr:graphicFrame macro="">
          <xdr:nvGraphicFramePr>
            <xdr:cNvPr id="11" name="Category">
              <a:extLst>
                <a:ext uri="{FF2B5EF4-FFF2-40B4-BE49-F238E27FC236}">
                  <a16:creationId xmlns:a16="http://schemas.microsoft.com/office/drawing/2014/main" id="{46898730-678C-5F05-9A1F-3A756B45855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4039850" y="5162550"/>
              <a:ext cx="1828800" cy="2381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editAs="oneCell">
    <xdr:from>
      <xdr:col>14</xdr:col>
      <xdr:colOff>457200</xdr:colOff>
      <xdr:row>3</xdr:row>
      <xdr:rowOff>142875</xdr:rowOff>
    </xdr:from>
    <xdr:to>
      <xdr:col>17</xdr:col>
      <xdr:colOff>457200</xdr:colOff>
      <xdr:row>18</xdr:row>
      <xdr:rowOff>95250</xdr:rowOff>
    </xdr:to>
    <mc:AlternateContent xmlns:mc="http://schemas.openxmlformats.org/markup-compatibility/2006" xmlns:a14="http://schemas.microsoft.com/office/drawing/2010/main">
      <mc:Choice Requires="a14">
        <xdr:graphicFrame macro="">
          <xdr:nvGraphicFramePr>
            <xdr:cNvPr id="3" name="Category 12">
              <a:extLst>
                <a:ext uri="{FF2B5EF4-FFF2-40B4-BE49-F238E27FC236}">
                  <a16:creationId xmlns:a16="http://schemas.microsoft.com/office/drawing/2014/main" id="{28E4CFE6-8DAC-5CDF-014F-DC2A0CC65A6E}"/>
                </a:ext>
              </a:extLst>
            </xdr:cNvPr>
            <xdr:cNvGraphicFramePr/>
          </xdr:nvGraphicFramePr>
          <xdr:xfrm>
            <a:off x="0" y="0"/>
            <a:ext cx="0" cy="0"/>
          </xdr:xfrm>
          <a:graphic>
            <a:graphicData uri="http://schemas.microsoft.com/office/drawing/2010/slicer">
              <sle:slicer xmlns:sle="http://schemas.microsoft.com/office/drawing/2010/slicer" name="Category 12"/>
            </a:graphicData>
          </a:graphic>
        </xdr:graphicFrame>
      </mc:Choice>
      <mc:Fallback xmlns="">
        <xdr:sp macro="" textlink="">
          <xdr:nvSpPr>
            <xdr:cNvPr id="0" name=""/>
            <xdr:cNvSpPr>
              <a:spLocks noTextEdit="1"/>
            </xdr:cNvSpPr>
          </xdr:nvSpPr>
          <xdr:spPr>
            <a:xfrm>
              <a:off x="13211175" y="914400"/>
              <a:ext cx="1828800" cy="23812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9525</xdr:colOff>
      <xdr:row>3</xdr:row>
      <xdr:rowOff>152400</xdr:rowOff>
    </xdr:from>
    <xdr:to>
      <xdr:col>14</xdr:col>
      <xdr:colOff>152400</xdr:colOff>
      <xdr:row>20</xdr:row>
      <xdr:rowOff>142875</xdr:rowOff>
    </xdr:to>
    <xdr:graphicFrame macro="">
      <xdr:nvGraphicFramePr>
        <xdr:cNvPr id="6" name="Chart 5">
          <a:extLst>
            <a:ext uri="{FF2B5EF4-FFF2-40B4-BE49-F238E27FC236}">
              <a16:creationId xmlns:a16="http://schemas.microsoft.com/office/drawing/2014/main" id="{5AE27AAF-F041-9163-C892-78A1E6DAC5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1514475</xdr:colOff>
      <xdr:row>17</xdr:row>
      <xdr:rowOff>142875</xdr:rowOff>
    </xdr:from>
    <xdr:to>
      <xdr:col>7</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49CBC406-6E13-1314-41DF-FB8EB0DF09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990975" y="3181350"/>
              <a:ext cx="4572000" cy="27432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xdr:from>
      <xdr:col>3</xdr:col>
      <xdr:colOff>409575</xdr:colOff>
      <xdr:row>4</xdr:row>
      <xdr:rowOff>142875</xdr:rowOff>
    </xdr:from>
    <xdr:to>
      <xdr:col>7</xdr:col>
      <xdr:colOff>276225</xdr:colOff>
      <xdr:row>23</xdr:row>
      <xdr:rowOff>0</xdr:rowOff>
    </xdr:to>
    <xdr:graphicFrame macro="">
      <xdr:nvGraphicFramePr>
        <xdr:cNvPr id="2" name="Chart 1">
          <a:extLst>
            <a:ext uri="{FF2B5EF4-FFF2-40B4-BE49-F238E27FC236}">
              <a16:creationId xmlns:a16="http://schemas.microsoft.com/office/drawing/2014/main" id="{B827B661-BB91-F1BA-031F-A0D02103A1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3</xdr:col>
      <xdr:colOff>485775</xdr:colOff>
      <xdr:row>4</xdr:row>
      <xdr:rowOff>142875</xdr:rowOff>
    </xdr:from>
    <xdr:to>
      <xdr:col>7</xdr:col>
      <xdr:colOff>428625</xdr:colOff>
      <xdr:row>23</xdr:row>
      <xdr:rowOff>0</xdr:rowOff>
    </xdr:to>
    <xdr:graphicFrame macro="">
      <xdr:nvGraphicFramePr>
        <xdr:cNvPr id="2" name="Chart 1">
          <a:extLst>
            <a:ext uri="{FF2B5EF4-FFF2-40B4-BE49-F238E27FC236}">
              <a16:creationId xmlns:a16="http://schemas.microsoft.com/office/drawing/2014/main" id="{9FEC2C59-5949-F32E-BB82-0AD0E9D692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3</xdr:col>
      <xdr:colOff>752475</xdr:colOff>
      <xdr:row>4</xdr:row>
      <xdr:rowOff>142875</xdr:rowOff>
    </xdr:from>
    <xdr:to>
      <xdr:col>8</xdr:col>
      <xdr:colOff>352425</xdr:colOff>
      <xdr:row>23</xdr:row>
      <xdr:rowOff>0</xdr:rowOff>
    </xdr:to>
    <xdr:graphicFrame macro="">
      <xdr:nvGraphicFramePr>
        <xdr:cNvPr id="2" name="Chart 1">
          <a:extLst>
            <a:ext uri="{FF2B5EF4-FFF2-40B4-BE49-F238E27FC236}">
              <a16:creationId xmlns:a16="http://schemas.microsoft.com/office/drawing/2014/main" id="{7CAA66D2-F4BF-BB9C-4CD3-66AD21AFBC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2</xdr:col>
      <xdr:colOff>1724025</xdr:colOff>
      <xdr:row>4</xdr:row>
      <xdr:rowOff>142875</xdr:rowOff>
    </xdr:from>
    <xdr:to>
      <xdr:col>5</xdr:col>
      <xdr:colOff>161925</xdr:colOff>
      <xdr:row>23</xdr:row>
      <xdr:rowOff>0</xdr:rowOff>
    </xdr:to>
    <xdr:graphicFrame macro="">
      <xdr:nvGraphicFramePr>
        <xdr:cNvPr id="2" name="Chart 1">
          <a:extLst>
            <a:ext uri="{FF2B5EF4-FFF2-40B4-BE49-F238E27FC236}">
              <a16:creationId xmlns:a16="http://schemas.microsoft.com/office/drawing/2014/main" id="{2ECB51FA-E854-0334-27C4-62363EEF9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3</xdr:col>
      <xdr:colOff>314325</xdr:colOff>
      <xdr:row>4</xdr:row>
      <xdr:rowOff>142875</xdr:rowOff>
    </xdr:from>
    <xdr:to>
      <xdr:col>7</xdr:col>
      <xdr:colOff>85725</xdr:colOff>
      <xdr:row>23</xdr:row>
      <xdr:rowOff>0</xdr:rowOff>
    </xdr:to>
    <xdr:graphicFrame macro="">
      <xdr:nvGraphicFramePr>
        <xdr:cNvPr id="2" name="Chart 1">
          <a:extLst>
            <a:ext uri="{FF2B5EF4-FFF2-40B4-BE49-F238E27FC236}">
              <a16:creationId xmlns:a16="http://schemas.microsoft.com/office/drawing/2014/main" id="{211A1D5C-A69F-3107-047A-DC97746A43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2</xdr:col>
      <xdr:colOff>1714500</xdr:colOff>
      <xdr:row>4</xdr:row>
      <xdr:rowOff>142875</xdr:rowOff>
    </xdr:from>
    <xdr:to>
      <xdr:col>5</xdr:col>
      <xdr:colOff>123825</xdr:colOff>
      <xdr:row>23</xdr:row>
      <xdr:rowOff>0</xdr:rowOff>
    </xdr:to>
    <xdr:graphicFrame macro="">
      <xdr:nvGraphicFramePr>
        <xdr:cNvPr id="2" name="Chart 1">
          <a:extLst>
            <a:ext uri="{FF2B5EF4-FFF2-40B4-BE49-F238E27FC236}">
              <a16:creationId xmlns:a16="http://schemas.microsoft.com/office/drawing/2014/main" id="{461C8A7D-09DC-F5AA-0F4D-68BC732702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2</xdr:col>
      <xdr:colOff>1428750</xdr:colOff>
      <xdr:row>4</xdr:row>
      <xdr:rowOff>142875</xdr:rowOff>
    </xdr:from>
    <xdr:to>
      <xdr:col>4</xdr:col>
      <xdr:colOff>2133600</xdr:colOff>
      <xdr:row>23</xdr:row>
      <xdr:rowOff>0</xdr:rowOff>
    </xdr:to>
    <xdr:graphicFrame macro="">
      <xdr:nvGraphicFramePr>
        <xdr:cNvPr id="2" name="Chart 1">
          <a:extLst>
            <a:ext uri="{FF2B5EF4-FFF2-40B4-BE49-F238E27FC236}">
              <a16:creationId xmlns:a16="http://schemas.microsoft.com/office/drawing/2014/main" id="{2C68709C-6119-1F70-08F5-8A52AF0CC3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2</xdr:col>
      <xdr:colOff>1143000</xdr:colOff>
      <xdr:row>4</xdr:row>
      <xdr:rowOff>142875</xdr:rowOff>
    </xdr:from>
    <xdr:to>
      <xdr:col>4</xdr:col>
      <xdr:colOff>1276350</xdr:colOff>
      <xdr:row>23</xdr:row>
      <xdr:rowOff>0</xdr:rowOff>
    </xdr:to>
    <xdr:graphicFrame macro="">
      <xdr:nvGraphicFramePr>
        <xdr:cNvPr id="2" name="Chart 1">
          <a:extLst>
            <a:ext uri="{FF2B5EF4-FFF2-40B4-BE49-F238E27FC236}">
              <a16:creationId xmlns:a16="http://schemas.microsoft.com/office/drawing/2014/main" id="{9BEA9AAF-A711-1E63-E7F1-879DCCD403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56377315" createdVersion="8" refreshedVersion="8" minRefreshableVersion="3" recordCount="12" xr:uid="{40967EC9-5AEA-4614-94DD-6457F9E3BD79}">
  <cacheSource type="worksheet">
    <worksheetSource ref="B5:J17" sheet="Forecast Spending"/>
  </cacheSource>
  <cacheFields count="9">
    <cacheField name="Month" numFmtId="15">
      <sharedItems containsNonDate="0" containsDate="1" containsMixedTypes="1" minDate="2023-01-01T00:00:00" maxDate="2023-12-02T00:00:00" count="24">
        <d v="2023-01-01T00:00:00"/>
        <d v="2023-02-01T00:00:00"/>
        <d v="2023-03-01T00:00:00"/>
        <d v="2023-04-01T00:00:00"/>
        <d v="2023-05-01T00:00:00"/>
        <d v="2023-06-01T00:00:00"/>
        <d v="2023-07-01T00:00:00"/>
        <d v="2023-08-01T00:00:00"/>
        <d v="2023-09-01T00:00:00"/>
        <d v="2023-10-01T00:00:00"/>
        <d v="2023-11-01T00:00:00"/>
        <d v="2023-12-01T00:00:00"/>
        <s v="January" u="1"/>
        <s v="February" u="1"/>
        <s v="March" u="1"/>
        <s v="April" u="1"/>
        <s v="May" u="1"/>
        <s v="June" u="1"/>
        <s v="July" u="1"/>
        <s v="August" u="1"/>
        <s v="September" u="1"/>
        <s v="October" u="1"/>
        <s v="November" u="1"/>
        <s v="December" u="1"/>
      </sharedItems>
    </cacheField>
    <cacheField name="Housing" numFmtId="164">
      <sharedItems containsSemiMixedTypes="0" containsString="0" containsNumber="1" containsInteger="1" minValue="11250" maxValue="11451"/>
    </cacheField>
    <cacheField name="Utilities" numFmtId="164">
      <sharedItems containsSemiMixedTypes="0" containsString="0" containsNumber="1" containsInteger="1" minValue="2700" maxValue="3780"/>
    </cacheField>
    <cacheField name="Food" numFmtId="164">
      <sharedItems containsSemiMixedTypes="0" containsString="0" containsNumber="1" containsInteger="1" minValue="4253" maxValue="6716"/>
    </cacheField>
    <cacheField name="Transportation" numFmtId="164">
      <sharedItems containsSemiMixedTypes="0" containsString="0" containsNumber="1" containsInteger="1" minValue="4100" maxValue="6340"/>
    </cacheField>
    <cacheField name="Insuance" numFmtId="0">
      <sharedItems containsSemiMixedTypes="0" containsString="0" containsNumber="1" containsInteger="1" minValue="2000" maxValue="2000"/>
    </cacheField>
    <cacheField name="Debt Payment" numFmtId="0">
      <sharedItems containsSemiMixedTypes="0" containsString="0" containsNumber="1" containsInteger="1" minValue="1500" maxValue="2500"/>
    </cacheField>
    <cacheField name="Personal Expenses" numFmtId="0">
      <sharedItems containsSemiMixedTypes="0" containsString="0" containsNumber="1" containsInteger="1" minValue="5750" maxValue="29497"/>
    </cacheField>
    <cacheField name="Savings and Investments" numFmtId="0">
      <sharedItems containsSemiMixedTypes="0" containsString="0" containsNumber="1" containsInteger="1" minValue="1500" maxValue="4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826851849" createdVersion="8" refreshedVersion="8" minRefreshableVersion="3" recordCount="8" xr:uid="{977A400E-2C1E-4EB6-AE1E-B536B94FD0B2}">
  <cacheSource type="worksheet">
    <worksheetSource name="JanSumm"/>
  </cacheSource>
  <cacheFields count="4">
    <cacheField name="Category" numFmtId="0">
      <sharedItems count="8">
        <s v="Debt Payments"/>
        <s v="Insurance"/>
        <s v="Savings &amp; Investments"/>
        <s v="Utilities"/>
        <s v="Transportation"/>
        <s v="Food"/>
        <s v="Personal Expenses"/>
        <s v="Housing"/>
      </sharedItems>
    </cacheField>
    <cacheField name="Budget" numFmtId="164">
      <sharedItems containsSemiMixedTypes="0" containsString="0" containsNumber="1" containsInteger="1" minValue="2000" maxValue="11250"/>
    </cacheField>
    <cacheField name="Actual" numFmtId="164">
      <sharedItems containsSemiMixedTypes="0" containsString="0" containsNumber="1" containsInteger="1" minValue="1760" maxValue="11451"/>
    </cacheField>
    <cacheField name="Difference" numFmtId="0">
      <sharedItems containsSemiMixedTypes="0" containsString="0" containsNumber="1" containsInteger="1" minValue="-240" maxValue="1635"/>
    </cacheField>
  </cacheFields>
  <extLst>
    <ext xmlns:x14="http://schemas.microsoft.com/office/spreadsheetml/2009/9/main" uri="{725AE2AE-9491-48be-B2B4-4EB974FC3084}">
      <x14:pivotCacheDefinition pivotCacheId="195627783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835648147" createdVersion="8" refreshedVersion="8" minRefreshableVersion="3" recordCount="8" xr:uid="{164C353C-B0E8-49A4-A34C-DC12D46AD3F3}">
  <cacheSource type="worksheet">
    <worksheetSource name="JanSumm5"/>
  </cacheSource>
  <cacheFields count="4">
    <cacheField name="Category" numFmtId="0">
      <sharedItems count="8">
        <s v="Debt Payments"/>
        <s v="Insurance"/>
        <s v="Savings &amp; Investments"/>
        <s v="Utilities"/>
        <s v="Transportation"/>
        <s v="Food"/>
        <s v="Personal Expenses"/>
        <s v="Housing"/>
      </sharedItems>
    </cacheField>
    <cacheField name="Budget" numFmtId="164">
      <sharedItems containsSemiMixedTypes="0" containsString="0" containsNumber="1" containsInteger="1" minValue="2000" maxValue="11450"/>
    </cacheField>
    <cacheField name="Actual" numFmtId="164">
      <sharedItems containsSemiMixedTypes="0" containsString="0" containsNumber="1" containsInteger="1" minValue="2000" maxValue="11250"/>
    </cacheField>
    <cacheField name="Difference" numFmtId="0">
      <sharedItems containsSemiMixedTypes="0" containsString="0" containsNumber="1" containsInteger="1" minValue="0" maxValue="1635"/>
    </cacheField>
  </cacheFields>
  <extLst>
    <ext xmlns:x14="http://schemas.microsoft.com/office/spreadsheetml/2009/9/main" uri="{725AE2AE-9491-48be-B2B4-4EB974FC3084}">
      <x14:pivotCacheDefinition pivotCacheId="3047589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83599537" createdVersion="8" refreshedVersion="8" minRefreshableVersion="3" recordCount="8" xr:uid="{D418E849-6D75-49D1-9A0D-C8A9172A7AEB}">
  <cacheSource type="worksheet">
    <worksheetSource name="MarSumm"/>
  </cacheSource>
  <cacheFields count="4">
    <cacheField name="Category" numFmtId="0">
      <sharedItems count="8">
        <s v="Debt Payments"/>
        <s v="Insurance"/>
        <s v="Savings &amp; Investments"/>
        <s v="Utilities"/>
        <s v="Transportation"/>
        <s v="Food"/>
        <s v="Personal Expenses"/>
        <s v="Housing"/>
      </sharedItems>
    </cacheField>
    <cacheField name="Budget" numFmtId="164">
      <sharedItems containsSemiMixedTypes="0" containsString="0" containsNumber="1" containsInteger="1" minValue="2000" maxValue="11450"/>
    </cacheField>
    <cacheField name="Actual" numFmtId="164">
      <sharedItems containsSemiMixedTypes="0" containsString="0" containsNumber="1" containsInteger="1" minValue="1500" maxValue="11250"/>
    </cacheField>
    <cacheField name="Difference" numFmtId="0">
      <sharedItems containsSemiMixedTypes="0" containsString="0" containsNumber="1" containsInteger="1" minValue="-660" maxValue="1840"/>
    </cacheField>
  </cacheFields>
  <extLst>
    <ext xmlns:x14="http://schemas.microsoft.com/office/spreadsheetml/2009/9/main" uri="{725AE2AE-9491-48be-B2B4-4EB974FC3084}">
      <x14:pivotCacheDefinition pivotCacheId="426135568"/>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836226855" createdVersion="8" refreshedVersion="8" minRefreshableVersion="3" recordCount="8" xr:uid="{DF88140C-C2F5-4343-B8C5-094A14B7BEF6}">
  <cacheSource type="worksheet">
    <worksheetSource name="AprSumm"/>
  </cacheSource>
  <cacheFields count="4">
    <cacheField name="Category" numFmtId="0">
      <sharedItems count="8">
        <s v="Debt Payments"/>
        <s v="Insurance"/>
        <s v="Savings &amp; Investments"/>
        <s v="Utilities"/>
        <s v="Transportation"/>
        <s v="Food"/>
        <s v="Personal Expenses"/>
        <s v="Housing"/>
      </sharedItems>
    </cacheField>
    <cacheField name="Budget" numFmtId="164">
      <sharedItems containsSemiMixedTypes="0" containsString="0" containsNumber="1" containsInteger="1" minValue="2000" maxValue="11250"/>
    </cacheField>
    <cacheField name="Actual" numFmtId="164">
      <sharedItems containsSemiMixedTypes="0" containsString="0" containsNumber="1" containsInteger="1" minValue="1760" maxValue="11250"/>
    </cacheField>
    <cacheField name="Difference" numFmtId="0">
      <sharedItems containsSemiMixedTypes="0" containsString="0" containsNumber="1" containsInteger="1" minValue="-400" maxValue="2000"/>
    </cacheField>
  </cacheFields>
  <extLst>
    <ext xmlns:x14="http://schemas.microsoft.com/office/spreadsheetml/2009/9/main" uri="{725AE2AE-9491-48be-B2B4-4EB974FC3084}">
      <x14:pivotCacheDefinition pivotCacheId="2129179356"/>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836458332" createdVersion="8" refreshedVersion="8" minRefreshableVersion="3" recordCount="8" xr:uid="{4CFEBF8F-1F1F-4502-9A9F-6B4903F7D33A}">
  <cacheSource type="worksheet">
    <worksheetSource name="MaySumm"/>
  </cacheSource>
  <cacheFields count="4">
    <cacheField name="Category" numFmtId="0">
      <sharedItems count="8">
        <s v="Debt Payments"/>
        <s v="Insurance"/>
        <s v="Savings &amp; Investments"/>
        <s v="Utilities"/>
        <s v="Transportation"/>
        <s v="Food"/>
        <s v="Personal Expenses"/>
        <s v="Housing"/>
      </sharedItems>
    </cacheField>
    <cacheField name="Budget" numFmtId="164">
      <sharedItems containsSemiMixedTypes="0" containsString="0" containsNumber="1" containsInteger="1" minValue="1500" maxValue="11250"/>
    </cacheField>
    <cacheField name="Actual" numFmtId="164">
      <sharedItems containsSemiMixedTypes="0" containsString="0" containsNumber="1" containsInteger="1" minValue="1500" maxValue="11450"/>
    </cacheField>
    <cacheField name="Difference" numFmtId="0">
      <sharedItems containsSemiMixedTypes="0" containsString="0" containsNumber="1" containsInteger="1" minValue="-750" maxValue="300"/>
    </cacheField>
  </cacheFields>
  <extLst>
    <ext xmlns:x14="http://schemas.microsoft.com/office/spreadsheetml/2009/9/main" uri="{725AE2AE-9491-48be-B2B4-4EB974FC3084}">
      <x14:pivotCacheDefinition pivotCacheId="1365340860"/>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836805555" createdVersion="8" refreshedVersion="8" minRefreshableVersion="3" recordCount="8" xr:uid="{5929128D-A59C-417C-9FF1-6C071E8322B6}">
  <cacheSource type="worksheet">
    <worksheetSource name="JunSumm"/>
  </cacheSource>
  <cacheFields count="4">
    <cacheField name="Category" numFmtId="0">
      <sharedItems count="8">
        <s v="Debt Payments"/>
        <s v="Insurance"/>
        <s v="Savings &amp; Investments"/>
        <s v="Utilities"/>
        <s v="Transportation"/>
        <s v="Food"/>
        <s v="Personal Expenses"/>
        <s v="Housing"/>
      </sharedItems>
    </cacheField>
    <cacheField name="Budget" numFmtId="164">
      <sharedItems containsSemiMixedTypes="0" containsString="0" containsNumber="1" containsInteger="1" minValue="2000" maxValue="11450"/>
    </cacheField>
    <cacheField name="Actual" numFmtId="164">
      <sharedItems containsSemiMixedTypes="0" containsString="0" containsNumber="1" containsInteger="1" minValue="2000" maxValue="11250"/>
    </cacheField>
    <cacheField name="Difference" numFmtId="0">
      <sharedItems containsSemiMixedTypes="0" containsString="0" containsNumber="1" containsInteger="1" minValue="-335" maxValue="500"/>
    </cacheField>
  </cacheFields>
  <extLst>
    <ext xmlns:x14="http://schemas.microsoft.com/office/spreadsheetml/2009/9/main" uri="{725AE2AE-9491-48be-B2B4-4EB974FC3084}">
      <x14:pivotCacheDefinition pivotCacheId="1538792827"/>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838541664" createdVersion="8" refreshedVersion="8" minRefreshableVersion="3" recordCount="8" xr:uid="{06135DEB-0B63-443C-AC85-D6B09F9861B5}">
  <cacheSource type="worksheet">
    <worksheetSource name="JulSumm"/>
  </cacheSource>
  <cacheFields count="4">
    <cacheField name="Category" numFmtId="0">
      <sharedItems count="8">
        <s v="Debt Payments"/>
        <s v="Insurance"/>
        <s v="Savings &amp; Investments"/>
        <s v="Utilities"/>
        <s v="Transportation"/>
        <s v="Food"/>
        <s v="Personal Expenses"/>
        <s v="Housing"/>
      </sharedItems>
    </cacheField>
    <cacheField name="Budget" numFmtId="164">
      <sharedItems containsSemiMixedTypes="0" containsString="0" containsNumber="1" containsInteger="1" minValue="2000" maxValue="11450"/>
    </cacheField>
    <cacheField name="Actual" numFmtId="164">
      <sharedItems containsSemiMixedTypes="0" containsString="0" containsNumber="1" containsInteger="1" minValue="2000" maxValue="11250"/>
    </cacheField>
    <cacheField name="Difference" numFmtId="0">
      <sharedItems containsSemiMixedTypes="0" containsString="0" containsNumber="1" containsInteger="1" minValue="0" maxValue="1635"/>
    </cacheField>
  </cacheFields>
  <extLst>
    <ext xmlns:x14="http://schemas.microsoft.com/office/spreadsheetml/2009/9/main" uri="{725AE2AE-9491-48be-B2B4-4EB974FC3084}">
      <x14:pivotCacheDefinition pivotCacheId="531628452"/>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839699073" createdVersion="8" refreshedVersion="8" minRefreshableVersion="3" recordCount="8" xr:uid="{5D605CB2-660A-482E-AABF-08296F011027}">
  <cacheSource type="worksheet">
    <worksheetSource name="AugSumm"/>
  </cacheSource>
  <cacheFields count="4">
    <cacheField name="Category" numFmtId="0">
      <sharedItems count="8">
        <s v="Debt Payments"/>
        <s v="Insurance"/>
        <s v="Savings &amp; Investments"/>
        <s v="Utilities"/>
        <s v="Transportation"/>
        <s v="Food"/>
        <s v="Personal Expenses"/>
        <s v="Housing"/>
      </sharedItems>
    </cacheField>
    <cacheField name="Budget" numFmtId="164">
      <sharedItems containsSemiMixedTypes="0" containsString="0" containsNumber="1" containsInteger="1" minValue="2000" maxValue="11250"/>
    </cacheField>
    <cacheField name="Actual" numFmtId="164">
      <sharedItems containsSemiMixedTypes="0" containsString="0" containsNumber="1" containsInteger="1" minValue="1760" maxValue="11250"/>
    </cacheField>
    <cacheField name="Difference" numFmtId="0">
      <sharedItems containsSemiMixedTypes="0" containsString="0" containsNumber="1" containsInteger="1" minValue="-400" maxValue="2000"/>
    </cacheField>
  </cacheFields>
  <extLst>
    <ext xmlns:x14="http://schemas.microsoft.com/office/spreadsheetml/2009/9/main" uri="{725AE2AE-9491-48be-B2B4-4EB974FC3084}">
      <x14:pivotCacheDefinition pivotCacheId="485940014"/>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840509258" createdVersion="8" refreshedVersion="8" minRefreshableVersion="3" recordCount="8" xr:uid="{E67FA4E5-BBF2-4A08-97FD-EB00457FB5A9}">
  <cacheSource type="worksheet">
    <worksheetSource name="SepSumm"/>
  </cacheSource>
  <cacheFields count="4">
    <cacheField name="Category" numFmtId="0">
      <sharedItems count="8">
        <s v="Debt Payments"/>
        <s v="Insurance"/>
        <s v="Savings &amp; Investments"/>
        <s v="Utilities"/>
        <s v="Transportation"/>
        <s v="Food"/>
        <s v="Personal Expenses"/>
        <s v="Housing"/>
      </sharedItems>
    </cacheField>
    <cacheField name="Budget" numFmtId="164">
      <sharedItems containsSemiMixedTypes="0" containsString="0" containsNumber="1" containsInteger="1" minValue="2000" maxValue="11450"/>
    </cacheField>
    <cacheField name="Actual" numFmtId="164">
      <sharedItems containsSemiMixedTypes="0" containsString="0" containsNumber="1" containsInteger="1" minValue="2000" maxValue="11250"/>
    </cacheField>
    <cacheField name="Difference" numFmtId="0">
      <sharedItems containsSemiMixedTypes="0" containsString="0" containsNumber="1" containsInteger="1" minValue="0" maxValue="1635"/>
    </cacheField>
  </cacheFields>
  <extLst>
    <ext xmlns:x14="http://schemas.microsoft.com/office/spreadsheetml/2009/9/main" uri="{725AE2AE-9491-48be-B2B4-4EB974FC3084}">
      <x14:pivotCacheDefinition pivotCacheId="1029365003"/>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840856481" createdVersion="8" refreshedVersion="8" minRefreshableVersion="3" recordCount="8" xr:uid="{C545AEE4-5CFF-47A5-8109-692B729FE4D6}">
  <cacheSource type="worksheet">
    <worksheetSource name="OctSumm"/>
  </cacheSource>
  <cacheFields count="4">
    <cacheField name="Category" numFmtId="0">
      <sharedItems count="8">
        <s v="Debt Payments"/>
        <s v="Insurance"/>
        <s v="Savings &amp; Investments"/>
        <s v="Utilities"/>
        <s v="Transportation"/>
        <s v="Food"/>
        <s v="Personal Expenses"/>
        <s v="Housing"/>
      </sharedItems>
    </cacheField>
    <cacheField name="Budget" numFmtId="164">
      <sharedItems containsSemiMixedTypes="0" containsString="0" containsNumber="1" containsInteger="1" minValue="2000" maxValue="11450"/>
    </cacheField>
    <cacheField name="Actual" numFmtId="164">
      <sharedItems containsSemiMixedTypes="0" containsString="0" containsNumber="1" containsInteger="1" minValue="2000" maxValue="11250"/>
    </cacheField>
    <cacheField name="Difference" numFmtId="0">
      <sharedItems containsSemiMixedTypes="0" containsString="0" containsNumber="1" containsInteger="1" minValue="0" maxValue="1635"/>
    </cacheField>
  </cacheFields>
  <extLst>
    <ext xmlns:x14="http://schemas.microsoft.com/office/spreadsheetml/2009/9/main" uri="{725AE2AE-9491-48be-B2B4-4EB974FC3084}">
      <x14:pivotCacheDefinition pivotCacheId="143516508"/>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841898151" createdVersion="8" refreshedVersion="8" minRefreshableVersion="3" recordCount="8" xr:uid="{4DFD45FE-7393-4E92-B5FF-D022FE54D3CF}">
  <cacheSource type="worksheet">
    <worksheetSource name="NovSumm"/>
  </cacheSource>
  <cacheFields count="4">
    <cacheField name="Category" numFmtId="0">
      <sharedItems count="8">
        <s v="Debt Payments"/>
        <s v="Insurance"/>
        <s v="Savings &amp; Investments"/>
        <s v="Utilities"/>
        <s v="Transportation"/>
        <s v="Food"/>
        <s v="Personal Expenses"/>
        <s v="Housing"/>
      </sharedItems>
    </cacheField>
    <cacheField name="Budget" numFmtId="164">
      <sharedItems containsSemiMixedTypes="0" containsString="0" containsNumber="1" containsInteger="1" minValue="1500" maxValue="11250"/>
    </cacheField>
    <cacheField name="Actual" numFmtId="164">
      <sharedItems containsSemiMixedTypes="0" containsString="0" containsNumber="1" containsInteger="1" minValue="1500" maxValue="11450"/>
    </cacheField>
    <cacheField name="Difference" numFmtId="0">
      <sharedItems containsSemiMixedTypes="0" containsString="0" containsNumber="1" containsInteger="1" minValue="-750" maxValue="300"/>
    </cacheField>
  </cacheFields>
  <extLst>
    <ext xmlns:x14="http://schemas.microsoft.com/office/spreadsheetml/2009/9/main" uri="{725AE2AE-9491-48be-B2B4-4EB974FC3084}">
      <x14:pivotCacheDefinition pivotCacheId="957226962"/>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842245367" createdVersion="8" refreshedVersion="8" minRefreshableVersion="3" recordCount="8" xr:uid="{2A9364D6-5519-49D5-BD62-CD289E8209D0}">
  <cacheSource type="worksheet">
    <worksheetSource name="Decsumm"/>
  </cacheSource>
  <cacheFields count="4">
    <cacheField name="Category" numFmtId="0">
      <sharedItems count="8">
        <s v="Debt Payments"/>
        <s v="Insurance"/>
        <s v="Savings &amp; Investments"/>
        <s v="Utilities"/>
        <s v="Transportation"/>
        <s v="Food"/>
        <s v="Personal Expenses"/>
        <s v="Housing"/>
      </sharedItems>
    </cacheField>
    <cacheField name="Budget" numFmtId="164">
      <sharedItems containsSemiMixedTypes="0" containsString="0" containsNumber="1" containsInteger="1" minValue="2000" maxValue="38000"/>
    </cacheField>
    <cacheField name="Actual" numFmtId="164">
      <sharedItems containsSemiMixedTypes="0" containsString="0" containsNumber="1" containsInteger="1" minValue="1760" maxValue="29497"/>
    </cacheField>
    <cacheField name="Difference" numFmtId="0">
      <sharedItems containsSemiMixedTypes="0" containsString="0" containsNumber="1" containsInteger="1" minValue="-8503" maxValue="1216"/>
    </cacheField>
  </cacheFields>
  <extLst>
    <ext xmlns:x14="http://schemas.microsoft.com/office/spreadsheetml/2009/9/main" uri="{725AE2AE-9491-48be-B2B4-4EB974FC3084}">
      <x14:pivotCacheDefinition pivotCacheId="200731614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42866203705" backgroundQuery="1" createdVersion="8" refreshedVersion="8" minRefreshableVersion="3" recordCount="216" xr:uid="{293E99B3-EA29-4432-BBCB-15BE41BFC8EE}">
  <cacheSource type="external" connectionId="1"/>
  <cacheFields count="6">
    <cacheField name="Category" numFmtId="0">
      <sharedItems count="8">
        <s v="Housing"/>
        <s v="Utilities"/>
        <s v="Food"/>
        <s v="Transportation"/>
        <s v="Insurance"/>
        <s v="Debt Payments"/>
        <s v="Personal Expenses"/>
        <s v="Savings &amp; Investments"/>
      </sharedItems>
    </cacheField>
    <cacheField name="Amount Budgeted" numFmtId="0">
      <sharedItems containsString="0" containsBlank="1" containsNumber="1" containsInteger="1" minValue="1500" maxValue="38000" count="19">
        <n v="11250"/>
        <n v="3300"/>
        <n v="5500"/>
        <n v="4000"/>
        <n v="2000"/>
        <n v="7500"/>
        <m/>
        <n v="11450"/>
        <n v="3500"/>
        <n v="6000"/>
        <n v="4500"/>
        <n v="8500"/>
        <n v="3000"/>
        <n v="6500"/>
        <n v="2800"/>
        <n v="5000"/>
        <n v="2700"/>
        <n v="1500"/>
        <n v="38000"/>
      </sharedItems>
    </cacheField>
    <cacheField name="Actual Spending" numFmtId="0">
      <sharedItems containsString="0" containsBlank="1" containsNumber="1" containsInteger="1" minValue="1500" maxValue="29497"/>
    </cacheField>
    <cacheField name="Difference" numFmtId="0">
      <sharedItems containsString="0" containsBlank="1" containsNumber="1" containsInteger="1" minValue="-8503" maxValue="4054"/>
    </cacheField>
    <cacheField name="Budget" numFmtId="0">
      <sharedItems containsString="0" containsBlank="1" containsNumber="1" containsInteger="1" minValue="1500" maxValue="38000" count="19">
        <m/>
        <n v="2000"/>
        <n v="3300"/>
        <n v="4000"/>
        <n v="5500"/>
        <n v="7500"/>
        <n v="11250"/>
        <n v="3000"/>
        <n v="3500"/>
        <n v="4500"/>
        <n v="6000"/>
        <n v="8500"/>
        <n v="11450"/>
        <n v="6500"/>
        <n v="2800"/>
        <n v="5000"/>
        <n v="1500"/>
        <n v="2700"/>
        <n v="38000"/>
      </sharedItems>
    </cacheField>
    <cacheField name="Actual" numFmtId="0">
      <sharedItems containsString="0" containsBlank="1" containsNumber="1" containsInteger="1" minValue="1500" maxValue="29497"/>
    </cacheField>
  </cacheFields>
  <extLst>
    <ext xmlns:x14="http://schemas.microsoft.com/office/spreadsheetml/2009/9/main" uri="{725AE2AE-9491-48be-B2B4-4EB974FC3084}">
      <x14:pivotCacheDefinition pivotCacheId="1670438134"/>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83.779009259262" createdVersion="8" refreshedVersion="8" minRefreshableVersion="3" recordCount="8" xr:uid="{7E39D605-88AD-43DE-8C40-0937F4BAAABD}">
  <cacheSource type="worksheet">
    <worksheetSource name="Table43"/>
  </cacheSource>
  <cacheFields count="4">
    <cacheField name="Row Labels" numFmtId="0">
      <sharedItems count="8">
        <s v="Debt Payments"/>
        <s v="Food"/>
        <s v="Housing"/>
        <s v="Insurance"/>
        <s v="Personal Expenses"/>
        <s v="Savings &amp; Investments"/>
        <s v="Transportation"/>
        <s v="Utilities"/>
      </sharedItems>
    </cacheField>
    <cacheField name="Average Actual Spending" numFmtId="0">
      <sharedItems containsSemiMixedTypes="0" containsString="0" containsNumber="1" minValue="2000" maxValue="11300.083333333334"/>
    </cacheField>
    <cacheField name="Average Budget" numFmtId="0">
      <sharedItems containsSemiMixedTypes="0" containsString="0" containsNumber="1" minValue="1916.6666666666667" maxValue="11350"/>
    </cacheField>
    <cacheField name="Average Difference" numFmtId="0" formula="'Average Actual Spending' -'Average Budget'" databaseField="0"/>
  </cacheFields>
  <extLst>
    <ext xmlns:x14="http://schemas.microsoft.com/office/spreadsheetml/2009/9/main" uri="{725AE2AE-9491-48be-B2B4-4EB974FC3084}">
      <x14:pivotCacheDefinition pivotCacheId="747596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11451"/>
    <n v="3780"/>
    <n v="6716"/>
    <n v="4400"/>
    <n v="2000"/>
    <n v="1760"/>
    <n v="9135"/>
    <n v="3000"/>
  </r>
  <r>
    <x v="1"/>
    <n v="11250"/>
    <n v="3230"/>
    <n v="5967"/>
    <n v="5000"/>
    <n v="2000"/>
    <n v="2500"/>
    <n v="10554"/>
    <n v="3000"/>
  </r>
  <r>
    <x v="2"/>
    <n v="11250"/>
    <n v="3097"/>
    <n v="4840"/>
    <n v="6340"/>
    <n v="2000"/>
    <n v="1500"/>
    <n v="7200"/>
    <n v="2000"/>
  </r>
  <r>
    <x v="3"/>
    <n v="11250"/>
    <n v="2950"/>
    <n v="5450"/>
    <n v="5600"/>
    <n v="2000"/>
    <n v="1760"/>
    <n v="7200"/>
    <n v="4000"/>
  </r>
  <r>
    <x v="4"/>
    <n v="11450"/>
    <n v="2770"/>
    <n v="4253"/>
    <n v="4100"/>
    <n v="2000"/>
    <n v="1800"/>
    <n v="5750"/>
    <n v="1500"/>
  </r>
  <r>
    <x v="5"/>
    <n v="11250"/>
    <n v="3230"/>
    <n v="6130"/>
    <n v="4500"/>
    <n v="2000"/>
    <n v="2500"/>
    <n v="8165"/>
    <n v="3000"/>
  </r>
  <r>
    <x v="6"/>
    <n v="11250"/>
    <n v="3230"/>
    <n v="5967"/>
    <n v="5000"/>
    <n v="2000"/>
    <n v="2500"/>
    <n v="10554"/>
    <n v="3000"/>
  </r>
  <r>
    <x v="7"/>
    <n v="11250"/>
    <n v="2950"/>
    <n v="5450"/>
    <n v="5600"/>
    <n v="2000"/>
    <n v="2500"/>
    <n v="7200"/>
    <n v="4000"/>
  </r>
  <r>
    <x v="8"/>
    <n v="11250"/>
    <n v="3230"/>
    <n v="5967"/>
    <n v="5000"/>
    <n v="2000"/>
    <n v="2500"/>
    <n v="10554"/>
    <n v="3000"/>
  </r>
  <r>
    <x v="9"/>
    <n v="11250"/>
    <n v="3230"/>
    <n v="5967"/>
    <n v="5000"/>
    <n v="2000"/>
    <n v="2500"/>
    <n v="10554"/>
    <n v="3000"/>
  </r>
  <r>
    <x v="10"/>
    <n v="11450"/>
    <n v="2770"/>
    <n v="4253"/>
    <n v="4100"/>
    <n v="2000"/>
    <n v="1800"/>
    <n v="5750"/>
    <n v="1500"/>
  </r>
  <r>
    <x v="11"/>
    <n v="11250"/>
    <n v="2700"/>
    <n v="6716"/>
    <n v="5000"/>
    <n v="2000"/>
    <n v="1760"/>
    <n v="29497"/>
    <n v="3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2000"/>
    <n v="1760"/>
    <n v="-240"/>
  </r>
  <r>
    <x v="1"/>
    <n v="2000"/>
    <n v="2000"/>
    <n v="0"/>
  </r>
  <r>
    <x v="2"/>
    <n v="2000"/>
    <n v="3000"/>
    <n v="1000"/>
  </r>
  <r>
    <x v="3"/>
    <n v="3300"/>
    <n v="3780"/>
    <n v="480"/>
  </r>
  <r>
    <x v="4"/>
    <n v="4000"/>
    <n v="4400"/>
    <n v="400"/>
  </r>
  <r>
    <x v="5"/>
    <n v="5500"/>
    <n v="6716"/>
    <n v="1216"/>
  </r>
  <r>
    <x v="6"/>
    <n v="7500"/>
    <n v="9135"/>
    <n v="1635"/>
  </r>
  <r>
    <x v="7"/>
    <n v="11250"/>
    <n v="11451"/>
    <n v="20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2000"/>
    <n v="2500"/>
    <n v="500"/>
  </r>
  <r>
    <x v="1"/>
    <n v="2000"/>
    <n v="2000"/>
    <n v="0"/>
  </r>
  <r>
    <x v="2"/>
    <n v="3000"/>
    <n v="3000"/>
    <n v="1000"/>
  </r>
  <r>
    <x v="3"/>
    <n v="3500"/>
    <n v="3230"/>
    <n v="480"/>
  </r>
  <r>
    <x v="4"/>
    <n v="4500"/>
    <n v="5000"/>
    <n v="400"/>
  </r>
  <r>
    <x v="5"/>
    <n v="6000"/>
    <n v="5967"/>
    <n v="1216"/>
  </r>
  <r>
    <x v="6"/>
    <n v="8500"/>
    <n v="10554"/>
    <n v="1635"/>
  </r>
  <r>
    <x v="7"/>
    <n v="11450"/>
    <n v="11250"/>
    <n v="20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2000"/>
    <n v="1500"/>
    <n v="-500"/>
  </r>
  <r>
    <x v="1"/>
    <n v="2000"/>
    <n v="2000"/>
    <n v="0"/>
  </r>
  <r>
    <x v="2"/>
    <n v="2000"/>
    <n v="2000"/>
    <n v="0"/>
  </r>
  <r>
    <x v="3"/>
    <n v="3300"/>
    <n v="3097"/>
    <n v="-203"/>
  </r>
  <r>
    <x v="4"/>
    <n v="4500"/>
    <n v="6340"/>
    <n v="1840"/>
  </r>
  <r>
    <x v="5"/>
    <n v="5500"/>
    <n v="4840"/>
    <n v="-660"/>
  </r>
  <r>
    <x v="6"/>
    <n v="6500"/>
    <n v="7200"/>
    <n v="700"/>
  </r>
  <r>
    <x v="7"/>
    <n v="11450"/>
    <n v="11250"/>
    <n v="-2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2000"/>
    <n v="1760"/>
    <n v="-240"/>
  </r>
  <r>
    <x v="1"/>
    <n v="2000"/>
    <n v="2000"/>
    <n v="0"/>
  </r>
  <r>
    <x v="2"/>
    <n v="2000"/>
    <n v="4000"/>
    <n v="2000"/>
  </r>
  <r>
    <x v="3"/>
    <n v="2800"/>
    <n v="2950"/>
    <n v="150"/>
  </r>
  <r>
    <x v="4"/>
    <n v="6000"/>
    <n v="5600"/>
    <n v="-400"/>
  </r>
  <r>
    <x v="5"/>
    <n v="5000"/>
    <n v="5450"/>
    <n v="450"/>
  </r>
  <r>
    <x v="6"/>
    <n v="7500"/>
    <n v="7200"/>
    <n v="-300"/>
  </r>
  <r>
    <x v="7"/>
    <n v="11250"/>
    <n v="11250"/>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1500"/>
    <n v="1800"/>
    <n v="300"/>
  </r>
  <r>
    <x v="1"/>
    <n v="2000"/>
    <n v="2000"/>
    <n v="0"/>
  </r>
  <r>
    <x v="2"/>
    <n v="2000"/>
    <n v="1500"/>
    <n v="-500"/>
  </r>
  <r>
    <x v="3"/>
    <n v="2700"/>
    <n v="2770"/>
    <n v="70"/>
  </r>
  <r>
    <x v="4"/>
    <n v="4000"/>
    <n v="4100"/>
    <n v="100"/>
  </r>
  <r>
    <x v="5"/>
    <n v="4500"/>
    <n v="4253"/>
    <n v="-247"/>
  </r>
  <r>
    <x v="6"/>
    <n v="6500"/>
    <n v="5750"/>
    <n v="-750"/>
  </r>
  <r>
    <x v="7"/>
    <n v="11250"/>
    <n v="11450"/>
    <n v="20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2000"/>
    <n v="2500"/>
    <n v="500"/>
  </r>
  <r>
    <x v="1"/>
    <n v="2000"/>
    <n v="2000"/>
    <n v="0"/>
  </r>
  <r>
    <x v="2"/>
    <n v="3000"/>
    <n v="3000"/>
    <n v="0"/>
  </r>
  <r>
    <x v="3"/>
    <n v="2800"/>
    <n v="3230"/>
    <n v="430"/>
  </r>
  <r>
    <x v="4"/>
    <n v="4500"/>
    <n v="4500"/>
    <n v="0"/>
  </r>
  <r>
    <x v="5"/>
    <n v="6000"/>
    <n v="6130"/>
    <n v="130"/>
  </r>
  <r>
    <x v="6"/>
    <n v="8500"/>
    <n v="8165"/>
    <n v="-335"/>
  </r>
  <r>
    <x v="7"/>
    <n v="11450"/>
    <n v="11250"/>
    <n v="-20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2000"/>
    <n v="2500"/>
    <n v="500"/>
  </r>
  <r>
    <x v="1"/>
    <n v="2000"/>
    <n v="2000"/>
    <n v="0"/>
  </r>
  <r>
    <x v="2"/>
    <n v="2000"/>
    <n v="3000"/>
    <n v="1000"/>
  </r>
  <r>
    <x v="3"/>
    <n v="3300"/>
    <n v="3230"/>
    <n v="480"/>
  </r>
  <r>
    <x v="4"/>
    <n v="4500"/>
    <n v="5000"/>
    <n v="400"/>
  </r>
  <r>
    <x v="5"/>
    <n v="5500"/>
    <n v="5967"/>
    <n v="1216"/>
  </r>
  <r>
    <x v="6"/>
    <n v="6500"/>
    <n v="10554"/>
    <n v="1635"/>
  </r>
  <r>
    <x v="7"/>
    <n v="11450"/>
    <n v="11250"/>
    <n v="201"/>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2000"/>
    <n v="1760"/>
    <n v="-240"/>
  </r>
  <r>
    <x v="1"/>
    <n v="2000"/>
    <n v="2000"/>
    <n v="0"/>
  </r>
  <r>
    <x v="2"/>
    <n v="2000"/>
    <n v="4000"/>
    <n v="2000"/>
  </r>
  <r>
    <x v="3"/>
    <n v="2800"/>
    <n v="2950"/>
    <n v="150"/>
  </r>
  <r>
    <x v="4"/>
    <n v="6000"/>
    <n v="5600"/>
    <n v="-400"/>
  </r>
  <r>
    <x v="5"/>
    <n v="5000"/>
    <n v="5450"/>
    <n v="450"/>
  </r>
  <r>
    <x v="6"/>
    <n v="7500"/>
    <n v="7200"/>
    <n v="-300"/>
  </r>
  <r>
    <x v="7"/>
    <n v="11250"/>
    <n v="11250"/>
    <n v="0"/>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2000"/>
    <n v="2500"/>
    <n v="500"/>
  </r>
  <r>
    <x v="1"/>
    <n v="2000"/>
    <n v="2000"/>
    <n v="0"/>
  </r>
  <r>
    <x v="2"/>
    <n v="3000"/>
    <n v="3000"/>
    <n v="1000"/>
  </r>
  <r>
    <x v="3"/>
    <n v="3500"/>
    <n v="3230"/>
    <n v="480"/>
  </r>
  <r>
    <x v="4"/>
    <n v="4500"/>
    <n v="5000"/>
    <n v="400"/>
  </r>
  <r>
    <x v="5"/>
    <n v="6000"/>
    <n v="5967"/>
    <n v="1216"/>
  </r>
  <r>
    <x v="6"/>
    <n v="8500"/>
    <n v="10554"/>
    <n v="1635"/>
  </r>
  <r>
    <x v="7"/>
    <n v="11450"/>
    <n v="11250"/>
    <n v="201"/>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2000"/>
    <n v="2500"/>
    <n v="500"/>
  </r>
  <r>
    <x v="1"/>
    <n v="2000"/>
    <n v="2000"/>
    <n v="0"/>
  </r>
  <r>
    <x v="2"/>
    <n v="3000"/>
    <n v="3000"/>
    <n v="1000"/>
  </r>
  <r>
    <x v="3"/>
    <n v="3500"/>
    <n v="3230"/>
    <n v="480"/>
  </r>
  <r>
    <x v="4"/>
    <n v="4500"/>
    <n v="5000"/>
    <n v="400"/>
  </r>
  <r>
    <x v="5"/>
    <n v="6000"/>
    <n v="5967"/>
    <n v="1216"/>
  </r>
  <r>
    <x v="6"/>
    <n v="8500"/>
    <n v="10554"/>
    <n v="1635"/>
  </r>
  <r>
    <x v="7"/>
    <n v="11450"/>
    <n v="11250"/>
    <n v="201"/>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1500"/>
    <n v="1800"/>
    <n v="300"/>
  </r>
  <r>
    <x v="1"/>
    <n v="2000"/>
    <n v="2000"/>
    <n v="0"/>
  </r>
  <r>
    <x v="2"/>
    <n v="2000"/>
    <n v="1500"/>
    <n v="-500"/>
  </r>
  <r>
    <x v="3"/>
    <n v="2700"/>
    <n v="2770"/>
    <n v="70"/>
  </r>
  <r>
    <x v="4"/>
    <n v="4000"/>
    <n v="4100"/>
    <n v="100"/>
  </r>
  <r>
    <x v="5"/>
    <n v="4500"/>
    <n v="4253"/>
    <n v="-247"/>
  </r>
  <r>
    <x v="6"/>
    <n v="6500"/>
    <n v="5750"/>
    <n v="-750"/>
  </r>
  <r>
    <x v="7"/>
    <n v="11250"/>
    <n v="11450"/>
    <n v="200"/>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2000"/>
    <n v="1760"/>
    <n v="-240"/>
  </r>
  <r>
    <x v="1"/>
    <n v="2000"/>
    <n v="2000"/>
    <n v="0"/>
  </r>
  <r>
    <x v="2"/>
    <n v="2000"/>
    <n v="3000"/>
    <n v="1000"/>
  </r>
  <r>
    <x v="3"/>
    <n v="3000"/>
    <n v="2700"/>
    <n v="-300"/>
  </r>
  <r>
    <x v="4"/>
    <n v="5000"/>
    <n v="5000"/>
    <n v="0"/>
  </r>
  <r>
    <x v="5"/>
    <n v="5500"/>
    <n v="6716"/>
    <n v="1216"/>
  </r>
  <r>
    <x v="6"/>
    <n v="38000"/>
    <n v="29497"/>
    <n v="-8503"/>
  </r>
  <r>
    <x v="7"/>
    <n v="11250"/>
    <n v="11250"/>
    <n v="0"/>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x v="0"/>
    <n v="11451"/>
    <n v="201"/>
    <x v="0"/>
    <m/>
  </r>
  <r>
    <x v="1"/>
    <x v="1"/>
    <n v="3780"/>
    <n v="480"/>
    <x v="0"/>
    <m/>
  </r>
  <r>
    <x v="2"/>
    <x v="2"/>
    <n v="6716"/>
    <n v="1216"/>
    <x v="0"/>
    <m/>
  </r>
  <r>
    <x v="3"/>
    <x v="3"/>
    <n v="4400"/>
    <n v="400"/>
    <x v="0"/>
    <m/>
  </r>
  <r>
    <x v="4"/>
    <x v="4"/>
    <n v="2000"/>
    <n v="0"/>
    <x v="0"/>
    <m/>
  </r>
  <r>
    <x v="5"/>
    <x v="4"/>
    <n v="1760"/>
    <n v="-240"/>
    <x v="0"/>
    <m/>
  </r>
  <r>
    <x v="6"/>
    <x v="5"/>
    <n v="9135"/>
    <n v="1635"/>
    <x v="0"/>
    <m/>
  </r>
  <r>
    <x v="7"/>
    <x v="4"/>
    <n v="3000"/>
    <n v="1000"/>
    <x v="0"/>
    <m/>
  </r>
  <r>
    <x v="5"/>
    <x v="6"/>
    <m/>
    <n v="-240"/>
    <x v="1"/>
    <n v="1760"/>
  </r>
  <r>
    <x v="4"/>
    <x v="6"/>
    <m/>
    <n v="0"/>
    <x v="1"/>
    <n v="2000"/>
  </r>
  <r>
    <x v="7"/>
    <x v="6"/>
    <m/>
    <n v="1000"/>
    <x v="1"/>
    <n v="3000"/>
  </r>
  <r>
    <x v="1"/>
    <x v="6"/>
    <m/>
    <n v="480"/>
    <x v="2"/>
    <n v="3780"/>
  </r>
  <r>
    <x v="3"/>
    <x v="6"/>
    <m/>
    <n v="400"/>
    <x v="3"/>
    <n v="4400"/>
  </r>
  <r>
    <x v="2"/>
    <x v="6"/>
    <m/>
    <n v="1216"/>
    <x v="4"/>
    <n v="6716"/>
  </r>
  <r>
    <x v="6"/>
    <x v="6"/>
    <m/>
    <n v="1635"/>
    <x v="5"/>
    <n v="9135"/>
  </r>
  <r>
    <x v="0"/>
    <x v="6"/>
    <m/>
    <n v="201"/>
    <x v="6"/>
    <n v="11451"/>
  </r>
  <r>
    <x v="0"/>
    <x v="7"/>
    <n v="11250"/>
    <n v="-200"/>
    <x v="0"/>
    <m/>
  </r>
  <r>
    <x v="1"/>
    <x v="8"/>
    <n v="3230"/>
    <n v="-270"/>
    <x v="0"/>
    <m/>
  </r>
  <r>
    <x v="2"/>
    <x v="9"/>
    <n v="5967"/>
    <n v="-33"/>
    <x v="0"/>
    <m/>
  </r>
  <r>
    <x v="3"/>
    <x v="10"/>
    <n v="5000"/>
    <n v="500"/>
    <x v="0"/>
    <m/>
  </r>
  <r>
    <x v="4"/>
    <x v="4"/>
    <n v="2000"/>
    <n v="0"/>
    <x v="0"/>
    <m/>
  </r>
  <r>
    <x v="5"/>
    <x v="4"/>
    <n v="2500"/>
    <n v="500"/>
    <x v="0"/>
    <m/>
  </r>
  <r>
    <x v="6"/>
    <x v="11"/>
    <n v="10554"/>
    <n v="2054"/>
    <x v="0"/>
    <m/>
  </r>
  <r>
    <x v="7"/>
    <x v="12"/>
    <n v="3000"/>
    <n v="0"/>
    <x v="0"/>
    <m/>
  </r>
  <r>
    <x v="5"/>
    <x v="6"/>
    <m/>
    <n v="500"/>
    <x v="1"/>
    <n v="2500"/>
  </r>
  <r>
    <x v="4"/>
    <x v="6"/>
    <m/>
    <n v="0"/>
    <x v="1"/>
    <n v="2000"/>
  </r>
  <r>
    <x v="7"/>
    <x v="6"/>
    <m/>
    <n v="1000"/>
    <x v="7"/>
    <n v="3000"/>
  </r>
  <r>
    <x v="1"/>
    <x v="6"/>
    <m/>
    <n v="480"/>
    <x v="8"/>
    <n v="3230"/>
  </r>
  <r>
    <x v="3"/>
    <x v="6"/>
    <m/>
    <n v="400"/>
    <x v="9"/>
    <n v="5000"/>
  </r>
  <r>
    <x v="2"/>
    <x v="6"/>
    <m/>
    <n v="1216"/>
    <x v="10"/>
    <n v="5967"/>
  </r>
  <r>
    <x v="6"/>
    <x v="6"/>
    <m/>
    <n v="1635"/>
    <x v="11"/>
    <n v="10554"/>
  </r>
  <r>
    <x v="0"/>
    <x v="6"/>
    <m/>
    <n v="201"/>
    <x v="12"/>
    <n v="11250"/>
  </r>
  <r>
    <x v="0"/>
    <x v="7"/>
    <n v="11250"/>
    <n v="-200"/>
    <x v="0"/>
    <m/>
  </r>
  <r>
    <x v="1"/>
    <x v="1"/>
    <n v="3097"/>
    <n v="-203"/>
    <x v="0"/>
    <m/>
  </r>
  <r>
    <x v="2"/>
    <x v="2"/>
    <n v="4840"/>
    <n v="-660"/>
    <x v="0"/>
    <m/>
  </r>
  <r>
    <x v="3"/>
    <x v="10"/>
    <n v="6340"/>
    <n v="1840"/>
    <x v="0"/>
    <m/>
  </r>
  <r>
    <x v="4"/>
    <x v="4"/>
    <n v="2000"/>
    <n v="0"/>
    <x v="0"/>
    <m/>
  </r>
  <r>
    <x v="5"/>
    <x v="4"/>
    <n v="1500"/>
    <n v="-500"/>
    <x v="0"/>
    <m/>
  </r>
  <r>
    <x v="6"/>
    <x v="13"/>
    <n v="7200"/>
    <n v="700"/>
    <x v="0"/>
    <m/>
  </r>
  <r>
    <x v="7"/>
    <x v="4"/>
    <n v="2000"/>
    <n v="0"/>
    <x v="0"/>
    <m/>
  </r>
  <r>
    <x v="5"/>
    <x v="6"/>
    <m/>
    <n v="-500"/>
    <x v="1"/>
    <n v="1500"/>
  </r>
  <r>
    <x v="4"/>
    <x v="6"/>
    <m/>
    <n v="0"/>
    <x v="1"/>
    <n v="2000"/>
  </r>
  <r>
    <x v="7"/>
    <x v="6"/>
    <m/>
    <n v="0"/>
    <x v="1"/>
    <n v="2000"/>
  </r>
  <r>
    <x v="1"/>
    <x v="6"/>
    <m/>
    <n v="-203"/>
    <x v="2"/>
    <n v="3097"/>
  </r>
  <r>
    <x v="3"/>
    <x v="6"/>
    <m/>
    <n v="1840"/>
    <x v="9"/>
    <n v="6340"/>
  </r>
  <r>
    <x v="2"/>
    <x v="6"/>
    <m/>
    <n v="-660"/>
    <x v="4"/>
    <n v="4840"/>
  </r>
  <r>
    <x v="6"/>
    <x v="6"/>
    <m/>
    <n v="700"/>
    <x v="13"/>
    <n v="7200"/>
  </r>
  <r>
    <x v="0"/>
    <x v="6"/>
    <m/>
    <n v="-200"/>
    <x v="12"/>
    <n v="11250"/>
  </r>
  <r>
    <x v="0"/>
    <x v="0"/>
    <n v="11250"/>
    <n v="0"/>
    <x v="0"/>
    <m/>
  </r>
  <r>
    <x v="1"/>
    <x v="14"/>
    <n v="2950"/>
    <n v="150"/>
    <x v="0"/>
    <m/>
  </r>
  <r>
    <x v="2"/>
    <x v="15"/>
    <n v="5450"/>
    <n v="450"/>
    <x v="0"/>
    <m/>
  </r>
  <r>
    <x v="3"/>
    <x v="9"/>
    <n v="5600"/>
    <n v="-400"/>
    <x v="0"/>
    <m/>
  </r>
  <r>
    <x v="4"/>
    <x v="4"/>
    <n v="2000"/>
    <n v="0"/>
    <x v="0"/>
    <m/>
  </r>
  <r>
    <x v="5"/>
    <x v="4"/>
    <n v="1760"/>
    <n v="-240"/>
    <x v="0"/>
    <m/>
  </r>
  <r>
    <x v="6"/>
    <x v="5"/>
    <n v="7200"/>
    <n v="-300"/>
    <x v="0"/>
    <m/>
  </r>
  <r>
    <x v="7"/>
    <x v="4"/>
    <n v="4000"/>
    <n v="2000"/>
    <x v="0"/>
    <m/>
  </r>
  <r>
    <x v="5"/>
    <x v="6"/>
    <m/>
    <n v="-240"/>
    <x v="1"/>
    <n v="1760"/>
  </r>
  <r>
    <x v="4"/>
    <x v="6"/>
    <m/>
    <n v="0"/>
    <x v="1"/>
    <n v="2000"/>
  </r>
  <r>
    <x v="7"/>
    <x v="6"/>
    <m/>
    <n v="2000"/>
    <x v="1"/>
    <n v="4000"/>
  </r>
  <r>
    <x v="1"/>
    <x v="6"/>
    <m/>
    <n v="150"/>
    <x v="14"/>
    <n v="2950"/>
  </r>
  <r>
    <x v="3"/>
    <x v="6"/>
    <m/>
    <n v="-400"/>
    <x v="10"/>
    <n v="5600"/>
  </r>
  <r>
    <x v="2"/>
    <x v="6"/>
    <m/>
    <n v="450"/>
    <x v="15"/>
    <n v="5450"/>
  </r>
  <r>
    <x v="6"/>
    <x v="6"/>
    <m/>
    <n v="-300"/>
    <x v="5"/>
    <n v="7200"/>
  </r>
  <r>
    <x v="0"/>
    <x v="6"/>
    <m/>
    <n v="0"/>
    <x v="6"/>
    <n v="11250"/>
  </r>
  <r>
    <x v="0"/>
    <x v="0"/>
    <n v="11450"/>
    <n v="200"/>
    <x v="0"/>
    <m/>
  </r>
  <r>
    <x v="1"/>
    <x v="16"/>
    <n v="2770"/>
    <n v="70"/>
    <x v="0"/>
    <m/>
  </r>
  <r>
    <x v="2"/>
    <x v="10"/>
    <n v="4253"/>
    <n v="-247"/>
    <x v="0"/>
    <m/>
  </r>
  <r>
    <x v="3"/>
    <x v="3"/>
    <n v="4100"/>
    <n v="100"/>
    <x v="0"/>
    <m/>
  </r>
  <r>
    <x v="4"/>
    <x v="4"/>
    <n v="2000"/>
    <n v="0"/>
    <x v="0"/>
    <m/>
  </r>
  <r>
    <x v="5"/>
    <x v="17"/>
    <n v="1800"/>
    <n v="300"/>
    <x v="0"/>
    <m/>
  </r>
  <r>
    <x v="6"/>
    <x v="13"/>
    <n v="5750"/>
    <n v="-750"/>
    <x v="0"/>
    <m/>
  </r>
  <r>
    <x v="7"/>
    <x v="4"/>
    <n v="1500"/>
    <n v="-500"/>
    <x v="0"/>
    <m/>
  </r>
  <r>
    <x v="5"/>
    <x v="6"/>
    <m/>
    <n v="300"/>
    <x v="16"/>
    <n v="1800"/>
  </r>
  <r>
    <x v="4"/>
    <x v="6"/>
    <m/>
    <n v="0"/>
    <x v="1"/>
    <n v="2000"/>
  </r>
  <r>
    <x v="7"/>
    <x v="6"/>
    <m/>
    <n v="-500"/>
    <x v="1"/>
    <n v="1500"/>
  </r>
  <r>
    <x v="1"/>
    <x v="6"/>
    <m/>
    <n v="70"/>
    <x v="17"/>
    <n v="2770"/>
  </r>
  <r>
    <x v="3"/>
    <x v="6"/>
    <m/>
    <n v="100"/>
    <x v="3"/>
    <n v="4100"/>
  </r>
  <r>
    <x v="2"/>
    <x v="6"/>
    <m/>
    <n v="-247"/>
    <x v="9"/>
    <n v="4253"/>
  </r>
  <r>
    <x v="6"/>
    <x v="6"/>
    <m/>
    <n v="-750"/>
    <x v="13"/>
    <n v="5750"/>
  </r>
  <r>
    <x v="0"/>
    <x v="6"/>
    <m/>
    <n v="200"/>
    <x v="6"/>
    <n v="11450"/>
  </r>
  <r>
    <x v="0"/>
    <x v="7"/>
    <n v="11250"/>
    <n v="-200"/>
    <x v="0"/>
    <m/>
  </r>
  <r>
    <x v="1"/>
    <x v="14"/>
    <n v="3230"/>
    <n v="430"/>
    <x v="0"/>
    <m/>
  </r>
  <r>
    <x v="2"/>
    <x v="9"/>
    <n v="6130"/>
    <n v="130"/>
    <x v="0"/>
    <m/>
  </r>
  <r>
    <x v="3"/>
    <x v="10"/>
    <n v="4500"/>
    <n v="0"/>
    <x v="0"/>
    <m/>
  </r>
  <r>
    <x v="4"/>
    <x v="4"/>
    <n v="2000"/>
    <n v="0"/>
    <x v="0"/>
    <m/>
  </r>
  <r>
    <x v="5"/>
    <x v="4"/>
    <n v="2500"/>
    <n v="500"/>
    <x v="0"/>
    <m/>
  </r>
  <r>
    <x v="6"/>
    <x v="11"/>
    <n v="8165"/>
    <n v="-335"/>
    <x v="0"/>
    <m/>
  </r>
  <r>
    <x v="7"/>
    <x v="12"/>
    <n v="3000"/>
    <n v="0"/>
    <x v="0"/>
    <m/>
  </r>
  <r>
    <x v="5"/>
    <x v="6"/>
    <m/>
    <n v="500"/>
    <x v="1"/>
    <n v="2500"/>
  </r>
  <r>
    <x v="4"/>
    <x v="6"/>
    <m/>
    <n v="0"/>
    <x v="1"/>
    <n v="2000"/>
  </r>
  <r>
    <x v="7"/>
    <x v="6"/>
    <m/>
    <n v="0"/>
    <x v="7"/>
    <n v="3000"/>
  </r>
  <r>
    <x v="1"/>
    <x v="6"/>
    <m/>
    <n v="430"/>
    <x v="14"/>
    <n v="3230"/>
  </r>
  <r>
    <x v="3"/>
    <x v="6"/>
    <m/>
    <n v="0"/>
    <x v="9"/>
    <n v="4500"/>
  </r>
  <r>
    <x v="2"/>
    <x v="6"/>
    <m/>
    <n v="130"/>
    <x v="10"/>
    <n v="6130"/>
  </r>
  <r>
    <x v="6"/>
    <x v="6"/>
    <m/>
    <n v="-335"/>
    <x v="11"/>
    <n v="8165"/>
  </r>
  <r>
    <x v="0"/>
    <x v="6"/>
    <m/>
    <n v="-200"/>
    <x v="12"/>
    <n v="11250"/>
  </r>
  <r>
    <x v="0"/>
    <x v="7"/>
    <n v="11250"/>
    <n v="-200"/>
    <x v="0"/>
    <m/>
  </r>
  <r>
    <x v="1"/>
    <x v="1"/>
    <n v="3230"/>
    <n v="-70"/>
    <x v="0"/>
    <m/>
  </r>
  <r>
    <x v="2"/>
    <x v="2"/>
    <n v="5967"/>
    <n v="467"/>
    <x v="0"/>
    <m/>
  </r>
  <r>
    <x v="3"/>
    <x v="10"/>
    <n v="5000"/>
    <n v="500"/>
    <x v="0"/>
    <m/>
  </r>
  <r>
    <x v="4"/>
    <x v="4"/>
    <n v="2000"/>
    <n v="0"/>
    <x v="0"/>
    <m/>
  </r>
  <r>
    <x v="5"/>
    <x v="4"/>
    <n v="2500"/>
    <n v="500"/>
    <x v="0"/>
    <m/>
  </r>
  <r>
    <x v="6"/>
    <x v="13"/>
    <n v="10554"/>
    <n v="4054"/>
    <x v="0"/>
    <m/>
  </r>
  <r>
    <x v="7"/>
    <x v="4"/>
    <n v="3000"/>
    <n v="1000"/>
    <x v="0"/>
    <m/>
  </r>
  <r>
    <x v="5"/>
    <x v="6"/>
    <m/>
    <n v="500"/>
    <x v="1"/>
    <n v="2500"/>
  </r>
  <r>
    <x v="4"/>
    <x v="6"/>
    <m/>
    <n v="0"/>
    <x v="1"/>
    <n v="2000"/>
  </r>
  <r>
    <x v="7"/>
    <x v="6"/>
    <m/>
    <n v="1000"/>
    <x v="1"/>
    <n v="3000"/>
  </r>
  <r>
    <x v="1"/>
    <x v="6"/>
    <m/>
    <n v="480"/>
    <x v="2"/>
    <n v="3230"/>
  </r>
  <r>
    <x v="3"/>
    <x v="6"/>
    <m/>
    <n v="400"/>
    <x v="9"/>
    <n v="5000"/>
  </r>
  <r>
    <x v="2"/>
    <x v="6"/>
    <m/>
    <n v="1216"/>
    <x v="4"/>
    <n v="5967"/>
  </r>
  <r>
    <x v="6"/>
    <x v="6"/>
    <m/>
    <n v="1635"/>
    <x v="13"/>
    <n v="10554"/>
  </r>
  <r>
    <x v="0"/>
    <x v="6"/>
    <m/>
    <n v="201"/>
    <x v="12"/>
    <n v="11250"/>
  </r>
  <r>
    <x v="0"/>
    <x v="0"/>
    <n v="11250"/>
    <n v="0"/>
    <x v="0"/>
    <m/>
  </r>
  <r>
    <x v="1"/>
    <x v="14"/>
    <n v="2950"/>
    <n v="150"/>
    <x v="0"/>
    <m/>
  </r>
  <r>
    <x v="2"/>
    <x v="15"/>
    <n v="5450"/>
    <n v="450"/>
    <x v="0"/>
    <m/>
  </r>
  <r>
    <x v="3"/>
    <x v="9"/>
    <n v="5600"/>
    <n v="-400"/>
    <x v="0"/>
    <m/>
  </r>
  <r>
    <x v="4"/>
    <x v="4"/>
    <n v="2000"/>
    <n v="0"/>
    <x v="0"/>
    <m/>
  </r>
  <r>
    <x v="5"/>
    <x v="4"/>
    <n v="1760"/>
    <n v="-240"/>
    <x v="0"/>
    <m/>
  </r>
  <r>
    <x v="6"/>
    <x v="5"/>
    <n v="7200"/>
    <n v="-300"/>
    <x v="0"/>
    <m/>
  </r>
  <r>
    <x v="7"/>
    <x v="4"/>
    <n v="4000"/>
    <n v="2000"/>
    <x v="0"/>
    <m/>
  </r>
  <r>
    <x v="5"/>
    <x v="6"/>
    <m/>
    <n v="-240"/>
    <x v="1"/>
    <n v="1760"/>
  </r>
  <r>
    <x v="4"/>
    <x v="6"/>
    <m/>
    <n v="0"/>
    <x v="1"/>
    <n v="2000"/>
  </r>
  <r>
    <x v="7"/>
    <x v="6"/>
    <m/>
    <n v="2000"/>
    <x v="1"/>
    <n v="4000"/>
  </r>
  <r>
    <x v="1"/>
    <x v="6"/>
    <m/>
    <n v="150"/>
    <x v="14"/>
    <n v="2950"/>
  </r>
  <r>
    <x v="3"/>
    <x v="6"/>
    <m/>
    <n v="-400"/>
    <x v="10"/>
    <n v="5600"/>
  </r>
  <r>
    <x v="2"/>
    <x v="6"/>
    <m/>
    <n v="450"/>
    <x v="15"/>
    <n v="5450"/>
  </r>
  <r>
    <x v="6"/>
    <x v="6"/>
    <m/>
    <n v="-300"/>
    <x v="5"/>
    <n v="7200"/>
  </r>
  <r>
    <x v="0"/>
    <x v="6"/>
    <m/>
    <n v="0"/>
    <x v="6"/>
    <n v="11250"/>
  </r>
  <r>
    <x v="0"/>
    <x v="7"/>
    <n v="11250"/>
    <n v="-200"/>
    <x v="0"/>
    <m/>
  </r>
  <r>
    <x v="1"/>
    <x v="8"/>
    <n v="3230"/>
    <n v="-270"/>
    <x v="0"/>
    <m/>
  </r>
  <r>
    <x v="2"/>
    <x v="9"/>
    <n v="5967"/>
    <n v="-33"/>
    <x v="0"/>
    <m/>
  </r>
  <r>
    <x v="3"/>
    <x v="10"/>
    <n v="5000"/>
    <n v="500"/>
    <x v="0"/>
    <m/>
  </r>
  <r>
    <x v="4"/>
    <x v="4"/>
    <n v="2000"/>
    <n v="0"/>
    <x v="0"/>
    <m/>
  </r>
  <r>
    <x v="5"/>
    <x v="4"/>
    <n v="2500"/>
    <n v="500"/>
    <x v="0"/>
    <m/>
  </r>
  <r>
    <x v="6"/>
    <x v="11"/>
    <n v="10554"/>
    <n v="2054"/>
    <x v="0"/>
    <m/>
  </r>
  <r>
    <x v="7"/>
    <x v="12"/>
    <n v="3000"/>
    <n v="0"/>
    <x v="0"/>
    <m/>
  </r>
  <r>
    <x v="5"/>
    <x v="6"/>
    <m/>
    <n v="500"/>
    <x v="1"/>
    <n v="2500"/>
  </r>
  <r>
    <x v="4"/>
    <x v="6"/>
    <m/>
    <n v="0"/>
    <x v="1"/>
    <n v="2000"/>
  </r>
  <r>
    <x v="7"/>
    <x v="6"/>
    <m/>
    <n v="1000"/>
    <x v="7"/>
    <n v="3000"/>
  </r>
  <r>
    <x v="1"/>
    <x v="6"/>
    <m/>
    <n v="480"/>
    <x v="8"/>
    <n v="3230"/>
  </r>
  <r>
    <x v="3"/>
    <x v="6"/>
    <m/>
    <n v="400"/>
    <x v="9"/>
    <n v="5000"/>
  </r>
  <r>
    <x v="2"/>
    <x v="6"/>
    <m/>
    <n v="1216"/>
    <x v="10"/>
    <n v="5967"/>
  </r>
  <r>
    <x v="6"/>
    <x v="6"/>
    <m/>
    <n v="1635"/>
    <x v="11"/>
    <n v="10554"/>
  </r>
  <r>
    <x v="0"/>
    <x v="6"/>
    <m/>
    <n v="201"/>
    <x v="12"/>
    <n v="11250"/>
  </r>
  <r>
    <x v="0"/>
    <x v="7"/>
    <n v="11250"/>
    <n v="-200"/>
    <x v="0"/>
    <m/>
  </r>
  <r>
    <x v="1"/>
    <x v="8"/>
    <n v="3230"/>
    <n v="-270"/>
    <x v="0"/>
    <m/>
  </r>
  <r>
    <x v="2"/>
    <x v="9"/>
    <n v="5967"/>
    <n v="-33"/>
    <x v="0"/>
    <m/>
  </r>
  <r>
    <x v="3"/>
    <x v="10"/>
    <n v="5000"/>
    <n v="500"/>
    <x v="0"/>
    <m/>
  </r>
  <r>
    <x v="4"/>
    <x v="4"/>
    <n v="2000"/>
    <n v="0"/>
    <x v="0"/>
    <m/>
  </r>
  <r>
    <x v="5"/>
    <x v="4"/>
    <n v="2500"/>
    <n v="500"/>
    <x v="0"/>
    <m/>
  </r>
  <r>
    <x v="6"/>
    <x v="11"/>
    <n v="10554"/>
    <n v="2054"/>
    <x v="0"/>
    <m/>
  </r>
  <r>
    <x v="7"/>
    <x v="12"/>
    <n v="3000"/>
    <n v="0"/>
    <x v="0"/>
    <m/>
  </r>
  <r>
    <x v="5"/>
    <x v="6"/>
    <m/>
    <n v="500"/>
    <x v="1"/>
    <n v="2500"/>
  </r>
  <r>
    <x v="4"/>
    <x v="6"/>
    <m/>
    <n v="0"/>
    <x v="1"/>
    <n v="2000"/>
  </r>
  <r>
    <x v="7"/>
    <x v="6"/>
    <m/>
    <n v="1000"/>
    <x v="7"/>
    <n v="3000"/>
  </r>
  <r>
    <x v="1"/>
    <x v="6"/>
    <m/>
    <n v="480"/>
    <x v="8"/>
    <n v="3230"/>
  </r>
  <r>
    <x v="3"/>
    <x v="6"/>
    <m/>
    <n v="400"/>
    <x v="9"/>
    <n v="5000"/>
  </r>
  <r>
    <x v="2"/>
    <x v="6"/>
    <m/>
    <n v="1216"/>
    <x v="10"/>
    <n v="5967"/>
  </r>
  <r>
    <x v="6"/>
    <x v="6"/>
    <m/>
    <n v="1635"/>
    <x v="11"/>
    <n v="10554"/>
  </r>
  <r>
    <x v="0"/>
    <x v="6"/>
    <m/>
    <n v="201"/>
    <x v="12"/>
    <n v="11250"/>
  </r>
  <r>
    <x v="0"/>
    <x v="0"/>
    <n v="11450"/>
    <n v="200"/>
    <x v="0"/>
    <m/>
  </r>
  <r>
    <x v="1"/>
    <x v="16"/>
    <n v="2770"/>
    <n v="70"/>
    <x v="0"/>
    <m/>
  </r>
  <r>
    <x v="2"/>
    <x v="10"/>
    <n v="4253"/>
    <n v="-247"/>
    <x v="0"/>
    <m/>
  </r>
  <r>
    <x v="3"/>
    <x v="3"/>
    <n v="4100"/>
    <n v="100"/>
    <x v="0"/>
    <m/>
  </r>
  <r>
    <x v="4"/>
    <x v="4"/>
    <n v="2000"/>
    <n v="0"/>
    <x v="0"/>
    <m/>
  </r>
  <r>
    <x v="5"/>
    <x v="17"/>
    <n v="1800"/>
    <n v="300"/>
    <x v="0"/>
    <m/>
  </r>
  <r>
    <x v="6"/>
    <x v="13"/>
    <n v="5750"/>
    <n v="-750"/>
    <x v="0"/>
    <m/>
  </r>
  <r>
    <x v="7"/>
    <x v="4"/>
    <n v="1500"/>
    <n v="-500"/>
    <x v="0"/>
    <m/>
  </r>
  <r>
    <x v="5"/>
    <x v="6"/>
    <m/>
    <n v="300"/>
    <x v="16"/>
    <n v="1800"/>
  </r>
  <r>
    <x v="4"/>
    <x v="6"/>
    <m/>
    <n v="0"/>
    <x v="1"/>
    <n v="2000"/>
  </r>
  <r>
    <x v="7"/>
    <x v="6"/>
    <m/>
    <n v="-500"/>
    <x v="1"/>
    <n v="1500"/>
  </r>
  <r>
    <x v="1"/>
    <x v="6"/>
    <m/>
    <n v="70"/>
    <x v="17"/>
    <n v="2770"/>
  </r>
  <r>
    <x v="3"/>
    <x v="6"/>
    <m/>
    <n v="100"/>
    <x v="3"/>
    <n v="4100"/>
  </r>
  <r>
    <x v="2"/>
    <x v="6"/>
    <m/>
    <n v="-247"/>
    <x v="9"/>
    <n v="4253"/>
  </r>
  <r>
    <x v="6"/>
    <x v="6"/>
    <m/>
    <n v="-750"/>
    <x v="13"/>
    <n v="5750"/>
  </r>
  <r>
    <x v="0"/>
    <x v="6"/>
    <m/>
    <n v="200"/>
    <x v="6"/>
    <n v="11450"/>
  </r>
  <r>
    <x v="0"/>
    <x v="0"/>
    <n v="11250"/>
    <n v="0"/>
    <x v="0"/>
    <m/>
  </r>
  <r>
    <x v="1"/>
    <x v="12"/>
    <n v="2700"/>
    <n v="-300"/>
    <x v="0"/>
    <m/>
  </r>
  <r>
    <x v="2"/>
    <x v="2"/>
    <n v="6716"/>
    <n v="1216"/>
    <x v="0"/>
    <m/>
  </r>
  <r>
    <x v="3"/>
    <x v="15"/>
    <n v="5000"/>
    <n v="0"/>
    <x v="0"/>
    <m/>
  </r>
  <r>
    <x v="4"/>
    <x v="4"/>
    <n v="2000"/>
    <n v="0"/>
    <x v="0"/>
    <m/>
  </r>
  <r>
    <x v="5"/>
    <x v="4"/>
    <n v="1760"/>
    <n v="-240"/>
    <x v="0"/>
    <m/>
  </r>
  <r>
    <x v="6"/>
    <x v="18"/>
    <n v="29497"/>
    <n v="-8503"/>
    <x v="0"/>
    <m/>
  </r>
  <r>
    <x v="7"/>
    <x v="4"/>
    <n v="3000"/>
    <n v="1000"/>
    <x v="0"/>
    <m/>
  </r>
  <r>
    <x v="5"/>
    <x v="6"/>
    <m/>
    <n v="-240"/>
    <x v="1"/>
    <n v="1760"/>
  </r>
  <r>
    <x v="4"/>
    <x v="6"/>
    <m/>
    <n v="0"/>
    <x v="1"/>
    <n v="2000"/>
  </r>
  <r>
    <x v="7"/>
    <x v="6"/>
    <m/>
    <n v="1000"/>
    <x v="1"/>
    <n v="3000"/>
  </r>
  <r>
    <x v="1"/>
    <x v="6"/>
    <m/>
    <n v="-300"/>
    <x v="7"/>
    <n v="2700"/>
  </r>
  <r>
    <x v="3"/>
    <x v="6"/>
    <m/>
    <n v="0"/>
    <x v="15"/>
    <n v="5000"/>
  </r>
  <r>
    <x v="2"/>
    <x v="6"/>
    <m/>
    <n v="1216"/>
    <x v="4"/>
    <n v="6716"/>
  </r>
  <r>
    <x v="6"/>
    <x v="6"/>
    <m/>
    <n v="-8503"/>
    <x v="18"/>
    <n v="29497"/>
  </r>
  <r>
    <x v="0"/>
    <x v="6"/>
    <m/>
    <n v="0"/>
    <x v="6"/>
    <n v="11250"/>
  </r>
  <r>
    <x v="5"/>
    <x v="6"/>
    <m/>
    <m/>
    <x v="0"/>
    <m/>
  </r>
  <r>
    <x v="4"/>
    <x v="6"/>
    <m/>
    <m/>
    <x v="0"/>
    <m/>
  </r>
  <r>
    <x v="7"/>
    <x v="6"/>
    <m/>
    <m/>
    <x v="0"/>
    <m/>
  </r>
  <r>
    <x v="1"/>
    <x v="6"/>
    <m/>
    <m/>
    <x v="0"/>
    <m/>
  </r>
  <r>
    <x v="3"/>
    <x v="6"/>
    <m/>
    <m/>
    <x v="0"/>
    <m/>
  </r>
  <r>
    <x v="2"/>
    <x v="6"/>
    <m/>
    <m/>
    <x v="0"/>
    <m/>
  </r>
  <r>
    <x v="6"/>
    <x v="6"/>
    <m/>
    <m/>
    <x v="0"/>
    <m/>
  </r>
  <r>
    <x v="0"/>
    <x v="6"/>
    <m/>
    <m/>
    <x v="0"/>
    <m/>
  </r>
  <r>
    <x v="5"/>
    <x v="6"/>
    <m/>
    <m/>
    <x v="0"/>
    <m/>
  </r>
  <r>
    <x v="4"/>
    <x v="6"/>
    <m/>
    <m/>
    <x v="0"/>
    <m/>
  </r>
  <r>
    <x v="7"/>
    <x v="6"/>
    <m/>
    <m/>
    <x v="0"/>
    <m/>
  </r>
  <r>
    <x v="1"/>
    <x v="6"/>
    <m/>
    <m/>
    <x v="0"/>
    <m/>
  </r>
  <r>
    <x v="3"/>
    <x v="6"/>
    <m/>
    <m/>
    <x v="0"/>
    <m/>
  </r>
  <r>
    <x v="2"/>
    <x v="6"/>
    <m/>
    <m/>
    <x v="0"/>
    <m/>
  </r>
  <r>
    <x v="6"/>
    <x v="6"/>
    <m/>
    <m/>
    <x v="0"/>
    <m/>
  </r>
  <r>
    <x v="0"/>
    <x v="6"/>
    <m/>
    <m/>
    <x v="0"/>
    <m/>
  </r>
  <r>
    <x v="5"/>
    <x v="6"/>
    <m/>
    <m/>
    <x v="0"/>
    <m/>
  </r>
  <r>
    <x v="4"/>
    <x v="6"/>
    <m/>
    <m/>
    <x v="0"/>
    <m/>
  </r>
  <r>
    <x v="7"/>
    <x v="6"/>
    <m/>
    <m/>
    <x v="0"/>
    <m/>
  </r>
  <r>
    <x v="1"/>
    <x v="6"/>
    <m/>
    <m/>
    <x v="0"/>
    <m/>
  </r>
  <r>
    <x v="3"/>
    <x v="6"/>
    <m/>
    <m/>
    <x v="0"/>
    <m/>
  </r>
  <r>
    <x v="2"/>
    <x v="6"/>
    <m/>
    <m/>
    <x v="0"/>
    <m/>
  </r>
  <r>
    <x v="6"/>
    <x v="6"/>
    <m/>
    <m/>
    <x v="0"/>
    <m/>
  </r>
  <r>
    <x v="0"/>
    <x v="6"/>
    <m/>
    <m/>
    <x v="0"/>
    <m/>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2053.3333333333335"/>
    <n v="1916.6666666666667"/>
  </r>
  <r>
    <x v="1"/>
    <n v="5639.666666666667"/>
    <n v="5416.666666666667"/>
  </r>
  <r>
    <x v="2"/>
    <n v="11300.083333333334"/>
    <n v="11350"/>
  </r>
  <r>
    <x v="3"/>
    <n v="2000"/>
    <n v="2000"/>
  </r>
  <r>
    <x v="4"/>
    <n v="10176.083333333334"/>
    <n v="10041.666666666666"/>
  </r>
  <r>
    <x v="5"/>
    <n v="2833.3333333333335"/>
    <n v="2333.3333333333335"/>
  </r>
  <r>
    <x v="6"/>
    <n v="4970"/>
    <n v="4666.666666666667"/>
  </r>
  <r>
    <x v="7"/>
    <n v="3097.25"/>
    <n v="3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0C7090-754B-4394-811D-997257B235BB}" name="PivotTable25"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16:K25" firstHeaderRow="0" firstDataRow="1" firstDataCol="1"/>
  <pivotFields count="4">
    <pivotField axis="axisRow" showAll="0">
      <items count="9">
        <item x="0"/>
        <item x="5"/>
        <item x="7"/>
        <item x="1"/>
        <item x="6"/>
        <item x="2"/>
        <item x="4"/>
        <item x="3"/>
        <item t="default"/>
      </items>
    </pivotField>
    <pivotField dataField="1" numFmtId="164" showAll="0"/>
    <pivotField dataField="1" numFmtId="164" showAll="0"/>
    <pivotField showAll="0"/>
  </pivotFields>
  <rowFields count="1">
    <field x="0"/>
  </rowFields>
  <rowItems count="9">
    <i>
      <x/>
    </i>
    <i>
      <x v="1"/>
    </i>
    <i>
      <x v="2"/>
    </i>
    <i>
      <x v="3"/>
    </i>
    <i>
      <x v="4"/>
    </i>
    <i>
      <x v="5"/>
    </i>
    <i>
      <x v="6"/>
    </i>
    <i>
      <x v="7"/>
    </i>
    <i t="grand">
      <x/>
    </i>
  </rowItems>
  <colFields count="1">
    <field x="-2"/>
  </colFields>
  <colItems count="2">
    <i>
      <x/>
    </i>
    <i i="1">
      <x v="1"/>
    </i>
  </colItems>
  <dataFields count="2">
    <dataField name="Sum of Budget" fld="1" baseField="0" baseItem="0"/>
    <dataField name="Sum of Actual" fld="2" baseField="0" baseItem="0"/>
  </dataFields>
  <formats count="40">
    <format dxfId="709">
      <pivotArea type="all" dataOnly="0" outline="0" fieldPosition="0"/>
    </format>
    <format dxfId="708">
      <pivotArea outline="0" collapsedLevelsAreSubtotals="1" fieldPosition="0"/>
    </format>
    <format dxfId="707">
      <pivotArea field="0" type="button" dataOnly="0" labelOnly="1" outline="0" axis="axisRow" fieldPosition="0"/>
    </format>
    <format dxfId="706">
      <pivotArea dataOnly="0" labelOnly="1" fieldPosition="0">
        <references count="1">
          <reference field="0" count="0"/>
        </references>
      </pivotArea>
    </format>
    <format dxfId="705">
      <pivotArea dataOnly="0" labelOnly="1" grandRow="1" outline="0" fieldPosition="0"/>
    </format>
    <format dxfId="704">
      <pivotArea dataOnly="0" labelOnly="1" outline="0" fieldPosition="0">
        <references count="1">
          <reference field="4294967294" count="2">
            <x v="0"/>
            <x v="1"/>
          </reference>
        </references>
      </pivotArea>
    </format>
    <format dxfId="703">
      <pivotArea type="all" dataOnly="0" outline="0" fieldPosition="0"/>
    </format>
    <format dxfId="702">
      <pivotArea outline="0" collapsedLevelsAreSubtotals="1" fieldPosition="0"/>
    </format>
    <format dxfId="701">
      <pivotArea field="0" type="button" dataOnly="0" labelOnly="1" outline="0" axis="axisRow" fieldPosition="0"/>
    </format>
    <format dxfId="700">
      <pivotArea dataOnly="0" labelOnly="1" fieldPosition="0">
        <references count="1">
          <reference field="0" count="0"/>
        </references>
      </pivotArea>
    </format>
    <format dxfId="699">
      <pivotArea dataOnly="0" labelOnly="1" grandRow="1" outline="0" fieldPosition="0"/>
    </format>
    <format dxfId="698">
      <pivotArea dataOnly="0" labelOnly="1" outline="0" fieldPosition="0">
        <references count="1">
          <reference field="4294967294" count="2">
            <x v="0"/>
            <x v="1"/>
          </reference>
        </references>
      </pivotArea>
    </format>
    <format dxfId="697">
      <pivotArea type="all" dataOnly="0" outline="0" fieldPosition="0"/>
    </format>
    <format dxfId="696">
      <pivotArea field="0" type="button" dataOnly="0" labelOnly="1" outline="0" axis="axisRow" fieldPosition="0"/>
    </format>
    <format dxfId="695">
      <pivotArea dataOnly="0" labelOnly="1" outline="0" fieldPosition="0">
        <references count="1">
          <reference field="4294967294" count="2">
            <x v="0"/>
            <x v="1"/>
          </reference>
        </references>
      </pivotArea>
    </format>
    <format dxfId="694">
      <pivotArea field="0" type="button" dataOnly="0" labelOnly="1" outline="0" axis="axisRow" fieldPosition="0"/>
    </format>
    <format dxfId="693">
      <pivotArea dataOnly="0" labelOnly="1" outline="0" fieldPosition="0">
        <references count="1">
          <reference field="4294967294" count="2">
            <x v="0"/>
            <x v="1"/>
          </reference>
        </references>
      </pivotArea>
    </format>
    <format dxfId="692">
      <pivotArea type="all" dataOnly="0" outline="0" fieldPosition="0"/>
    </format>
    <format dxfId="691">
      <pivotArea outline="0" collapsedLevelsAreSubtotals="1" fieldPosition="0"/>
    </format>
    <format dxfId="690">
      <pivotArea field="0" type="button" dataOnly="0" labelOnly="1" outline="0" axis="axisRow" fieldPosition="0"/>
    </format>
    <format dxfId="689">
      <pivotArea dataOnly="0" labelOnly="1" fieldPosition="0">
        <references count="1">
          <reference field="0" count="0"/>
        </references>
      </pivotArea>
    </format>
    <format dxfId="688">
      <pivotArea dataOnly="0" labelOnly="1" grandRow="1" outline="0" fieldPosition="0"/>
    </format>
    <format dxfId="687">
      <pivotArea dataOnly="0" labelOnly="1" outline="0" fieldPosition="0">
        <references count="1">
          <reference field="4294967294" count="2">
            <x v="0"/>
            <x v="1"/>
          </reference>
        </references>
      </pivotArea>
    </format>
    <format dxfId="686">
      <pivotArea type="all" dataOnly="0" outline="0" fieldPosition="0"/>
    </format>
    <format dxfId="685">
      <pivotArea field="0" type="button" dataOnly="0" labelOnly="1" outline="0" axis="axisRow" fieldPosition="0"/>
    </format>
    <format dxfId="684">
      <pivotArea dataOnly="0" labelOnly="1" outline="0" fieldPosition="0">
        <references count="1">
          <reference field="4294967294" count="2">
            <x v="0"/>
            <x v="1"/>
          </reference>
        </references>
      </pivotArea>
    </format>
    <format dxfId="683">
      <pivotArea field="0" type="button" dataOnly="0" labelOnly="1" outline="0" axis="axisRow" fieldPosition="0"/>
    </format>
    <format dxfId="682">
      <pivotArea dataOnly="0" labelOnly="1" outline="0" fieldPosition="0">
        <references count="1">
          <reference field="4294967294" count="2">
            <x v="0"/>
            <x v="1"/>
          </reference>
        </references>
      </pivotArea>
    </format>
    <format dxfId="681">
      <pivotArea type="all" dataOnly="0" outline="0" fieldPosition="0"/>
    </format>
    <format dxfId="680">
      <pivotArea outline="0" collapsedLevelsAreSubtotals="1" fieldPosition="0"/>
    </format>
    <format dxfId="679">
      <pivotArea field="0" type="button" dataOnly="0" labelOnly="1" outline="0" axis="axisRow" fieldPosition="0"/>
    </format>
    <format dxfId="678">
      <pivotArea dataOnly="0" labelOnly="1" fieldPosition="0">
        <references count="1">
          <reference field="0" count="0"/>
        </references>
      </pivotArea>
    </format>
    <format dxfId="677">
      <pivotArea dataOnly="0" labelOnly="1" grandRow="1" outline="0" fieldPosition="0"/>
    </format>
    <format dxfId="676">
      <pivotArea dataOnly="0" labelOnly="1" outline="0" fieldPosition="0">
        <references count="1">
          <reference field="4294967294" count="2">
            <x v="0"/>
            <x v="1"/>
          </reference>
        </references>
      </pivotArea>
    </format>
    <format dxfId="435">
      <pivotArea type="all" dataOnly="0" outline="0" fieldPosition="0"/>
    </format>
    <format dxfId="434">
      <pivotArea outline="0" collapsedLevelsAreSubtotals="1" fieldPosition="0"/>
    </format>
    <format dxfId="433">
      <pivotArea field="0" type="button" dataOnly="0" labelOnly="1" outline="0" axis="axisRow" fieldPosition="0"/>
    </format>
    <format dxfId="432">
      <pivotArea dataOnly="0" labelOnly="1" fieldPosition="0">
        <references count="1">
          <reference field="0" count="0"/>
        </references>
      </pivotArea>
    </format>
    <format dxfId="431">
      <pivotArea dataOnly="0" labelOnly="1" grandRow="1" outline="0" fieldPosition="0"/>
    </format>
    <format dxfId="430">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060203-8918-4BF4-B479-4AAF9DC95C8B}" name="PivotTable24"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I16:K18" firstHeaderRow="0" firstDataRow="1" firstDataCol="1"/>
  <pivotFields count="4">
    <pivotField axis="axisRow" showAll="0">
      <items count="9">
        <item h="1" x="0"/>
        <item h="1" x="5"/>
        <item x="7"/>
        <item h="1" x="1"/>
        <item h="1" x="6"/>
        <item h="1" x="2"/>
        <item h="1" x="4"/>
        <item h="1" x="3"/>
        <item t="default"/>
      </items>
    </pivotField>
    <pivotField dataField="1" numFmtId="164" showAll="0"/>
    <pivotField dataField="1" numFmtId="164" showAll="0"/>
    <pivotField showAll="0"/>
  </pivotFields>
  <rowFields count="1">
    <field x="0"/>
  </rowFields>
  <rowItems count="2">
    <i>
      <x v="2"/>
    </i>
    <i t="grand">
      <x/>
    </i>
  </rowItems>
  <colFields count="1">
    <field x="-2"/>
  </colFields>
  <colItems count="2">
    <i>
      <x/>
    </i>
    <i i="1">
      <x v="1"/>
    </i>
  </colItems>
  <dataFields count="2">
    <dataField name="Sum of Budget" fld="1" baseField="0" baseItem="0"/>
    <dataField name="Sum of Actual" fld="2" baseField="0" baseItem="0"/>
  </dataFields>
  <formats count="22">
    <format dxfId="673">
      <pivotArea type="all" dataOnly="0" outline="0" fieldPosition="0"/>
    </format>
    <format dxfId="672">
      <pivotArea outline="0" collapsedLevelsAreSubtotals="1" fieldPosition="0"/>
    </format>
    <format dxfId="671">
      <pivotArea field="0" type="button" dataOnly="0" labelOnly="1" outline="0" axis="axisRow" fieldPosition="0"/>
    </format>
    <format dxfId="670">
      <pivotArea dataOnly="0" labelOnly="1" fieldPosition="0">
        <references count="1">
          <reference field="0" count="0"/>
        </references>
      </pivotArea>
    </format>
    <format dxfId="669">
      <pivotArea dataOnly="0" labelOnly="1" grandRow="1" outline="0" fieldPosition="0"/>
    </format>
    <format dxfId="668">
      <pivotArea dataOnly="0" labelOnly="1" outline="0" fieldPosition="0">
        <references count="1">
          <reference field="4294967294" count="2">
            <x v="0"/>
            <x v="1"/>
          </reference>
        </references>
      </pivotArea>
    </format>
    <format dxfId="667">
      <pivotArea type="all" dataOnly="0" outline="0" fieldPosition="0"/>
    </format>
    <format dxfId="666">
      <pivotArea outline="0" collapsedLevelsAreSubtotals="1" fieldPosition="0"/>
    </format>
    <format dxfId="665">
      <pivotArea field="0" type="button" dataOnly="0" labelOnly="1" outline="0" axis="axisRow" fieldPosition="0"/>
    </format>
    <format dxfId="664">
      <pivotArea dataOnly="0" labelOnly="1" fieldPosition="0">
        <references count="1">
          <reference field="0" count="0"/>
        </references>
      </pivotArea>
    </format>
    <format dxfId="663">
      <pivotArea dataOnly="0" labelOnly="1" grandRow="1" outline="0" fieldPosition="0"/>
    </format>
    <format dxfId="662">
      <pivotArea dataOnly="0" labelOnly="1" outline="0" fieldPosition="0">
        <references count="1">
          <reference field="4294967294" count="2">
            <x v="0"/>
            <x v="1"/>
          </reference>
        </references>
      </pivotArea>
    </format>
    <format dxfId="661">
      <pivotArea field="0" type="button" dataOnly="0" labelOnly="1" outline="0" axis="axisRow" fieldPosition="0"/>
    </format>
    <format dxfId="660">
      <pivotArea dataOnly="0" labelOnly="1" outline="0" fieldPosition="0">
        <references count="1">
          <reference field="4294967294" count="2">
            <x v="0"/>
            <x v="1"/>
          </reference>
        </references>
      </pivotArea>
    </format>
    <format dxfId="659">
      <pivotArea field="0" type="button" dataOnly="0" labelOnly="1" outline="0" axis="axisRow" fieldPosition="0"/>
    </format>
    <format dxfId="658">
      <pivotArea dataOnly="0" labelOnly="1" outline="0" fieldPosition="0">
        <references count="1">
          <reference field="4294967294" count="2">
            <x v="0"/>
            <x v="1"/>
          </reference>
        </references>
      </pivotArea>
    </format>
    <format dxfId="416">
      <pivotArea type="all" dataOnly="0" outline="0" fieldPosition="0"/>
    </format>
    <format dxfId="415">
      <pivotArea outline="0" collapsedLevelsAreSubtotals="1" fieldPosition="0"/>
    </format>
    <format dxfId="414">
      <pivotArea field="0" type="button" dataOnly="0" labelOnly="1" outline="0" axis="axisRow" fieldPosition="0"/>
    </format>
    <format dxfId="413">
      <pivotArea dataOnly="0" labelOnly="1" fieldPosition="0">
        <references count="1">
          <reference field="0" count="0"/>
        </references>
      </pivotArea>
    </format>
    <format dxfId="412">
      <pivotArea dataOnly="0" labelOnly="1" grandRow="1" outline="0" fieldPosition="0"/>
    </format>
    <format dxfId="411">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34332-5615-42DE-BBCD-A221E2485173}" name="PivotTable2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16:K18" firstHeaderRow="0" firstDataRow="1" firstDataCol="1"/>
  <pivotFields count="4">
    <pivotField axis="axisRow" showAll="0">
      <items count="9">
        <item h="1" x="0"/>
        <item h="1" x="5"/>
        <item x="7"/>
        <item h="1" x="1"/>
        <item h="1" x="6"/>
        <item h="1" x="2"/>
        <item h="1" x="4"/>
        <item h="1" x="3"/>
        <item t="default"/>
      </items>
    </pivotField>
    <pivotField dataField="1" numFmtId="164" showAll="0"/>
    <pivotField dataField="1" numFmtId="164" showAll="0"/>
    <pivotField showAll="0"/>
  </pivotFields>
  <rowFields count="1">
    <field x="0"/>
  </rowFields>
  <rowItems count="2">
    <i>
      <x v="2"/>
    </i>
    <i t="grand">
      <x/>
    </i>
  </rowItems>
  <colFields count="1">
    <field x="-2"/>
  </colFields>
  <colItems count="2">
    <i>
      <x/>
    </i>
    <i i="1">
      <x v="1"/>
    </i>
  </colItems>
  <dataFields count="2">
    <dataField name="Sum of Budget" fld="1" baseField="0" baseItem="0"/>
    <dataField name="Sum of Actual" fld="2" baseField="0" baseItem="0"/>
  </dataFields>
  <formats count="20">
    <format dxfId="653">
      <pivotArea type="all" dataOnly="0" outline="0" fieldPosition="0"/>
    </format>
    <format dxfId="652">
      <pivotArea outline="0" collapsedLevelsAreSubtotals="1" fieldPosition="0"/>
    </format>
    <format dxfId="651">
      <pivotArea field="0" type="button" dataOnly="0" labelOnly="1" outline="0" axis="axisRow" fieldPosition="0"/>
    </format>
    <format dxfId="650">
      <pivotArea dataOnly="0" labelOnly="1" fieldPosition="0">
        <references count="1">
          <reference field="0" count="0"/>
        </references>
      </pivotArea>
    </format>
    <format dxfId="649">
      <pivotArea dataOnly="0" labelOnly="1" grandRow="1" outline="0" fieldPosition="0"/>
    </format>
    <format dxfId="648">
      <pivotArea dataOnly="0" labelOnly="1" outline="0" fieldPosition="0">
        <references count="1">
          <reference field="4294967294" count="2">
            <x v="0"/>
            <x v="1"/>
          </reference>
        </references>
      </pivotArea>
    </format>
    <format dxfId="647">
      <pivotArea type="all" dataOnly="0" outline="0" fieldPosition="0"/>
    </format>
    <format dxfId="646">
      <pivotArea outline="0" collapsedLevelsAreSubtotals="1" fieldPosition="0"/>
    </format>
    <format dxfId="645">
      <pivotArea field="0" type="button" dataOnly="0" labelOnly="1" outline="0" axis="axisRow" fieldPosition="0"/>
    </format>
    <format dxfId="644">
      <pivotArea dataOnly="0" labelOnly="1" fieldPosition="0">
        <references count="1">
          <reference field="0" count="0"/>
        </references>
      </pivotArea>
    </format>
    <format dxfId="643">
      <pivotArea dataOnly="0" labelOnly="1" grandRow="1" outline="0" fieldPosition="0"/>
    </format>
    <format dxfId="642">
      <pivotArea dataOnly="0" labelOnly="1" outline="0" fieldPosition="0">
        <references count="1">
          <reference field="4294967294" count="2">
            <x v="0"/>
            <x v="1"/>
          </reference>
        </references>
      </pivotArea>
    </format>
    <format dxfId="641">
      <pivotArea field="0" type="button" dataOnly="0" labelOnly="1" outline="0" axis="axisRow" fieldPosition="0"/>
    </format>
    <format dxfId="640">
      <pivotArea dataOnly="0" labelOnly="1" outline="0" fieldPosition="0">
        <references count="1">
          <reference field="4294967294" count="2">
            <x v="0"/>
            <x v="1"/>
          </reference>
        </references>
      </pivotArea>
    </format>
    <format dxfId="397">
      <pivotArea type="all" dataOnly="0" outline="0" fieldPosition="0"/>
    </format>
    <format dxfId="396">
      <pivotArea outline="0" collapsedLevelsAreSubtotals="1" fieldPosition="0"/>
    </format>
    <format dxfId="395">
      <pivotArea field="0" type="button" dataOnly="0" labelOnly="1" outline="0" axis="axisRow" fieldPosition="0"/>
    </format>
    <format dxfId="394">
      <pivotArea dataOnly="0" labelOnly="1" fieldPosition="0">
        <references count="1">
          <reference field="0" count="0"/>
        </references>
      </pivotArea>
    </format>
    <format dxfId="393">
      <pivotArea dataOnly="0" labelOnly="1" grandRow="1" outline="0" fieldPosition="0"/>
    </format>
    <format dxfId="392">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73406C-B074-4BC3-8C33-33E3F4566FD0}" name="PivotTable2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16:K25" firstHeaderRow="0" firstDataRow="1" firstDataCol="1"/>
  <pivotFields count="4">
    <pivotField axis="axisRow" showAll="0">
      <items count="9">
        <item x="0"/>
        <item x="5"/>
        <item x="7"/>
        <item x="1"/>
        <item x="6"/>
        <item x="2"/>
        <item x="4"/>
        <item x="3"/>
        <item t="default"/>
      </items>
    </pivotField>
    <pivotField dataField="1" numFmtId="164" showAll="0"/>
    <pivotField dataField="1" numFmtId="164" showAll="0"/>
    <pivotField showAll="0"/>
  </pivotFields>
  <rowFields count="1">
    <field x="0"/>
  </rowFields>
  <rowItems count="9">
    <i>
      <x/>
    </i>
    <i>
      <x v="1"/>
    </i>
    <i>
      <x v="2"/>
    </i>
    <i>
      <x v="3"/>
    </i>
    <i>
      <x v="4"/>
    </i>
    <i>
      <x v="5"/>
    </i>
    <i>
      <x v="6"/>
    </i>
    <i>
      <x v="7"/>
    </i>
    <i t="grand">
      <x/>
    </i>
  </rowItems>
  <colFields count="1">
    <field x="-2"/>
  </colFields>
  <colItems count="2">
    <i>
      <x/>
    </i>
    <i i="1">
      <x v="1"/>
    </i>
  </colItems>
  <dataFields count="2">
    <dataField name="Sum of Budget" fld="1" baseField="0" baseItem="0"/>
    <dataField name="Sum of Actual" fld="2" baseField="0" baseItem="0"/>
  </dataFields>
  <formats count="22">
    <format dxfId="635">
      <pivotArea type="all" dataOnly="0" outline="0" fieldPosition="0"/>
    </format>
    <format dxfId="634">
      <pivotArea outline="0" collapsedLevelsAreSubtotals="1" fieldPosition="0"/>
    </format>
    <format dxfId="633">
      <pivotArea field="0" type="button" dataOnly="0" labelOnly="1" outline="0" axis="axisRow" fieldPosition="0"/>
    </format>
    <format dxfId="632">
      <pivotArea dataOnly="0" labelOnly="1" fieldPosition="0">
        <references count="1">
          <reference field="0" count="0"/>
        </references>
      </pivotArea>
    </format>
    <format dxfId="631">
      <pivotArea dataOnly="0" labelOnly="1" grandRow="1" outline="0" fieldPosition="0"/>
    </format>
    <format dxfId="630">
      <pivotArea dataOnly="0" labelOnly="1" outline="0" fieldPosition="0">
        <references count="1">
          <reference field="4294967294" count="2">
            <x v="0"/>
            <x v="1"/>
          </reference>
        </references>
      </pivotArea>
    </format>
    <format dxfId="629">
      <pivotArea type="all" dataOnly="0" outline="0" fieldPosition="0"/>
    </format>
    <format dxfId="628">
      <pivotArea outline="0" collapsedLevelsAreSubtotals="1" fieldPosition="0"/>
    </format>
    <format dxfId="627">
      <pivotArea field="0" type="button" dataOnly="0" labelOnly="1" outline="0" axis="axisRow" fieldPosition="0"/>
    </format>
    <format dxfId="626">
      <pivotArea dataOnly="0" labelOnly="1" fieldPosition="0">
        <references count="1">
          <reference field="0" count="0"/>
        </references>
      </pivotArea>
    </format>
    <format dxfId="625">
      <pivotArea dataOnly="0" labelOnly="1" grandRow="1" outline="0" fieldPosition="0"/>
    </format>
    <format dxfId="624">
      <pivotArea dataOnly="0" labelOnly="1" outline="0" fieldPosition="0">
        <references count="1">
          <reference field="4294967294" count="2">
            <x v="0"/>
            <x v="1"/>
          </reference>
        </references>
      </pivotArea>
    </format>
    <format dxfId="623">
      <pivotArea field="0" type="button" dataOnly="0" labelOnly="1" outline="0" axis="axisRow" fieldPosition="0"/>
    </format>
    <format dxfId="622">
      <pivotArea dataOnly="0" labelOnly="1" outline="0" fieldPosition="0">
        <references count="1">
          <reference field="4294967294" count="2">
            <x v="0"/>
            <x v="1"/>
          </reference>
        </references>
      </pivotArea>
    </format>
    <format dxfId="621">
      <pivotArea field="0" type="button" dataOnly="0" labelOnly="1" outline="0" axis="axisRow" fieldPosition="0"/>
    </format>
    <format dxfId="620">
      <pivotArea dataOnly="0" labelOnly="1" outline="0" fieldPosition="0">
        <references count="1">
          <reference field="4294967294" count="2">
            <x v="0"/>
            <x v="1"/>
          </reference>
        </references>
      </pivotArea>
    </format>
    <format dxfId="378">
      <pivotArea type="all" dataOnly="0" outline="0" fieldPosition="0"/>
    </format>
    <format dxfId="377">
      <pivotArea outline="0" collapsedLevelsAreSubtotals="1" fieldPosition="0"/>
    </format>
    <format dxfId="376">
      <pivotArea field="0" type="button" dataOnly="0" labelOnly="1" outline="0" axis="axisRow" fieldPosition="0"/>
    </format>
    <format dxfId="375">
      <pivotArea dataOnly="0" labelOnly="1" fieldPosition="0">
        <references count="1">
          <reference field="0" count="0"/>
        </references>
      </pivotArea>
    </format>
    <format dxfId="374">
      <pivotArea dataOnly="0" labelOnly="1" grandRow="1" outline="0" fieldPosition="0"/>
    </format>
    <format dxfId="373">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48F787-0C52-4689-9E6C-6D0E4B9749B3}" name="PivotTable2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16:K25" firstHeaderRow="0" firstDataRow="1" firstDataCol="1"/>
  <pivotFields count="4">
    <pivotField axis="axisRow" showAll="0">
      <items count="9">
        <item x="0"/>
        <item x="5"/>
        <item x="7"/>
        <item x="1"/>
        <item x="6"/>
        <item x="2"/>
        <item x="4"/>
        <item x="3"/>
        <item t="default"/>
      </items>
    </pivotField>
    <pivotField dataField="1" numFmtId="164" showAll="0"/>
    <pivotField dataField="1" numFmtId="164" showAll="0"/>
    <pivotField showAll="0"/>
  </pivotFields>
  <rowFields count="1">
    <field x="0"/>
  </rowFields>
  <rowItems count="9">
    <i>
      <x/>
    </i>
    <i>
      <x v="1"/>
    </i>
    <i>
      <x v="2"/>
    </i>
    <i>
      <x v="3"/>
    </i>
    <i>
      <x v="4"/>
    </i>
    <i>
      <x v="5"/>
    </i>
    <i>
      <x v="6"/>
    </i>
    <i>
      <x v="7"/>
    </i>
    <i t="grand">
      <x/>
    </i>
  </rowItems>
  <colFields count="1">
    <field x="-2"/>
  </colFields>
  <colItems count="2">
    <i>
      <x/>
    </i>
    <i i="1">
      <x v="1"/>
    </i>
  </colItems>
  <dataFields count="2">
    <dataField name="Sum of Budget" fld="1" baseField="0" baseItem="0"/>
    <dataField name="Sum of Actual" fld="2" baseField="0" baseItem="0"/>
  </dataFields>
  <formats count="22">
    <format dxfId="615">
      <pivotArea type="all" dataOnly="0" outline="0" fieldPosition="0"/>
    </format>
    <format dxfId="614">
      <pivotArea outline="0" collapsedLevelsAreSubtotals="1" fieldPosition="0"/>
    </format>
    <format dxfId="613">
      <pivotArea field="0" type="button" dataOnly="0" labelOnly="1" outline="0" axis="axisRow" fieldPosition="0"/>
    </format>
    <format dxfId="612">
      <pivotArea dataOnly="0" labelOnly="1" fieldPosition="0">
        <references count="1">
          <reference field="0" count="0"/>
        </references>
      </pivotArea>
    </format>
    <format dxfId="611">
      <pivotArea dataOnly="0" labelOnly="1" grandRow="1" outline="0" fieldPosition="0"/>
    </format>
    <format dxfId="610">
      <pivotArea dataOnly="0" labelOnly="1" outline="0" fieldPosition="0">
        <references count="1">
          <reference field="4294967294" count="2">
            <x v="0"/>
            <x v="1"/>
          </reference>
        </references>
      </pivotArea>
    </format>
    <format dxfId="609">
      <pivotArea type="all" dataOnly="0" outline="0" fieldPosition="0"/>
    </format>
    <format dxfId="608">
      <pivotArea outline="0" collapsedLevelsAreSubtotals="1" fieldPosition="0"/>
    </format>
    <format dxfId="607">
      <pivotArea field="0" type="button" dataOnly="0" labelOnly="1" outline="0" axis="axisRow" fieldPosition="0"/>
    </format>
    <format dxfId="606">
      <pivotArea dataOnly="0" labelOnly="1" fieldPosition="0">
        <references count="1">
          <reference field="0" count="0"/>
        </references>
      </pivotArea>
    </format>
    <format dxfId="605">
      <pivotArea dataOnly="0" labelOnly="1" grandRow="1" outline="0" fieldPosition="0"/>
    </format>
    <format dxfId="604">
      <pivotArea dataOnly="0" labelOnly="1" outline="0" fieldPosition="0">
        <references count="1">
          <reference field="4294967294" count="2">
            <x v="0"/>
            <x v="1"/>
          </reference>
        </references>
      </pivotArea>
    </format>
    <format dxfId="603">
      <pivotArea field="0" type="button" dataOnly="0" labelOnly="1" outline="0" axis="axisRow" fieldPosition="0"/>
    </format>
    <format dxfId="602">
      <pivotArea dataOnly="0" labelOnly="1" outline="0" fieldPosition="0">
        <references count="1">
          <reference field="4294967294" count="2">
            <x v="0"/>
            <x v="1"/>
          </reference>
        </references>
      </pivotArea>
    </format>
    <format dxfId="601">
      <pivotArea field="0" type="button" dataOnly="0" labelOnly="1" outline="0" axis="axisRow" fieldPosition="0"/>
    </format>
    <format dxfId="600">
      <pivotArea dataOnly="0" labelOnly="1" outline="0" fieldPosition="0">
        <references count="1">
          <reference field="4294967294" count="2">
            <x v="0"/>
            <x v="1"/>
          </reference>
        </references>
      </pivotArea>
    </format>
    <format dxfId="359">
      <pivotArea type="all" dataOnly="0" outline="0" fieldPosition="0"/>
    </format>
    <format dxfId="358">
      <pivotArea outline="0" collapsedLevelsAreSubtotals="1" fieldPosition="0"/>
    </format>
    <format dxfId="357">
      <pivotArea field="0" type="button" dataOnly="0" labelOnly="1" outline="0" axis="axisRow" fieldPosition="0"/>
    </format>
    <format dxfId="356">
      <pivotArea dataOnly="0" labelOnly="1" fieldPosition="0">
        <references count="1">
          <reference field="0" count="0"/>
        </references>
      </pivotArea>
    </format>
    <format dxfId="355">
      <pivotArea dataOnly="0" labelOnly="1" grandRow="1" outline="0" fieldPosition="0"/>
    </format>
    <format dxfId="354">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F4B11A3-73B6-487D-8536-692E28E9852A}" name="PivotTable20"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15:K24" firstHeaderRow="0" firstDataRow="1" firstDataCol="1"/>
  <pivotFields count="4">
    <pivotField axis="axisRow" showAll="0">
      <items count="9">
        <item x="0"/>
        <item x="5"/>
        <item x="7"/>
        <item x="1"/>
        <item x="6"/>
        <item x="2"/>
        <item x="4"/>
        <item x="3"/>
        <item t="default"/>
      </items>
    </pivotField>
    <pivotField dataField="1" numFmtId="164" showAll="0"/>
    <pivotField dataField="1" numFmtId="164" showAll="0"/>
    <pivotField showAll="0"/>
  </pivotFields>
  <rowFields count="1">
    <field x="0"/>
  </rowFields>
  <rowItems count="9">
    <i>
      <x/>
    </i>
    <i>
      <x v="1"/>
    </i>
    <i>
      <x v="2"/>
    </i>
    <i>
      <x v="3"/>
    </i>
    <i>
      <x v="4"/>
    </i>
    <i>
      <x v="5"/>
    </i>
    <i>
      <x v="6"/>
    </i>
    <i>
      <x v="7"/>
    </i>
    <i t="grand">
      <x/>
    </i>
  </rowItems>
  <colFields count="1">
    <field x="-2"/>
  </colFields>
  <colItems count="2">
    <i>
      <x/>
    </i>
    <i i="1">
      <x v="1"/>
    </i>
  </colItems>
  <dataFields count="2">
    <dataField name="Sum of Budget" fld="1" baseField="0" baseItem="0"/>
    <dataField name="Sum of Actual" fld="2" baseField="0" baseItem="0"/>
  </dataFields>
  <formats count="22">
    <format dxfId="595">
      <pivotArea type="all" dataOnly="0" outline="0" fieldPosition="0"/>
    </format>
    <format dxfId="594">
      <pivotArea outline="0" collapsedLevelsAreSubtotals="1" fieldPosition="0"/>
    </format>
    <format dxfId="593">
      <pivotArea field="0" type="button" dataOnly="0" labelOnly="1" outline="0" axis="axisRow" fieldPosition="0"/>
    </format>
    <format dxfId="592">
      <pivotArea dataOnly="0" labelOnly="1" fieldPosition="0">
        <references count="1">
          <reference field="0" count="0"/>
        </references>
      </pivotArea>
    </format>
    <format dxfId="591">
      <pivotArea dataOnly="0" labelOnly="1" grandRow="1" outline="0" fieldPosition="0"/>
    </format>
    <format dxfId="590">
      <pivotArea dataOnly="0" labelOnly="1" outline="0" fieldPosition="0">
        <references count="1">
          <reference field="4294967294" count="2">
            <x v="0"/>
            <x v="1"/>
          </reference>
        </references>
      </pivotArea>
    </format>
    <format dxfId="589">
      <pivotArea type="all" dataOnly="0" outline="0" fieldPosition="0"/>
    </format>
    <format dxfId="588">
      <pivotArea outline="0" collapsedLevelsAreSubtotals="1" fieldPosition="0"/>
    </format>
    <format dxfId="587">
      <pivotArea field="0" type="button" dataOnly="0" labelOnly="1" outline="0" axis="axisRow" fieldPosition="0"/>
    </format>
    <format dxfId="586">
      <pivotArea dataOnly="0" labelOnly="1" fieldPosition="0">
        <references count="1">
          <reference field="0" count="0"/>
        </references>
      </pivotArea>
    </format>
    <format dxfId="585">
      <pivotArea dataOnly="0" labelOnly="1" grandRow="1" outline="0" fieldPosition="0"/>
    </format>
    <format dxfId="584">
      <pivotArea dataOnly="0" labelOnly="1" outline="0" fieldPosition="0">
        <references count="1">
          <reference field="4294967294" count="2">
            <x v="0"/>
            <x v="1"/>
          </reference>
        </references>
      </pivotArea>
    </format>
    <format dxfId="583">
      <pivotArea field="0" type="button" dataOnly="0" labelOnly="1" outline="0" axis="axisRow" fieldPosition="0"/>
    </format>
    <format dxfId="582">
      <pivotArea dataOnly="0" labelOnly="1" outline="0" fieldPosition="0">
        <references count="1">
          <reference field="4294967294" count="2">
            <x v="0"/>
            <x v="1"/>
          </reference>
        </references>
      </pivotArea>
    </format>
    <format dxfId="581">
      <pivotArea field="0" type="button" dataOnly="0" labelOnly="1" outline="0" axis="axisRow" fieldPosition="0"/>
    </format>
    <format dxfId="580">
      <pivotArea dataOnly="0" labelOnly="1" outline="0" fieldPosition="0">
        <references count="1">
          <reference field="4294967294" count="2">
            <x v="0"/>
            <x v="1"/>
          </reference>
        </references>
      </pivotArea>
    </format>
    <format dxfId="340">
      <pivotArea type="all" dataOnly="0" outline="0" fieldPosition="0"/>
    </format>
    <format dxfId="339">
      <pivotArea outline="0" collapsedLevelsAreSubtotals="1" fieldPosition="0"/>
    </format>
    <format dxfId="338">
      <pivotArea field="0" type="button" dataOnly="0" labelOnly="1" outline="0" axis="axisRow" fieldPosition="0"/>
    </format>
    <format dxfId="337">
      <pivotArea dataOnly="0" labelOnly="1" fieldPosition="0">
        <references count="1">
          <reference field="0" count="0"/>
        </references>
      </pivotArea>
    </format>
    <format dxfId="336">
      <pivotArea dataOnly="0" labelOnly="1" grandRow="1" outline="0" fieldPosition="0"/>
    </format>
    <format dxfId="335">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0E4B28-51D9-4115-ABA6-D0FD194B66CE}" name="PivotTable19"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16:K25" firstHeaderRow="0" firstDataRow="1" firstDataCol="1"/>
  <pivotFields count="4">
    <pivotField axis="axisRow" showAll="0">
      <items count="9">
        <item x="0"/>
        <item x="5"/>
        <item x="7"/>
        <item x="1"/>
        <item x="6"/>
        <item x="2"/>
        <item x="4"/>
        <item x="3"/>
        <item t="default"/>
      </items>
    </pivotField>
    <pivotField dataField="1" numFmtId="164" showAll="0"/>
    <pivotField dataField="1" numFmtId="164" showAll="0"/>
    <pivotField showAll="0"/>
  </pivotFields>
  <rowFields count="1">
    <field x="0"/>
  </rowFields>
  <rowItems count="9">
    <i>
      <x/>
    </i>
    <i>
      <x v="1"/>
    </i>
    <i>
      <x v="2"/>
    </i>
    <i>
      <x v="3"/>
    </i>
    <i>
      <x v="4"/>
    </i>
    <i>
      <x v="5"/>
    </i>
    <i>
      <x v="6"/>
    </i>
    <i>
      <x v="7"/>
    </i>
    <i t="grand">
      <x/>
    </i>
  </rowItems>
  <colFields count="1">
    <field x="-2"/>
  </colFields>
  <colItems count="2">
    <i>
      <x/>
    </i>
    <i i="1">
      <x v="1"/>
    </i>
  </colItems>
  <dataFields count="2">
    <dataField name="Sum of Budget" fld="1" baseField="0" baseItem="0"/>
    <dataField name="Sum of Actual" fld="2" baseField="0" baseItem="0"/>
  </dataFields>
  <formats count="22">
    <format dxfId="575">
      <pivotArea type="all" dataOnly="0" outline="0" fieldPosition="0"/>
    </format>
    <format dxfId="574">
      <pivotArea outline="0" collapsedLevelsAreSubtotals="1" fieldPosition="0"/>
    </format>
    <format dxfId="573">
      <pivotArea field="0" type="button" dataOnly="0" labelOnly="1" outline="0" axis="axisRow" fieldPosition="0"/>
    </format>
    <format dxfId="572">
      <pivotArea dataOnly="0" labelOnly="1" fieldPosition="0">
        <references count="1">
          <reference field="0" count="0"/>
        </references>
      </pivotArea>
    </format>
    <format dxfId="571">
      <pivotArea dataOnly="0" labelOnly="1" grandRow="1" outline="0" fieldPosition="0"/>
    </format>
    <format dxfId="570">
      <pivotArea dataOnly="0" labelOnly="1" outline="0" fieldPosition="0">
        <references count="1">
          <reference field="4294967294" count="2">
            <x v="0"/>
            <x v="1"/>
          </reference>
        </references>
      </pivotArea>
    </format>
    <format dxfId="569">
      <pivotArea type="all" dataOnly="0" outline="0" fieldPosition="0"/>
    </format>
    <format dxfId="568">
      <pivotArea outline="0" collapsedLevelsAreSubtotals="1" fieldPosition="0"/>
    </format>
    <format dxfId="567">
      <pivotArea field="0" type="button" dataOnly="0" labelOnly="1" outline="0" axis="axisRow" fieldPosition="0"/>
    </format>
    <format dxfId="566">
      <pivotArea dataOnly="0" labelOnly="1" fieldPosition="0">
        <references count="1">
          <reference field="0" count="0"/>
        </references>
      </pivotArea>
    </format>
    <format dxfId="565">
      <pivotArea dataOnly="0" labelOnly="1" grandRow="1" outline="0" fieldPosition="0"/>
    </format>
    <format dxfId="564">
      <pivotArea dataOnly="0" labelOnly="1" outline="0" fieldPosition="0">
        <references count="1">
          <reference field="4294967294" count="2">
            <x v="0"/>
            <x v="1"/>
          </reference>
        </references>
      </pivotArea>
    </format>
    <format dxfId="563">
      <pivotArea field="0" type="button" dataOnly="0" labelOnly="1" outline="0" axis="axisRow" fieldPosition="0"/>
    </format>
    <format dxfId="562">
      <pivotArea dataOnly="0" labelOnly="1" outline="0" fieldPosition="0">
        <references count="1">
          <reference field="4294967294" count="2">
            <x v="0"/>
            <x v="1"/>
          </reference>
        </references>
      </pivotArea>
    </format>
    <format dxfId="561">
      <pivotArea field="0" type="button" dataOnly="0" labelOnly="1" outline="0" axis="axisRow" fieldPosition="0"/>
    </format>
    <format dxfId="560">
      <pivotArea dataOnly="0" labelOnly="1" outline="0" fieldPosition="0">
        <references count="1">
          <reference field="4294967294" count="2">
            <x v="0"/>
            <x v="1"/>
          </reference>
        </references>
      </pivotArea>
    </format>
    <format dxfId="321">
      <pivotArea type="all" dataOnly="0" outline="0" fieldPosition="0"/>
    </format>
    <format dxfId="320">
      <pivotArea outline="0" collapsedLevelsAreSubtotals="1" fieldPosition="0"/>
    </format>
    <format dxfId="319">
      <pivotArea field="0" type="button" dataOnly="0" labelOnly="1" outline="0" axis="axisRow" fieldPosition="0"/>
    </format>
    <format dxfId="318">
      <pivotArea dataOnly="0" labelOnly="1" fieldPosition="0">
        <references count="1">
          <reference field="0" count="0"/>
        </references>
      </pivotArea>
    </format>
    <format dxfId="317">
      <pivotArea dataOnly="0" labelOnly="1" grandRow="1" outline="0" fieldPosition="0"/>
    </format>
    <format dxfId="316">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E62A3E4-87EE-4FD7-B45D-5C09A06F47DA}" name="PivotTable18"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16:K18" firstHeaderRow="0" firstDataRow="1" firstDataCol="1"/>
  <pivotFields count="4">
    <pivotField axis="axisRow" showAll="0">
      <items count="9">
        <item h="1" x="0"/>
        <item h="1" x="5"/>
        <item x="7"/>
        <item h="1" x="1"/>
        <item h="1" x="6"/>
        <item h="1" x="2"/>
        <item h="1" x="4"/>
        <item h="1" x="3"/>
        <item t="default"/>
      </items>
    </pivotField>
    <pivotField dataField="1" numFmtId="164" showAll="0"/>
    <pivotField dataField="1" numFmtId="164" showAll="0"/>
    <pivotField showAll="0"/>
  </pivotFields>
  <rowFields count="1">
    <field x="0"/>
  </rowFields>
  <rowItems count="2">
    <i>
      <x v="2"/>
    </i>
    <i t="grand">
      <x/>
    </i>
  </rowItems>
  <colFields count="1">
    <field x="-2"/>
  </colFields>
  <colItems count="2">
    <i>
      <x/>
    </i>
    <i i="1">
      <x v="1"/>
    </i>
  </colItems>
  <dataFields count="2">
    <dataField name="Sum of Budget" fld="1" baseField="0" baseItem="0"/>
    <dataField name="Sum of Actual" fld="2" baseField="0" baseItem="0"/>
  </dataFields>
  <formats count="22">
    <format dxfId="555">
      <pivotArea type="all" dataOnly="0" outline="0" fieldPosition="0"/>
    </format>
    <format dxfId="554">
      <pivotArea outline="0" collapsedLevelsAreSubtotals="1" fieldPosition="0"/>
    </format>
    <format dxfId="553">
      <pivotArea field="0" type="button" dataOnly="0" labelOnly="1" outline="0" axis="axisRow" fieldPosition="0"/>
    </format>
    <format dxfId="552">
      <pivotArea dataOnly="0" labelOnly="1" fieldPosition="0">
        <references count="1">
          <reference field="0" count="0"/>
        </references>
      </pivotArea>
    </format>
    <format dxfId="551">
      <pivotArea dataOnly="0" labelOnly="1" grandRow="1" outline="0" fieldPosition="0"/>
    </format>
    <format dxfId="550">
      <pivotArea dataOnly="0" labelOnly="1" outline="0" fieldPosition="0">
        <references count="1">
          <reference field="4294967294" count="2">
            <x v="0"/>
            <x v="1"/>
          </reference>
        </references>
      </pivotArea>
    </format>
    <format dxfId="549">
      <pivotArea type="all" dataOnly="0" outline="0" fieldPosition="0"/>
    </format>
    <format dxfId="548">
      <pivotArea outline="0" collapsedLevelsAreSubtotals="1" fieldPosition="0"/>
    </format>
    <format dxfId="547">
      <pivotArea field="0" type="button" dataOnly="0" labelOnly="1" outline="0" axis="axisRow" fieldPosition="0"/>
    </format>
    <format dxfId="546">
      <pivotArea dataOnly="0" labelOnly="1" fieldPosition="0">
        <references count="1">
          <reference field="0" count="0"/>
        </references>
      </pivotArea>
    </format>
    <format dxfId="545">
      <pivotArea dataOnly="0" labelOnly="1" grandRow="1" outline="0" fieldPosition="0"/>
    </format>
    <format dxfId="544">
      <pivotArea dataOnly="0" labelOnly="1" outline="0" fieldPosition="0">
        <references count="1">
          <reference field="4294967294" count="2">
            <x v="0"/>
            <x v="1"/>
          </reference>
        </references>
      </pivotArea>
    </format>
    <format dxfId="543">
      <pivotArea field="0" type="button" dataOnly="0" labelOnly="1" outline="0" axis="axisRow" fieldPosition="0"/>
    </format>
    <format dxfId="542">
      <pivotArea dataOnly="0" labelOnly="1" outline="0" fieldPosition="0">
        <references count="1">
          <reference field="4294967294" count="2">
            <x v="0"/>
            <x v="1"/>
          </reference>
        </references>
      </pivotArea>
    </format>
    <format dxfId="541">
      <pivotArea field="0" type="button" dataOnly="0" labelOnly="1" outline="0" axis="axisRow" fieldPosition="0"/>
    </format>
    <format dxfId="540">
      <pivotArea dataOnly="0" labelOnly="1" outline="0" fieldPosition="0">
        <references count="1">
          <reference field="4294967294" count="2">
            <x v="0"/>
            <x v="1"/>
          </reference>
        </references>
      </pivotArea>
    </format>
    <format dxfId="302">
      <pivotArea type="all" dataOnly="0" outline="0" fieldPosition="0"/>
    </format>
    <format dxfId="301">
      <pivotArea outline="0" collapsedLevelsAreSubtotals="1" fieldPosition="0"/>
    </format>
    <format dxfId="300">
      <pivotArea field="0" type="button" dataOnly="0" labelOnly="1" outline="0" axis="axisRow" fieldPosition="0"/>
    </format>
    <format dxfId="299">
      <pivotArea dataOnly="0" labelOnly="1" fieldPosition="0">
        <references count="1">
          <reference field="0" count="0"/>
        </references>
      </pivotArea>
    </format>
    <format dxfId="298">
      <pivotArea dataOnly="0" labelOnly="1" grandRow="1" outline="0" fieldPosition="0"/>
    </format>
    <format dxfId="297">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1F84661-A91D-4413-A5C4-80008B3D2E60}" name="PivotTable17"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15:K24" firstHeaderRow="0" firstDataRow="1" firstDataCol="1"/>
  <pivotFields count="4">
    <pivotField axis="axisRow" showAll="0">
      <items count="9">
        <item x="0"/>
        <item x="5"/>
        <item x="7"/>
        <item x="1"/>
        <item x="6"/>
        <item x="2"/>
        <item x="4"/>
        <item x="3"/>
        <item t="default"/>
      </items>
    </pivotField>
    <pivotField dataField="1" numFmtId="164" showAll="0"/>
    <pivotField dataField="1" numFmtId="164" showAll="0"/>
    <pivotField showAll="0"/>
  </pivotFields>
  <rowFields count="1">
    <field x="0"/>
  </rowFields>
  <rowItems count="9">
    <i>
      <x/>
    </i>
    <i>
      <x v="1"/>
    </i>
    <i>
      <x v="2"/>
    </i>
    <i>
      <x v="3"/>
    </i>
    <i>
      <x v="4"/>
    </i>
    <i>
      <x v="5"/>
    </i>
    <i>
      <x v="6"/>
    </i>
    <i>
      <x v="7"/>
    </i>
    <i t="grand">
      <x/>
    </i>
  </rowItems>
  <colFields count="1">
    <field x="-2"/>
  </colFields>
  <colItems count="2">
    <i>
      <x/>
    </i>
    <i i="1">
      <x v="1"/>
    </i>
  </colItems>
  <dataFields count="2">
    <dataField name="Sum of Budget" fld="1" baseField="0" baseItem="0"/>
    <dataField name="Sum of Actual" fld="2" baseField="0" baseItem="0"/>
  </dataFields>
  <formats count="20">
    <format dxfId="535">
      <pivotArea type="all" dataOnly="0" outline="0" fieldPosition="0"/>
    </format>
    <format dxfId="534">
      <pivotArea outline="0" collapsedLevelsAreSubtotals="1" fieldPosition="0"/>
    </format>
    <format dxfId="533">
      <pivotArea field="0" type="button" dataOnly="0" labelOnly="1" outline="0" axis="axisRow" fieldPosition="0"/>
    </format>
    <format dxfId="532">
      <pivotArea dataOnly="0" labelOnly="1" fieldPosition="0">
        <references count="1">
          <reference field="0" count="0"/>
        </references>
      </pivotArea>
    </format>
    <format dxfId="531">
      <pivotArea dataOnly="0" labelOnly="1" grandRow="1" outline="0" fieldPosition="0"/>
    </format>
    <format dxfId="530">
      <pivotArea dataOnly="0" labelOnly="1" outline="0" fieldPosition="0">
        <references count="1">
          <reference field="4294967294" count="2">
            <x v="0"/>
            <x v="1"/>
          </reference>
        </references>
      </pivotArea>
    </format>
    <format dxfId="529">
      <pivotArea type="all" dataOnly="0" outline="0" fieldPosition="0"/>
    </format>
    <format dxfId="528">
      <pivotArea outline="0" collapsedLevelsAreSubtotals="1" fieldPosition="0"/>
    </format>
    <format dxfId="527">
      <pivotArea field="0" type="button" dataOnly="0" labelOnly="1" outline="0" axis="axisRow" fieldPosition="0"/>
    </format>
    <format dxfId="526">
      <pivotArea dataOnly="0" labelOnly="1" fieldPosition="0">
        <references count="1">
          <reference field="0" count="0"/>
        </references>
      </pivotArea>
    </format>
    <format dxfId="525">
      <pivotArea dataOnly="0" labelOnly="1" grandRow="1" outline="0" fieldPosition="0"/>
    </format>
    <format dxfId="524">
      <pivotArea dataOnly="0" labelOnly="1" outline="0" fieldPosition="0">
        <references count="1">
          <reference field="4294967294" count="2">
            <x v="0"/>
            <x v="1"/>
          </reference>
        </references>
      </pivotArea>
    </format>
    <format dxfId="523">
      <pivotArea field="0" type="button" dataOnly="0" labelOnly="1" outline="0" axis="axisRow" fieldPosition="0"/>
    </format>
    <format dxfId="522">
      <pivotArea dataOnly="0" labelOnly="1" outline="0" fieldPosition="0">
        <references count="1">
          <reference field="4294967294" count="2">
            <x v="0"/>
            <x v="1"/>
          </reference>
        </references>
      </pivotArea>
    </format>
    <format dxfId="283">
      <pivotArea type="all" dataOnly="0" outline="0" fieldPosition="0"/>
    </format>
    <format dxfId="282">
      <pivotArea outline="0" collapsedLevelsAreSubtotals="1" fieldPosition="0"/>
    </format>
    <format dxfId="281">
      <pivotArea field="0" type="button" dataOnly="0" labelOnly="1" outline="0" axis="axisRow" fieldPosition="0"/>
    </format>
    <format dxfId="280">
      <pivotArea dataOnly="0" labelOnly="1" fieldPosition="0">
        <references count="1">
          <reference field="0" count="0"/>
        </references>
      </pivotArea>
    </format>
    <format dxfId="279">
      <pivotArea dataOnly="0" labelOnly="1" grandRow="1" outline="0" fieldPosition="0"/>
    </format>
    <format dxfId="278">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97A8528-18A6-49A5-8387-4674DD64F17B}" name="PivotTable16"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I15:K24" firstHeaderRow="0" firstDataRow="1" firstDataCol="1"/>
  <pivotFields count="4">
    <pivotField axis="axisRow" showAll="0">
      <items count="9">
        <item x="0"/>
        <item x="5"/>
        <item x="7"/>
        <item x="1"/>
        <item x="6"/>
        <item x="2"/>
        <item x="4"/>
        <item x="3"/>
        <item t="default"/>
      </items>
    </pivotField>
    <pivotField dataField="1" numFmtId="164" showAll="0"/>
    <pivotField dataField="1" numFmtId="164" showAll="0"/>
    <pivotField showAll="0"/>
  </pivotFields>
  <rowFields count="1">
    <field x="0"/>
  </rowFields>
  <rowItems count="9">
    <i>
      <x/>
    </i>
    <i>
      <x v="1"/>
    </i>
    <i>
      <x v="2"/>
    </i>
    <i>
      <x v="3"/>
    </i>
    <i>
      <x v="4"/>
    </i>
    <i>
      <x v="5"/>
    </i>
    <i>
      <x v="6"/>
    </i>
    <i>
      <x v="7"/>
    </i>
    <i t="grand">
      <x/>
    </i>
  </rowItems>
  <colFields count="1">
    <field x="-2"/>
  </colFields>
  <colItems count="2">
    <i>
      <x/>
    </i>
    <i i="1">
      <x v="1"/>
    </i>
  </colItems>
  <dataFields count="2">
    <dataField name="Sum of Budget" fld="1" baseField="0" baseItem="0"/>
    <dataField name="Sum of Actual" fld="2" baseField="0" baseItem="0"/>
  </dataFields>
  <formats count="20">
    <format dxfId="517">
      <pivotArea type="all" dataOnly="0" outline="0" fieldPosition="0"/>
    </format>
    <format dxfId="516">
      <pivotArea outline="0" collapsedLevelsAreSubtotals="1" fieldPosition="0"/>
    </format>
    <format dxfId="515">
      <pivotArea field="0" type="button" dataOnly="0" labelOnly="1" outline="0" axis="axisRow" fieldPosition="0"/>
    </format>
    <format dxfId="514">
      <pivotArea dataOnly="0" labelOnly="1" fieldPosition="0">
        <references count="1">
          <reference field="0" count="0"/>
        </references>
      </pivotArea>
    </format>
    <format dxfId="513">
      <pivotArea dataOnly="0" labelOnly="1" grandRow="1" outline="0" fieldPosition="0"/>
    </format>
    <format dxfId="512">
      <pivotArea dataOnly="0" labelOnly="1" outline="0" fieldPosition="0">
        <references count="1">
          <reference field="4294967294" count="2">
            <x v="0"/>
            <x v="1"/>
          </reference>
        </references>
      </pivotArea>
    </format>
    <format dxfId="511">
      <pivotArea type="all" dataOnly="0" outline="0" fieldPosition="0"/>
    </format>
    <format dxfId="510">
      <pivotArea outline="0" collapsedLevelsAreSubtotals="1" fieldPosition="0"/>
    </format>
    <format dxfId="509">
      <pivotArea field="0" type="button" dataOnly="0" labelOnly="1" outline="0" axis="axisRow" fieldPosition="0"/>
    </format>
    <format dxfId="508">
      <pivotArea dataOnly="0" labelOnly="1" fieldPosition="0">
        <references count="1">
          <reference field="0" count="0"/>
        </references>
      </pivotArea>
    </format>
    <format dxfId="507">
      <pivotArea dataOnly="0" labelOnly="1" grandRow="1" outline="0" fieldPosition="0"/>
    </format>
    <format dxfId="506">
      <pivotArea dataOnly="0" labelOnly="1" outline="0" fieldPosition="0">
        <references count="1">
          <reference field="4294967294" count="2">
            <x v="0"/>
            <x v="1"/>
          </reference>
        </references>
      </pivotArea>
    </format>
    <format dxfId="505">
      <pivotArea field="0" type="button" dataOnly="0" labelOnly="1" outline="0" axis="axisRow" fieldPosition="0"/>
    </format>
    <format dxfId="504">
      <pivotArea dataOnly="0" labelOnly="1" outline="0" fieldPosition="0">
        <references count="1">
          <reference field="4294967294" count="2">
            <x v="0"/>
            <x v="1"/>
          </reference>
        </references>
      </pivotArea>
    </format>
    <format dxfId="264">
      <pivotArea type="all" dataOnly="0" outline="0" fieldPosition="0"/>
    </format>
    <format dxfId="263">
      <pivotArea outline="0" collapsedLevelsAreSubtotals="1" fieldPosition="0"/>
    </format>
    <format dxfId="262">
      <pivotArea field="0" type="button" dataOnly="0" labelOnly="1" outline="0" axis="axisRow" fieldPosition="0"/>
    </format>
    <format dxfId="261">
      <pivotArea dataOnly="0" labelOnly="1" fieldPosition="0">
        <references count="1">
          <reference field="0" count="0"/>
        </references>
      </pivotArea>
    </format>
    <format dxfId="260">
      <pivotArea dataOnly="0" labelOnly="1" grandRow="1" outline="0" fieldPosition="0"/>
    </format>
    <format dxfId="259">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FED7D97-D2BC-4CF7-A825-AE9A0F537091}" name="PivotTable15"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15:K24" firstHeaderRow="0" firstDataRow="1" firstDataCol="1"/>
  <pivotFields count="4">
    <pivotField axis="axisRow" showAll="0">
      <items count="9">
        <item x="0"/>
        <item x="5"/>
        <item x="7"/>
        <item x="1"/>
        <item x="6"/>
        <item x="2"/>
        <item x="4"/>
        <item x="3"/>
        <item t="default"/>
      </items>
    </pivotField>
    <pivotField dataField="1" numFmtId="164" showAll="0"/>
    <pivotField dataField="1" numFmtId="164" showAll="0"/>
    <pivotField showAll="0"/>
  </pivotFields>
  <rowFields count="1">
    <field x="0"/>
  </rowFields>
  <rowItems count="9">
    <i>
      <x/>
    </i>
    <i>
      <x v="1"/>
    </i>
    <i>
      <x v="2"/>
    </i>
    <i>
      <x v="3"/>
    </i>
    <i>
      <x v="4"/>
    </i>
    <i>
      <x v="5"/>
    </i>
    <i>
      <x v="6"/>
    </i>
    <i>
      <x v="7"/>
    </i>
    <i t="grand">
      <x/>
    </i>
  </rowItems>
  <colFields count="1">
    <field x="-2"/>
  </colFields>
  <colItems count="2">
    <i>
      <x/>
    </i>
    <i i="1">
      <x v="1"/>
    </i>
  </colItems>
  <dataFields count="2">
    <dataField name="Sum of Budget" fld="1" baseField="0" baseItem="0"/>
    <dataField name="Sum of Actual" fld="2" baseField="0" baseItem="0"/>
  </dataFields>
  <formats count="20">
    <format dxfId="499">
      <pivotArea type="all" dataOnly="0" outline="0" fieldPosition="0"/>
    </format>
    <format dxfId="498">
      <pivotArea outline="0" collapsedLevelsAreSubtotals="1" fieldPosition="0"/>
    </format>
    <format dxfId="497">
      <pivotArea field="0" type="button" dataOnly="0" labelOnly="1" outline="0" axis="axisRow" fieldPosition="0"/>
    </format>
    <format dxfId="496">
      <pivotArea dataOnly="0" labelOnly="1" fieldPosition="0">
        <references count="1">
          <reference field="0" count="0"/>
        </references>
      </pivotArea>
    </format>
    <format dxfId="495">
      <pivotArea dataOnly="0" labelOnly="1" grandRow="1" outline="0" fieldPosition="0"/>
    </format>
    <format dxfId="494">
      <pivotArea dataOnly="0" labelOnly="1" outline="0" fieldPosition="0">
        <references count="1">
          <reference field="4294967294" count="2">
            <x v="0"/>
            <x v="1"/>
          </reference>
        </references>
      </pivotArea>
    </format>
    <format dxfId="493">
      <pivotArea type="all" dataOnly="0" outline="0" fieldPosition="0"/>
    </format>
    <format dxfId="492">
      <pivotArea outline="0" collapsedLevelsAreSubtotals="1" fieldPosition="0"/>
    </format>
    <format dxfId="491">
      <pivotArea field="0" type="button" dataOnly="0" labelOnly="1" outline="0" axis="axisRow" fieldPosition="0"/>
    </format>
    <format dxfId="490">
      <pivotArea dataOnly="0" labelOnly="1" fieldPosition="0">
        <references count="1">
          <reference field="0" count="0"/>
        </references>
      </pivotArea>
    </format>
    <format dxfId="489">
      <pivotArea dataOnly="0" labelOnly="1" grandRow="1" outline="0" fieldPosition="0"/>
    </format>
    <format dxfId="488">
      <pivotArea dataOnly="0" labelOnly="1" outline="0" fieldPosition="0">
        <references count="1">
          <reference field="4294967294" count="2">
            <x v="0"/>
            <x v="1"/>
          </reference>
        </references>
      </pivotArea>
    </format>
    <format dxfId="487">
      <pivotArea field="0" type="button" dataOnly="0" labelOnly="1" outline="0" axis="axisRow" fieldPosition="0"/>
    </format>
    <format dxfId="486">
      <pivotArea dataOnly="0" labelOnly="1" outline="0" fieldPosition="0">
        <references count="1">
          <reference field="4294967294" count="2">
            <x v="0"/>
            <x v="1"/>
          </reference>
        </references>
      </pivotArea>
    </format>
    <format dxfId="245">
      <pivotArea type="all" dataOnly="0" outline="0" fieldPosition="0"/>
    </format>
    <format dxfId="244">
      <pivotArea outline="0" collapsedLevelsAreSubtotals="1" fieldPosition="0"/>
    </format>
    <format dxfId="243">
      <pivotArea field="0" type="button" dataOnly="0" labelOnly="1" outline="0" axis="axisRow" fieldPosition="0"/>
    </format>
    <format dxfId="242">
      <pivotArea dataOnly="0" labelOnly="1" fieldPosition="0">
        <references count="1">
          <reference field="0" count="0"/>
        </references>
      </pivotArea>
    </format>
    <format dxfId="241">
      <pivotArea dataOnly="0" labelOnly="1" grandRow="1" outline="0" fieldPosition="0"/>
    </format>
    <format dxfId="240">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A7362F8-72A0-437F-8729-D84540C975B4}" name="PivotTable14"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I15:K24" firstHeaderRow="0" firstDataRow="1" firstDataCol="1"/>
  <pivotFields count="4">
    <pivotField axis="axisRow" showAll="0">
      <items count="9">
        <item x="0"/>
        <item x="5"/>
        <item x="7"/>
        <item x="1"/>
        <item x="6"/>
        <item x="2"/>
        <item x="4"/>
        <item x="3"/>
        <item t="default"/>
      </items>
    </pivotField>
    <pivotField dataField="1" numFmtId="164" showAll="0"/>
    <pivotField dataField="1" numFmtId="164" showAll="0"/>
    <pivotField showAll="0"/>
  </pivotFields>
  <rowFields count="1">
    <field x="0"/>
  </rowFields>
  <rowItems count="9">
    <i>
      <x/>
    </i>
    <i>
      <x v="1"/>
    </i>
    <i>
      <x v="2"/>
    </i>
    <i>
      <x v="3"/>
    </i>
    <i>
      <x v="4"/>
    </i>
    <i>
      <x v="5"/>
    </i>
    <i>
      <x v="6"/>
    </i>
    <i>
      <x v="7"/>
    </i>
    <i t="grand">
      <x/>
    </i>
  </rowItems>
  <colFields count="1">
    <field x="-2"/>
  </colFields>
  <colItems count="2">
    <i>
      <x/>
    </i>
    <i i="1">
      <x v="1"/>
    </i>
  </colItems>
  <dataFields count="2">
    <dataField name="Sum of Budget" fld="1" baseField="0" baseItem="0"/>
    <dataField name="Sum of Actual" fld="2" baseField="0" baseItem="0"/>
  </dataFields>
  <formats count="20">
    <format dxfId="481">
      <pivotArea type="all" dataOnly="0" outline="0" fieldPosition="0"/>
    </format>
    <format dxfId="480">
      <pivotArea outline="0" collapsedLevelsAreSubtotals="1" fieldPosition="0"/>
    </format>
    <format dxfId="479">
      <pivotArea field="0" type="button" dataOnly="0" labelOnly="1" outline="0" axis="axisRow" fieldPosition="0"/>
    </format>
    <format dxfId="478">
      <pivotArea dataOnly="0" labelOnly="1" fieldPosition="0">
        <references count="1">
          <reference field="0" count="0"/>
        </references>
      </pivotArea>
    </format>
    <format dxfId="477">
      <pivotArea dataOnly="0" labelOnly="1" grandRow="1" outline="0" fieldPosition="0"/>
    </format>
    <format dxfId="476">
      <pivotArea dataOnly="0" labelOnly="1" outline="0" fieldPosition="0">
        <references count="1">
          <reference field="4294967294" count="2">
            <x v="0"/>
            <x v="1"/>
          </reference>
        </references>
      </pivotArea>
    </format>
    <format dxfId="475">
      <pivotArea type="all" dataOnly="0" outline="0" fieldPosition="0"/>
    </format>
    <format dxfId="474">
      <pivotArea outline="0" collapsedLevelsAreSubtotals="1" fieldPosition="0"/>
    </format>
    <format dxfId="473">
      <pivotArea field="0" type="button" dataOnly="0" labelOnly="1" outline="0" axis="axisRow" fieldPosition="0"/>
    </format>
    <format dxfId="472">
      <pivotArea dataOnly="0" labelOnly="1" fieldPosition="0">
        <references count="1">
          <reference field="0" count="0"/>
        </references>
      </pivotArea>
    </format>
    <format dxfId="471">
      <pivotArea dataOnly="0" labelOnly="1" grandRow="1" outline="0" fieldPosition="0"/>
    </format>
    <format dxfId="470">
      <pivotArea dataOnly="0" labelOnly="1" outline="0" fieldPosition="0">
        <references count="1">
          <reference field="4294967294" count="2">
            <x v="0"/>
            <x v="1"/>
          </reference>
        </references>
      </pivotArea>
    </format>
    <format dxfId="469">
      <pivotArea field="0" type="button" dataOnly="0" labelOnly="1" outline="0" axis="axisRow" fieldPosition="0"/>
    </format>
    <format dxfId="468">
      <pivotArea dataOnly="0" labelOnly="1" outline="0" fieldPosition="0">
        <references count="1">
          <reference field="4294967294" count="2">
            <x v="0"/>
            <x v="1"/>
          </reference>
        </references>
      </pivotArea>
    </format>
    <format dxfId="226">
      <pivotArea type="all" dataOnly="0" outline="0" fieldPosition="0"/>
    </format>
    <format dxfId="225">
      <pivotArea outline="0" collapsedLevelsAreSubtotals="1" fieldPosition="0"/>
    </format>
    <format dxfId="224">
      <pivotArea field="0" type="button" dataOnly="0" labelOnly="1" outline="0" axis="axisRow" fieldPosition="0"/>
    </format>
    <format dxfId="223">
      <pivotArea dataOnly="0" labelOnly="1" fieldPosition="0">
        <references count="1">
          <reference field="0" count="0"/>
        </references>
      </pivotArea>
    </format>
    <format dxfId="222">
      <pivotArea dataOnly="0" labelOnly="1" grandRow="1" outline="0" fieldPosition="0"/>
    </format>
    <format dxfId="221">
      <pivotArea dataOnly="0" labelOnly="1" outline="0" fieldPosition="0">
        <references count="1">
          <reference field="4294967294" count="2">
            <x v="0"/>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6B195DD-23A0-4CDE-90E8-9E96B1B445BD}" name="PivotTable3"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29:G31" firstHeaderRow="0" firstDataRow="1" firstDataCol="1"/>
  <pivotFields count="4">
    <pivotField axis="axisRow" showAll="0">
      <items count="9">
        <item h="1" x="0"/>
        <item h="1" x="1"/>
        <item h="1" x="2"/>
        <item h="1" x="3"/>
        <item h="1" x="4"/>
        <item x="5"/>
        <item h="1" x="6"/>
        <item h="1" x="7"/>
        <item t="default"/>
      </items>
    </pivotField>
    <pivotField dataField="1" showAll="0"/>
    <pivotField dataField="1" showAll="0"/>
    <pivotField dataField="1" dragToRow="0" dragToCol="0" dragToPage="0" showAll="0" defaultSubtotal="0"/>
  </pivotFields>
  <rowFields count="1">
    <field x="0"/>
  </rowFields>
  <rowItems count="2">
    <i>
      <x v="5"/>
    </i>
    <i t="grand">
      <x/>
    </i>
  </rowItems>
  <colFields count="1">
    <field x="-2"/>
  </colFields>
  <colItems count="4">
    <i>
      <x/>
    </i>
    <i i="1">
      <x v="1"/>
    </i>
    <i i="2">
      <x v="2"/>
    </i>
    <i i="3">
      <x v="3"/>
    </i>
  </colItems>
  <dataFields count="4">
    <dataField name="Sum of Average Actual Spending" fld="1" baseField="0" baseItem="0"/>
    <dataField name="Sum of Average Budget" fld="2" baseField="0" baseItem="0"/>
    <dataField name="Percentage of Budget" fld="2" showDataAs="percentOfTotal" baseField="0" baseItem="0" numFmtId="10"/>
    <dataField name="Sum of Average Difference" fld="3" baseField="0" baseItem="0"/>
  </dataFields>
  <formats count="13">
    <format dxfId="178">
      <pivotArea type="all" dataOnly="0" outline="0" fieldPosition="0"/>
    </format>
    <format dxfId="177">
      <pivotArea outline="0" collapsedLevelsAreSubtotals="1" fieldPosition="0"/>
    </format>
    <format dxfId="176">
      <pivotArea field="0" type="button" dataOnly="0" labelOnly="1" outline="0" axis="axisRow" fieldPosition="0"/>
    </format>
    <format dxfId="175">
      <pivotArea dataOnly="0" labelOnly="1" fieldPosition="0">
        <references count="1">
          <reference field="0" count="0"/>
        </references>
      </pivotArea>
    </format>
    <format dxfId="174">
      <pivotArea dataOnly="0" labelOnly="1" grandRow="1" outline="0" fieldPosition="0"/>
    </format>
    <format dxfId="173">
      <pivotArea dataOnly="0" labelOnly="1" outline="0" fieldPosition="0">
        <references count="1">
          <reference field="4294967294" count="3">
            <x v="0"/>
            <x v="1"/>
            <x v="3"/>
          </reference>
        </references>
      </pivotArea>
    </format>
    <format dxfId="93">
      <pivotArea outline="0" fieldPosition="0">
        <references count="1">
          <reference field="4294967294" count="1">
            <x v="2"/>
          </reference>
        </references>
      </pivotArea>
    </format>
    <format dxfId="83">
      <pivotArea type="all" dataOnly="0" outline="0" fieldPosition="0"/>
    </format>
    <format dxfId="82">
      <pivotArea outline="0" collapsedLevelsAreSubtotals="1" fieldPosition="0"/>
    </format>
    <format dxfId="81">
      <pivotArea field="0" type="button" dataOnly="0" labelOnly="1" outline="0" axis="axisRow" fieldPosition="0"/>
    </format>
    <format dxfId="80">
      <pivotArea dataOnly="0" labelOnly="1" fieldPosition="0">
        <references count="1">
          <reference field="0" count="0"/>
        </references>
      </pivotArea>
    </format>
    <format dxfId="79">
      <pivotArea dataOnly="0" labelOnly="1" grandRow="1" outline="0" fieldPosition="0"/>
    </format>
    <format dxfId="78">
      <pivotArea dataOnly="0" labelOnly="1" outline="0" fieldPosition="0">
        <references count="1">
          <reference field="4294967294" count="4">
            <x v="0"/>
            <x v="1"/>
            <x v="2"/>
            <x v="3"/>
          </reference>
        </references>
      </pivotArea>
    </format>
  </formats>
  <chartFormats count="4">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3"/>
          </reference>
        </references>
      </pivotArea>
    </chartFormat>
    <chartFormat chart="5" format="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127F0EC-65B6-4C2D-BDDC-512623172A99}" name="Annual"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fieldListSortAscending="1">
  <location ref="C5:F14" firstHeaderRow="0" firstDataRow="1" firstDataCol="1"/>
  <pivotFields count="6">
    <pivotField axis="axisRow" showAll="0">
      <items count="9">
        <item x="5"/>
        <item x="2"/>
        <item x="0"/>
        <item x="4"/>
        <item x="6"/>
        <item x="7"/>
        <item x="3"/>
        <item x="1"/>
        <item t="default"/>
      </items>
    </pivotField>
    <pivotField dataField="1" showAll="0"/>
    <pivotField dataField="1" showAll="0"/>
    <pivotField dataField="1" showAll="0"/>
    <pivotField showAll="0"/>
    <pivotField showAll="0"/>
  </pivotFields>
  <rowFields count="1">
    <field x="0"/>
  </rowFields>
  <rowItems count="9">
    <i>
      <x/>
    </i>
    <i>
      <x v="1"/>
    </i>
    <i>
      <x v="2"/>
    </i>
    <i>
      <x v="3"/>
    </i>
    <i>
      <x v="4"/>
    </i>
    <i>
      <x v="5"/>
    </i>
    <i>
      <x v="6"/>
    </i>
    <i>
      <x v="7"/>
    </i>
    <i t="grand">
      <x/>
    </i>
  </rowItems>
  <colFields count="1">
    <field x="-2"/>
  </colFields>
  <colItems count="3">
    <i>
      <x/>
    </i>
    <i i="1">
      <x v="1"/>
    </i>
    <i i="2">
      <x v="2"/>
    </i>
  </colItems>
  <dataFields count="3">
    <dataField name="Sum of Actual Spending" fld="2" baseField="0" baseItem="0"/>
    <dataField name="Sum of Amount Budgeted" fld="1" baseField="0" baseItem="0"/>
    <dataField name="Sum of Difference" fld="3" baseField="0" baseItem="0"/>
  </dataFields>
  <formats count="12">
    <format dxfId="463">
      <pivotArea dataOnly="0" outline="0" fieldPosition="0">
        <references count="1">
          <reference field="4294967294" count="1">
            <x v="1"/>
          </reference>
        </references>
      </pivotArea>
    </format>
    <format dxfId="462">
      <pivotArea dataOnly="0" outline="0" fieldPosition="0">
        <references count="1">
          <reference field="4294967294" count="1">
            <x v="0"/>
          </reference>
        </references>
      </pivotArea>
    </format>
    <format dxfId="461">
      <pivotArea dataOnly="0" outline="0" fieldPosition="0">
        <references count="1">
          <reference field="4294967294" count="1">
            <x v="2"/>
          </reference>
        </references>
      </pivotArea>
    </format>
    <format dxfId="460">
      <pivotArea field="0" type="button" dataOnly="0" labelOnly="1" outline="0" axis="axisRow" fieldPosition="0"/>
    </format>
    <format dxfId="459">
      <pivotArea dataOnly="0" labelOnly="1" outline="0" fieldPosition="0">
        <references count="1">
          <reference field="4294967294" count="3">
            <x v="0"/>
            <x v="1"/>
            <x v="2"/>
          </reference>
        </references>
      </pivotArea>
    </format>
    <format dxfId="458">
      <pivotArea dataOnly="0" grandRow="1" fieldPosition="0"/>
    </format>
    <format dxfId="172">
      <pivotArea type="all" dataOnly="0" outline="0" fieldPosition="0"/>
    </format>
    <format dxfId="171">
      <pivotArea outline="0" collapsedLevelsAreSubtotals="1" fieldPosition="0"/>
    </format>
    <format dxfId="170">
      <pivotArea field="0" type="button" dataOnly="0" labelOnly="1" outline="0" axis="axisRow" fieldPosition="0"/>
    </format>
    <format dxfId="169">
      <pivotArea dataOnly="0" labelOnly="1" fieldPosition="0">
        <references count="1">
          <reference field="0" count="0"/>
        </references>
      </pivotArea>
    </format>
    <format dxfId="168">
      <pivotArea dataOnly="0" labelOnly="1" grandRow="1" outline="0" fieldPosition="0"/>
    </format>
    <format dxfId="167">
      <pivotArea dataOnly="0" labelOnly="1" outline="0" fieldPosition="0">
        <references count="1">
          <reference field="4294967294" count="3">
            <x v="0"/>
            <x v="1"/>
            <x v="2"/>
          </reference>
        </references>
      </pivotArea>
    </format>
  </formats>
  <chartFormats count="3">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739FDB8-1CD5-455E-B072-9CF31C5221EA}"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5:T18" firstHeaderRow="0" firstDataRow="1" firstDataCol="1"/>
  <pivotFields count="9">
    <pivotField axis="axisRow"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dataField="1" numFmtId="164" showAll="0"/>
    <pivotField dataField="1" numFmtId="164" showAll="0"/>
    <pivotField dataField="1" numFmtId="164" showAll="0"/>
    <pivotField dataField="1" numFmtId="164" showAll="0"/>
    <pivotField dataField="1" showAll="0"/>
    <pivotField dataField="1" showAll="0"/>
    <pivotField dataField="1" showAll="0"/>
    <pivotField dataField="1" showAll="0"/>
  </pivotFields>
  <rowFields count="1">
    <field x="0"/>
  </rowFields>
  <rowItems count="13">
    <i>
      <x v="12"/>
    </i>
    <i>
      <x v="13"/>
    </i>
    <i>
      <x v="14"/>
    </i>
    <i>
      <x v="15"/>
    </i>
    <i>
      <x v="16"/>
    </i>
    <i>
      <x v="17"/>
    </i>
    <i>
      <x v="18"/>
    </i>
    <i>
      <x v="19"/>
    </i>
    <i>
      <x v="20"/>
    </i>
    <i>
      <x v="21"/>
    </i>
    <i>
      <x v="22"/>
    </i>
    <i>
      <x v="23"/>
    </i>
    <i t="grand">
      <x/>
    </i>
  </rowItems>
  <colFields count="1">
    <field x="-2"/>
  </colFields>
  <colItems count="8">
    <i>
      <x/>
    </i>
    <i i="1">
      <x v="1"/>
    </i>
    <i i="2">
      <x v="2"/>
    </i>
    <i i="3">
      <x v="3"/>
    </i>
    <i i="4">
      <x v="4"/>
    </i>
    <i i="5">
      <x v="5"/>
    </i>
    <i i="6">
      <x v="6"/>
    </i>
    <i i="7">
      <x v="7"/>
    </i>
  </colItems>
  <dataFields count="8">
    <dataField name="Sum of Housing" fld="1" baseField="0" baseItem="0"/>
    <dataField name="Sum of Utilities" fld="2" baseField="0" baseItem="0"/>
    <dataField name="Sum of Food" fld="3" baseField="0" baseItem="0"/>
    <dataField name="Sum of Transportation" fld="4" baseField="0" baseItem="0"/>
    <dataField name="Sum of Insuance" fld="5" baseField="0" baseItem="0"/>
    <dataField name="Sum of Debt Payment" fld="6" baseField="0" baseItem="0"/>
    <dataField name="Sum of Personal Expenses" fld="7" baseField="0" baseItem="0"/>
    <dataField name="Sum of Savings and Investments" fld="8" baseField="0" baseItem="0"/>
  </dataFields>
  <formats count="15">
    <format dxfId="457">
      <pivotArea dataOnly="0" outline="0" fieldPosition="0">
        <references count="1">
          <reference field="4294967294" count="8">
            <x v="0"/>
            <x v="1"/>
            <x v="2"/>
            <x v="3"/>
            <x v="4"/>
            <x v="5"/>
            <x v="6"/>
            <x v="7"/>
          </reference>
        </references>
      </pivotArea>
    </format>
    <format dxfId="456">
      <pivotArea field="0" type="button" dataOnly="0" labelOnly="1" outline="0" axis="axisRow" fieldPosition="0"/>
    </format>
    <format dxfId="455">
      <pivotArea dataOnly="0" labelOnly="1" outline="0" fieldPosition="0">
        <references count="1">
          <reference field="4294967294" count="8">
            <x v="0"/>
            <x v="1"/>
            <x v="2"/>
            <x v="3"/>
            <x v="4"/>
            <x v="5"/>
            <x v="6"/>
            <x v="7"/>
          </reference>
        </references>
      </pivotArea>
    </format>
    <format dxfId="454">
      <pivotArea type="all" dataOnly="0" outline="0" fieldPosition="0"/>
    </format>
    <format dxfId="453">
      <pivotArea outline="0" collapsedLevelsAreSubtotals="1" fieldPosition="0"/>
    </format>
    <format dxfId="452">
      <pivotArea field="0" type="button" dataOnly="0" labelOnly="1" outline="0" axis="axisRow" fieldPosition="0"/>
    </format>
    <format dxfId="451">
      <pivotArea dataOnly="0" labelOnly="1" fieldPosition="0">
        <references count="1">
          <reference field="0" count="0"/>
        </references>
      </pivotArea>
    </format>
    <format dxfId="450">
      <pivotArea dataOnly="0" labelOnly="1" grandRow="1" outline="0" fieldPosition="0"/>
    </format>
    <format dxfId="449">
      <pivotArea dataOnly="0" labelOnly="1" outline="0" fieldPosition="0">
        <references count="1">
          <reference field="4294967294" count="8">
            <x v="0"/>
            <x v="1"/>
            <x v="2"/>
            <x v="3"/>
            <x v="4"/>
            <x v="5"/>
            <x v="6"/>
            <x v="7"/>
          </reference>
        </references>
      </pivotArea>
    </format>
    <format dxfId="155">
      <pivotArea type="all" dataOnly="0" outline="0" fieldPosition="0"/>
    </format>
    <format dxfId="154">
      <pivotArea outline="0" collapsedLevelsAreSubtotals="1" fieldPosition="0"/>
    </format>
    <format dxfId="153">
      <pivotArea field="0" type="button" dataOnly="0" labelOnly="1" outline="0" axis="axisRow" fieldPosition="0"/>
    </format>
    <format dxfId="152">
      <pivotArea dataOnly="0" labelOnly="1" fieldPosition="0">
        <references count="1">
          <reference field="0" count="0"/>
        </references>
      </pivotArea>
    </format>
    <format dxfId="151">
      <pivotArea dataOnly="0" labelOnly="1" grandRow="1" outline="0" fieldPosition="0"/>
    </format>
    <format dxfId="150">
      <pivotArea dataOnly="0" labelOnly="1" outline="0" fieldPosition="0">
        <references count="1">
          <reference field="4294967294" count="8">
            <x v="0"/>
            <x v="1"/>
            <x v="2"/>
            <x v="3"/>
            <x v="4"/>
            <x v="5"/>
            <x v="6"/>
            <x v="7"/>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8438F90-1BEF-4EAE-A058-0F9601030A62}" sourceName="Category">
  <pivotTables>
    <pivotTable tabId="12" name="PivotTable14"/>
  </pivotTables>
  <data>
    <tabular pivotCacheId="2007316141">
      <items count="8">
        <i x="0" s="1"/>
        <i x="5" s="1"/>
        <i x="7" s="1"/>
        <i x="1" s="1"/>
        <i x="6" s="1"/>
        <i x="2" s="1"/>
        <i x="4"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EB8333F6-CBE9-4786-B95C-675B1D35516A}" sourceName="Category">
  <pivotTables>
    <pivotTable tabId="11" name="PivotTable15"/>
  </pivotTables>
  <data>
    <tabular pivotCacheId="957226962">
      <items count="8">
        <i x="0" s="1"/>
        <i x="5" s="1"/>
        <i x="7" s="1"/>
        <i x="1" s="1"/>
        <i x="6" s="1"/>
        <i x="2"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E4E56536-9E24-4C39-80C0-4D77B5928E95}" sourceName="Category">
  <pivotTables>
    <pivotTable tabId="10" name="PivotTable16"/>
  </pivotTables>
  <data>
    <tabular pivotCacheId="143516508">
      <items count="8">
        <i x="0" s="1"/>
        <i x="5" s="1"/>
        <i x="7" s="1"/>
        <i x="1" s="1"/>
        <i x="6"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3" xr10:uid="{54189497-0265-4805-9736-58F9ED91BC68}" sourceName="Category">
  <pivotTables>
    <pivotTable tabId="9" name="PivotTable17"/>
  </pivotTables>
  <data>
    <tabular pivotCacheId="1029365003">
      <items count="8">
        <i x="0" s="1"/>
        <i x="5" s="1"/>
        <i x="7" s="1"/>
        <i x="1" s="1"/>
        <i x="6" s="1"/>
        <i x="2" s="1"/>
        <i x="4"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4" xr10:uid="{B3FFA778-5ABE-4BFF-AD91-9ABC1321D98D}" sourceName="Category">
  <pivotTables>
    <pivotTable tabId="8" name="PivotTable18"/>
  </pivotTables>
  <data>
    <tabular pivotCacheId="485940014">
      <items count="8">
        <i x="0"/>
        <i x="5"/>
        <i x="7" s="1"/>
        <i x="1"/>
        <i x="6"/>
        <i x="2"/>
        <i x="4"/>
        <i x="3"/>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5" xr10:uid="{9FE12860-BB65-43F9-BBB2-022033904E70}" sourceName="Category">
  <pivotTables>
    <pivotTable tabId="7" name="PivotTable19"/>
  </pivotTables>
  <data>
    <tabular pivotCacheId="531628452">
      <items count="8">
        <i x="0" s="1"/>
        <i x="5" s="1"/>
        <i x="7" s="1"/>
        <i x="1" s="1"/>
        <i x="6" s="1"/>
        <i x="2" s="1"/>
        <i x="4"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6" xr10:uid="{A65021FE-4A90-4CBE-B81D-AFA6D6724C20}" sourceName="Category">
  <pivotTables>
    <pivotTable tabId="6" name="PivotTable20"/>
  </pivotTables>
  <data>
    <tabular pivotCacheId="1538792827">
      <items count="8">
        <i x="0" s="1"/>
        <i x="5" s="1"/>
        <i x="7" s="1"/>
        <i x="1" s="1"/>
        <i x="6" s="1"/>
        <i x="2" s="1"/>
        <i x="4"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7" xr10:uid="{19143D0F-400A-4206-991E-804C3125D735}" sourceName="Category">
  <pivotTables>
    <pivotTable tabId="5" name="PivotTable21"/>
  </pivotTables>
  <data>
    <tabular pivotCacheId="1365340860">
      <items count="8">
        <i x="0" s="1"/>
        <i x="5" s="1"/>
        <i x="7" s="1"/>
        <i x="1" s="1"/>
        <i x="6" s="1"/>
        <i x="2" s="1"/>
        <i x="4" s="1"/>
        <i x="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8" xr10:uid="{FA3C5D9D-C18F-4E7A-95BD-DCACB3782766}" sourceName="Category">
  <pivotTables>
    <pivotTable tabId="4" name="PivotTable22"/>
  </pivotTables>
  <data>
    <tabular pivotCacheId="2129179356">
      <items count="8">
        <i x="0" s="1"/>
        <i x="5" s="1"/>
        <i x="7" s="1"/>
        <i x="1" s="1"/>
        <i x="6" s="1"/>
        <i x="2" s="1"/>
        <i x="4" s="1"/>
        <i x="3"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9" xr10:uid="{217E277D-8700-4BA7-9D2E-478E47163DE3}" sourceName="Category">
  <pivotTables>
    <pivotTable tabId="3" name="PivotTable23"/>
  </pivotTables>
  <data>
    <tabular pivotCacheId="426135568">
      <items count="8">
        <i x="0"/>
        <i x="5"/>
        <i x="7" s="1"/>
        <i x="1"/>
        <i x="6"/>
        <i x="2"/>
        <i x="4"/>
        <i x="3"/>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0" xr10:uid="{694DCBBC-E116-4BBF-865D-E263DDAB7C9F}" sourceName="Category">
  <pivotTables>
    <pivotTable tabId="2" name="PivotTable24"/>
  </pivotTables>
  <data>
    <tabular pivotCacheId="30475895">
      <items count="8">
        <i x="0"/>
        <i x="5"/>
        <i x="7" s="1"/>
        <i x="1"/>
        <i x="6"/>
        <i x="2"/>
        <i x="4"/>
        <i x="3"/>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1" xr10:uid="{04B27040-4ED0-4A08-ACB7-165C514D47BB}" sourceName="Category">
  <pivotTables>
    <pivotTable tabId="1" name="PivotTable25"/>
  </pivotTables>
  <data>
    <tabular pivotCacheId="1956277830">
      <items count="8">
        <i x="0" s="1"/>
        <i x="5" s="1"/>
        <i x="7" s="1"/>
        <i x="1" s="1"/>
        <i x="6" s="1"/>
        <i x="2" s="1"/>
        <i x="4" s="1"/>
        <i x="3"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2" xr10:uid="{E3F0AAFB-1136-474B-8124-5A6480663C96}" sourceName="Category">
  <pivotTables>
    <pivotTable tabId="15" name="Annual"/>
  </pivotTables>
  <data>
    <tabular pivotCacheId="1670438134">
      <items count="8">
        <i x="5" s="1"/>
        <i x="2" s="1"/>
        <i x="0" s="1"/>
        <i x="4" s="1"/>
        <i x="6" s="1"/>
        <i x="7" s="1"/>
        <i x="3" s="1"/>
        <i x="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w_Labels" xr10:uid="{4BBF8907-4804-4542-B431-0BF52EDE5266}" sourceName="Row Labels">
  <pivotTables>
    <pivotTable tabId="15" name="PivotTable3"/>
  </pivotTables>
  <data>
    <tabular pivotCacheId="747596749">
      <items count="8">
        <i x="0"/>
        <i x="1"/>
        <i x="2"/>
        <i x="3"/>
        <i x="4"/>
        <i x="5" s="1"/>
        <i x="6"/>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w Labels" xr10:uid="{B83000BE-7393-43CA-A200-C2000A1B217D}" cache="Slicer_Row_Labels" caption="Row Labels" style="SlicerStyleOther1"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1" xr10:uid="{45071AB3-CE0D-469D-9818-4F72F3A409F4}" cache="Slicer_Category11" caption="Category" rowHeight="22542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0" xr10:uid="{05003C63-C729-4BCD-BFF1-EDE2CB2B5964}" cache="Slicer_Category10" caption="Category" style="SlicerStyleOther1" rowHeight="22542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9" xr10:uid="{788BA930-12EB-4E4D-956A-2F30BF27BF91}" cache="Slicer_Category9" caption="Category" style="SlicerStyleOther1" rowHeight="22542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8" xr10:uid="{FAD583DC-C98A-4330-8509-B4B70EA27223}" cache="Slicer_Category8" caption="Category" style="SlicerStyleOther1" rowHeight="225425"/>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7" xr10:uid="{C9F3BE18-2F75-41A2-B9EB-44C8D5B68A27}" cache="Slicer_Category7" caption="Category" style="SlicerStyleOther1" rowHeight="225425"/>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6" xr10:uid="{2712F19F-01B2-48BB-9C0E-95232730A531}" cache="Slicer_Category6" caption="Category" style="SlicerStyleOther1" rowHeight="225425"/>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5" xr10:uid="{6175BBF0-F7DB-497B-A563-B90D7F863B2B}" cache="Slicer_Category5" caption="Category" style="SlicerStyleOther1" rowHeight="225425"/>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4" xr10:uid="{F5DAFD0A-4547-4951-8ED9-712FE945F02E}" cache="Slicer_Category4" caption="Category" style="SlicerStyleOther1" rowHeight="225425"/>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3" xr10:uid="{F5E501C5-5459-4B03-98A9-3E99EE53263B}" cache="Slicer_Category3" caption="Category" style="SlicerStyleOther1" rowHeight="225425"/>
</slicers>
</file>

<file path=xl/slicers/slicer1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1B7C09E5-F953-4D03-9782-093D35CD1E3B}" cache="Slicer_Category2" caption="Category" style="SlicerStyleOther1" rowHeight="225425"/>
</slicers>
</file>

<file path=xl/slicers/slicer1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4B04FC73-83E4-4EDD-9528-FA0059B7EE13}" cache="Slicer_Category1" caption="Category" style="SlicerStyleOther1" rowHeight="225425"/>
</slicers>
</file>

<file path=xl/slicers/slicer1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D328BD63-E0BC-4414-AB2D-F31DFBB3F18C}" cache="Slicer_Category" caption="Category" style="SlicerStyleOther1" rowHeight="225425"/>
</slicers>
</file>

<file path=xl/slicers/slicer1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2" xr10:uid="{AB981429-E2C0-44BA-B728-32E25D2CDFC6}" cache="Slicer_Category12" caption="Category" style="SlicerStyleOther1"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A2B224-B4D4-4711-B48B-914FDAF43DD1}" name="JanTable" displayName="JanTable" ref="C4:F44" headerRowDxfId="444" dataDxfId="442" totalsRowDxfId="443" headerRowCellStyle="Heading 2">
  <autoFilter ref="C4:F44" xr:uid="{1DA2B224-B4D4-4711-B48B-914FDAF43DD1}">
    <filterColumn colId="0" hiddenButton="1"/>
    <filterColumn colId="1" hiddenButton="1"/>
    <filterColumn colId="2" hiddenButton="1"/>
    <filterColumn colId="3" hiddenButton="1"/>
  </autoFilter>
  <tableColumns count="4">
    <tableColumn id="1" xr3:uid="{9D6DC47E-B883-494E-87BF-53CC1BFAC7D3}" name="Category" totalsRowLabel="Total" dataDxfId="448" totalsRowDxfId="675"/>
    <tableColumn id="3" xr3:uid="{EF53BA0F-74C1-4A13-9F4A-36C66A3B1B22}" name="Amount Budgeted" dataDxfId="447" totalsRowDxfId="674"/>
    <tableColumn id="4" xr3:uid="{7BCAAE5C-55E7-4A10-B8C6-C9EF0281C751}" name="Actual Spending" dataDxfId="446"/>
    <tableColumn id="5" xr3:uid="{9377E3E8-C374-4E61-87C7-7A05D75B5B96}" name="Difference" dataDxfId="445"/>
  </tableColumns>
  <tableStyleInfo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8284C1-8A50-4119-BED3-9013C5F00E07}" name="JanSumm" displayName="JanSumm" ref="I4:L12" totalsRowShown="0" headerRowDxfId="437" dataDxfId="436">
  <sortState xmlns:xlrd2="http://schemas.microsoft.com/office/spreadsheetml/2017/richdata2" ref="I5:L12">
    <sortCondition ref="J4:J12"/>
  </sortState>
  <tableColumns count="4">
    <tableColumn id="1" xr3:uid="{C2ACF283-026A-4504-82B4-A33110927A8F}" name="Category" dataDxfId="441"/>
    <tableColumn id="2" xr3:uid="{AB41535B-F02D-4CF7-87C9-D7E437C36B0F}" name="Budget" dataDxfId="440"/>
    <tableColumn id="3" xr3:uid="{E392009A-A4BC-4D22-B52D-C914DE536F60}" name="Actual" dataDxfId="439"/>
    <tableColumn id="4" xr3:uid="{261E8D53-F8FF-4170-9855-C0335EBFB6A3}" name="Difference" dataDxfId="43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EFAC89-28E4-4A11-93DD-53BDC31F3697}" name="FebTable" displayName="FebTable" ref="C4:F44" headerRowDxfId="425" dataDxfId="423" totalsRowDxfId="424" headerRowBorderDxfId="657" tableBorderDxfId="656" headerRowCellStyle="Heading 2">
  <autoFilter ref="C4:F44" xr:uid="{6EEFAC89-28E4-4A11-93DD-53BDC31F3697}"/>
  <tableColumns count="4">
    <tableColumn id="1" xr3:uid="{BE77D5F3-0642-4AC0-AF90-CE3C5AA95C7B}" name="Category" totalsRowLabel="Total" dataDxfId="429" totalsRowDxfId="655"/>
    <tableColumn id="3" xr3:uid="{6C22128F-D435-41B1-8AF1-B13086FF7D4B}" name="Amount Budgeted" dataDxfId="428" totalsRowDxfId="654"/>
    <tableColumn id="4" xr3:uid="{5DD96932-EDB4-4B78-9E1F-36DD21AD6A0C}" name="Actual Spending" dataDxfId="427"/>
    <tableColumn id="5" xr3:uid="{7A63A28D-97C2-4B00-9F8E-79A869A00345}" name="Difference" dataDxfId="426"/>
  </tableColumns>
  <tableStyleInfo showFirstColumn="0" showLastColumn="0" showRowStripes="0"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A000C2-EBF5-48FF-BB3E-4285078FE95F}" name="JanSumm5" displayName="JanSumm5" ref="I4:L12" totalsRowShown="0" headerRowDxfId="418" dataDxfId="417">
  <sortState xmlns:xlrd2="http://schemas.microsoft.com/office/spreadsheetml/2017/richdata2" ref="I5:L12">
    <sortCondition ref="J4:J12"/>
  </sortState>
  <tableColumns count="4">
    <tableColumn id="1" xr3:uid="{47A01DE5-A571-40E2-BEA9-2808F8AA7AAC}" name="Category" dataDxfId="422"/>
    <tableColumn id="2" xr3:uid="{FE3460AB-6B40-4070-AB7E-04EF9BE78CC8}" name="Budget" dataDxfId="421"/>
    <tableColumn id="3" xr3:uid="{1374511A-E3B2-4A6D-8887-AF5AC147BC23}" name="Actual" dataDxfId="420"/>
    <tableColumn id="4" xr3:uid="{171DD08E-5C20-48E0-8E67-3C82B55C9298}" name="Difference" dataDxfId="41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2795A3F-0426-40AD-BA90-0774391EA72D}" name="MarTable" displayName="MarTable" ref="C4:F44" headerRowDxfId="406" dataDxfId="404" totalsRowDxfId="405" headerRowBorderDxfId="639" tableBorderDxfId="638" headerRowCellStyle="Heading 2">
  <autoFilter ref="C4:F44" xr:uid="{E2795A3F-0426-40AD-BA90-0774391EA72D}"/>
  <tableColumns count="4">
    <tableColumn id="1" xr3:uid="{7C94714E-29FE-4597-8C39-91CC3B6586AD}" name="Category" totalsRowLabel="Total" dataDxfId="410" totalsRowDxfId="637"/>
    <tableColumn id="3" xr3:uid="{CD78744E-E493-41C1-B8C4-24CA98D4EB1C}" name="Amount Budgeted" dataDxfId="409" totalsRowDxfId="636"/>
    <tableColumn id="4" xr3:uid="{60FA3350-61F0-4AD2-BEE8-D2363480C3D3}" name="Actual Spending" dataDxfId="408"/>
    <tableColumn id="5" xr3:uid="{7DD97B7F-1C38-4886-839D-10A19F3FBBA9}" name="Difference" dataDxfId="407"/>
  </tableColumns>
  <tableStyleInfo name="TableStyleLight16" showFirstColumn="0" showLastColumn="0" showRowStripes="0" showColumnStripes="1"/>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ACB587-069A-423B-8E9F-55F7D74E6B5B}" name="MarSumm" displayName="MarSumm" ref="I4:L12" totalsRowShown="0" headerRowDxfId="399" dataDxfId="398">
  <sortState xmlns:xlrd2="http://schemas.microsoft.com/office/spreadsheetml/2017/richdata2" ref="I5:L12">
    <sortCondition ref="J4:J12"/>
  </sortState>
  <tableColumns count="4">
    <tableColumn id="1" xr3:uid="{D47E08D1-F312-4780-9F34-0A1C43631507}" name="Category" dataDxfId="403"/>
    <tableColumn id="2" xr3:uid="{EF03AB48-4741-4322-9B66-D32D58EFE4B4}" name="Budget" dataDxfId="402"/>
    <tableColumn id="3" xr3:uid="{186E776E-D47B-4F22-B1B0-5937645939E1}" name="Actual" dataDxfId="401"/>
    <tableColumn id="4" xr3:uid="{C90A1E3E-6501-45B3-A4DF-C0B03C9F6105}" name="Difference" dataDxfId="40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55982D3-C46E-4354-A789-AECB19D82ECD}" name="AprTable" displayName="AprTable" ref="C4:F44" headerRowDxfId="387" dataDxfId="385" totalsRowDxfId="386" headerRowBorderDxfId="619" tableBorderDxfId="618" headerRowCellStyle="Heading 2">
  <autoFilter ref="C4:F44" xr:uid="{455982D3-C46E-4354-A789-AECB19D82ECD}"/>
  <tableColumns count="4">
    <tableColumn id="1" xr3:uid="{6AE0F2E6-7A1E-4E31-B23D-A58EE460B0CA}" name="Category" totalsRowLabel="Total" dataDxfId="391" totalsRowDxfId="617"/>
    <tableColumn id="3" xr3:uid="{FB4413EE-65BB-415B-8C6E-66E421FA14F2}" name="Amount Budgeted" dataDxfId="390" totalsRowDxfId="616"/>
    <tableColumn id="4" xr3:uid="{FECB819A-0121-4104-8276-38478D6E4388}" name="Actual Spending" dataDxfId="389"/>
    <tableColumn id="5" xr3:uid="{26272F3E-F0C5-4C59-9A16-22ABD354E489}" name="Difference" dataDxfId="388"/>
  </tableColumns>
  <tableStyleInfo showFirstColumn="0" showLastColumn="0" showRowStripes="0" showColumnStripes="1"/>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BF0BB80-FDA9-450B-8B09-EA17EF53B57F}" name="AprSumm" displayName="AprSumm" ref="I4:L12" totalsRowShown="0" headerRowDxfId="380" dataDxfId="379">
  <sortState xmlns:xlrd2="http://schemas.microsoft.com/office/spreadsheetml/2017/richdata2" ref="I5:L12">
    <sortCondition ref="J4:J12"/>
  </sortState>
  <tableColumns count="4">
    <tableColumn id="1" xr3:uid="{D023702D-5434-407C-B9ED-0C2261EA9486}" name="Category" dataDxfId="384"/>
    <tableColumn id="2" xr3:uid="{76D99C1F-7EEE-43ED-AD96-06B85A1A97EA}" name="Budget" dataDxfId="383"/>
    <tableColumn id="3" xr3:uid="{C9E67495-CD75-4BF4-984A-51141CDCB636}" name="Actual" dataDxfId="382"/>
    <tableColumn id="4" xr3:uid="{1CFCC647-E509-4E1D-B71E-38931A8B5AC1}" name="Difference" dataDxfId="38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0E221F-D7BC-4F7A-9F44-8356FBB3EA4E}" name="MayTable" displayName="MayTable" ref="C4:F44" headerRowDxfId="368" dataDxfId="366" totalsRowDxfId="367" headerRowBorderDxfId="599" tableBorderDxfId="598" headerRowCellStyle="Heading 2">
  <autoFilter ref="C4:F44" xr:uid="{A00E221F-D7BC-4F7A-9F44-8356FBB3EA4E}"/>
  <tableColumns count="4">
    <tableColumn id="1" xr3:uid="{245780A6-6C08-40EE-AD3A-331E032F5F8B}" name="Category" totalsRowLabel="Total" dataDxfId="372" totalsRowDxfId="597"/>
    <tableColumn id="3" xr3:uid="{CF89BE4A-0E3C-4403-BA2D-D2078F4BD7B4}" name="Amount Budgeted" dataDxfId="371" totalsRowDxfId="596"/>
    <tableColumn id="4" xr3:uid="{94C29E7E-8967-41AB-B54E-2690A47928EE}" name="Actual Spending" dataDxfId="370"/>
    <tableColumn id="5" xr3:uid="{5714A1FE-ED7D-41B0-A606-D7BBE307E9A6}" name="Difference" dataDxfId="369"/>
  </tableColumns>
  <tableStyleInfo showFirstColumn="0" showLastColumn="0" showRowStripes="0" showColumnStripes="1"/>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0D9B949-BCD8-481D-A582-13498D17AD16}" name="MaySumm" displayName="MaySumm" ref="I4:L12" totalsRowShown="0" headerRowDxfId="361" dataDxfId="360">
  <sortState xmlns:xlrd2="http://schemas.microsoft.com/office/spreadsheetml/2017/richdata2" ref="I5:L12">
    <sortCondition ref="J4:J12"/>
  </sortState>
  <tableColumns count="4">
    <tableColumn id="1" xr3:uid="{80770C8A-4014-45DE-AEF6-738DE9F1DCF3}" name="Category" dataDxfId="365"/>
    <tableColumn id="2" xr3:uid="{B53AE965-788C-4D3D-8670-ACCE34006605}" name="Budget" dataDxfId="364"/>
    <tableColumn id="3" xr3:uid="{7938E283-0130-479D-A8BA-7A2DB48BAF74}" name="Actual" dataDxfId="363"/>
    <tableColumn id="4" xr3:uid="{EAA6E9BC-1B75-4F32-B702-2C3E39D0DDEE}" name="Difference" dataDxfId="36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3A1B5CE-E98F-4CB1-B42A-95EC2EA4C59B}" name="JunTable" displayName="JunTable" ref="C4:F44" headerRowDxfId="349" dataDxfId="347" totalsRowDxfId="348" headerRowBorderDxfId="579" tableBorderDxfId="578" headerRowCellStyle="Heading 2">
  <autoFilter ref="C4:F44" xr:uid="{43A1B5CE-E98F-4CB1-B42A-95EC2EA4C59B}"/>
  <tableColumns count="4">
    <tableColumn id="1" xr3:uid="{D247B415-BCB4-4148-87D8-4FF0AE12395D}" name="Category" totalsRowLabel="Total" dataDxfId="353" totalsRowDxfId="577"/>
    <tableColumn id="3" xr3:uid="{A56AC757-6E13-45B9-AE2C-2AA7FBFB05EF}" name="Amount Budgeted" dataDxfId="352" totalsRowDxfId="576"/>
    <tableColumn id="4" xr3:uid="{19AF2BA5-463A-4D37-9541-39743FF54FB0}" name="Actual Spending" dataDxfId="351"/>
    <tableColumn id="5" xr3:uid="{71D69E7B-10C7-48C9-A134-4C4A7CBBEECE}" name="Difference" dataDxfId="350"/>
  </tableColumns>
  <tableStyleInfo showFirstColumn="0" showLastColumn="0" showRowStripes="0" showColumnStripes="1"/>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DA7463E-C33B-4D94-931F-FEBD44C15591}" name="JunSumm" displayName="JunSumm" ref="I4:L12" totalsRowShown="0" headerRowDxfId="342" dataDxfId="341">
  <sortState xmlns:xlrd2="http://schemas.microsoft.com/office/spreadsheetml/2017/richdata2" ref="I5:L12">
    <sortCondition ref="J4:J12"/>
  </sortState>
  <tableColumns count="4">
    <tableColumn id="1" xr3:uid="{FA3B8DF9-2DF6-4F8E-AB1F-31117C07A5A8}" name="Category" dataDxfId="346"/>
    <tableColumn id="2" xr3:uid="{E18F3EAD-2CB9-423D-B294-B4FFE70A89BB}" name="Budget" dataDxfId="345"/>
    <tableColumn id="3" xr3:uid="{6D63C89A-E5B2-4DBF-8755-61712374441D}" name="Actual" dataDxfId="344"/>
    <tableColumn id="4" xr3:uid="{291A7787-501C-4EEA-B072-7797B5DD63E9}" name="Difference" dataDxfId="343"/>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AC8E10F-6E52-4272-A969-B1B51D0991C7}" name="JulTable" displayName="JulTable" ref="C4:F44" headerRowDxfId="330" dataDxfId="328" totalsRowDxfId="329" headerRowBorderDxfId="559" tableBorderDxfId="558" headerRowCellStyle="Heading 2">
  <autoFilter ref="C4:F44" xr:uid="{EAC8E10F-6E52-4272-A969-B1B51D0991C7}"/>
  <tableColumns count="4">
    <tableColumn id="1" xr3:uid="{B100EE86-35F9-4F6E-9DD6-3F9E6633DE4C}" name="Category" totalsRowLabel="Total" dataDxfId="334" totalsRowDxfId="557"/>
    <tableColumn id="3" xr3:uid="{9CCCF033-799D-4B21-B238-E14C99D0FBD3}" name="Amount Budgeted" dataDxfId="333" totalsRowDxfId="556"/>
    <tableColumn id="4" xr3:uid="{72BF33F6-6A57-454C-8A52-CF200C1B1527}" name="Actual Spending" dataDxfId="332"/>
    <tableColumn id="5" xr3:uid="{FE9E570F-49DA-489B-BE47-5DD5B11FA91D}" name="Difference" dataDxfId="331"/>
  </tableColumns>
  <tableStyleInfo showFirstColumn="0" showLastColumn="0" showRowStripes="0" showColumnStripes="1"/>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6760636-1A31-43A2-9DB7-CF0358856F6F}" name="JulSumm" displayName="JulSumm" ref="I4:L12" totalsRowShown="0" headerRowDxfId="323" dataDxfId="322">
  <sortState xmlns:xlrd2="http://schemas.microsoft.com/office/spreadsheetml/2017/richdata2" ref="I5:L12">
    <sortCondition ref="J4:J12"/>
  </sortState>
  <tableColumns count="4">
    <tableColumn id="1" xr3:uid="{7BB7E65F-5B30-460A-9869-5743ADF9F22F}" name="Category" dataDxfId="327"/>
    <tableColumn id="2" xr3:uid="{96B170CB-C5D4-42D9-A855-634462BFDF00}" name="Budget" dataDxfId="326"/>
    <tableColumn id="3" xr3:uid="{6DE4B87F-6403-49AF-8725-DAA26CFEC27E}" name="Actual" dataDxfId="325"/>
    <tableColumn id="4" xr3:uid="{9FFF683E-A66E-41A8-BEE7-4DC64B9B15D8}" name="Difference" dataDxfId="32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E023E87-961B-46AD-B34F-A5B0C9E28B2A}" name="AugTable" displayName="AugTable" ref="C4:F44" headerRowDxfId="311" dataDxfId="309" totalsRowDxfId="310" headerRowBorderDxfId="539" tableBorderDxfId="538" headerRowCellStyle="Heading 2">
  <autoFilter ref="C4:F44" xr:uid="{0E023E87-961B-46AD-B34F-A5B0C9E28B2A}"/>
  <tableColumns count="4">
    <tableColumn id="1" xr3:uid="{734F35F7-3921-4C95-8FAE-82AC2516CD00}" name="Category" totalsRowLabel="Total" dataDxfId="315" totalsRowDxfId="537"/>
    <tableColumn id="3" xr3:uid="{83352C94-B207-4027-BF17-4F3A7B689A1B}" name="Amount Budgeted" dataDxfId="314" totalsRowDxfId="536"/>
    <tableColumn id="4" xr3:uid="{601F8517-DD10-4EF3-817D-0A7B6BA878BA}" name="Actual Spending" dataDxfId="313"/>
    <tableColumn id="5" xr3:uid="{F03C0672-8170-45EC-8FBD-658F16BCA2C3}" name="Difference" dataDxfId="312"/>
  </tableColumns>
  <tableStyleInfo showFirstColumn="0" showLastColumn="0" showRowStripes="0" showColumnStripes="1"/>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74D0DE-4259-4151-BA0C-9583BB01FD56}" name="AugSumm" displayName="AugSumm" ref="I4:L12" totalsRowShown="0" headerRowDxfId="304" dataDxfId="303">
  <sortState xmlns:xlrd2="http://schemas.microsoft.com/office/spreadsheetml/2017/richdata2" ref="I5:L12">
    <sortCondition ref="J4:J12"/>
  </sortState>
  <tableColumns count="4">
    <tableColumn id="1" xr3:uid="{EDC36531-787F-4B1F-9D93-32EEFFDD1212}" name="Category" dataDxfId="308"/>
    <tableColumn id="2" xr3:uid="{2DB392DA-6DF5-4B21-950E-38703A66A2E3}" name="Budget" dataDxfId="307"/>
    <tableColumn id="3" xr3:uid="{A704F726-6CD4-4900-8D59-C9ECC49EC023}" name="Actual" dataDxfId="306"/>
    <tableColumn id="4" xr3:uid="{98B6100F-D1EC-49D0-8CC5-37F061C2BE8B}" name="Difference" dataDxfId="30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95967B1-B646-4272-B029-87B7DECF51AB}" name="SepTable" displayName="SepTable" ref="C4:F44" headerRowDxfId="292" dataDxfId="290" totalsRowDxfId="291" headerRowBorderDxfId="521" tableBorderDxfId="520" headerRowCellStyle="Heading 2">
  <autoFilter ref="C4:F44" xr:uid="{E95967B1-B646-4272-B029-87B7DECF51AB}"/>
  <tableColumns count="4">
    <tableColumn id="1" xr3:uid="{45804380-A5AE-47C9-B6D5-06B9C8124C55}" name="Category" totalsRowLabel="Total" dataDxfId="296" totalsRowDxfId="519"/>
    <tableColumn id="3" xr3:uid="{41244DE1-2E9B-4114-B287-AA221C7F0625}" name="Amount Budgeted" dataDxfId="295" totalsRowDxfId="518"/>
    <tableColumn id="4" xr3:uid="{1D05D95B-9642-416A-92FA-9F7AC0ED02FF}" name="Actual Spending" dataDxfId="294"/>
    <tableColumn id="5" xr3:uid="{3566D0C7-7BB1-4125-86C4-4588FC137B42}" name="Difference" dataDxfId="293"/>
  </tableColumns>
  <tableStyleInfo showFirstColumn="0" showLastColumn="0" showRowStripes="0" showColumnStripes="1"/>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A862E67-09D1-4913-A131-E31D94279C9E}" name="SepSumm" displayName="SepSumm" ref="I4:L12" totalsRowShown="0" headerRowDxfId="285" dataDxfId="284">
  <sortState xmlns:xlrd2="http://schemas.microsoft.com/office/spreadsheetml/2017/richdata2" ref="I5:L12">
    <sortCondition ref="J4:J12"/>
  </sortState>
  <tableColumns count="4">
    <tableColumn id="1" xr3:uid="{089E875D-A8B4-4542-A360-2B539EDDA491}" name="Category" dataDxfId="289"/>
    <tableColumn id="2" xr3:uid="{40D34A3B-5923-4709-8CE5-3101BF50B4CD}" name="Budget" dataDxfId="288"/>
    <tableColumn id="3" xr3:uid="{6721B331-FCCE-4D28-8367-9F99D613594D}" name="Actual" dataDxfId="287"/>
    <tableColumn id="4" xr3:uid="{988495EE-C859-4EDF-8F2E-807D9B244D0A}" name="Difference" dataDxfId="286"/>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B975611-B21D-4B13-8F56-2D07053CA074}" name="OctTable" displayName="OctTable" ref="C4:F44" headerRowDxfId="273" dataDxfId="271" totalsRowDxfId="272" headerRowBorderDxfId="503" tableBorderDxfId="502" headerRowCellStyle="Heading 2">
  <autoFilter ref="C4:F44" xr:uid="{3B975611-B21D-4B13-8F56-2D07053CA074}"/>
  <tableColumns count="4">
    <tableColumn id="1" xr3:uid="{692F8317-10D8-4ADA-A417-72480295C05F}" name="Category" totalsRowLabel="Total" dataDxfId="277" totalsRowDxfId="501"/>
    <tableColumn id="3" xr3:uid="{C10F155D-4478-4F59-9215-3C540AF8DF5D}" name="Amount Budgeted" dataDxfId="276" totalsRowDxfId="500"/>
    <tableColumn id="4" xr3:uid="{49FCC6A6-89B5-4294-8247-D3FEF17A6FD5}" name="Actual Spending" dataDxfId="275"/>
    <tableColumn id="5" xr3:uid="{B728A5BB-49F4-4182-8E7A-B4C79BB0E1BB}" name="Difference" dataDxfId="274"/>
  </tableColumns>
  <tableStyleInfo showFirstColumn="0" showLastColumn="0" showRowStripes="0" showColumnStripes="1"/>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86E4538-5F10-49FB-B6BA-1FFBA8DACBED}" name="OctSumm" displayName="OctSumm" ref="I4:L12" totalsRowShown="0" headerRowDxfId="266" dataDxfId="265">
  <sortState xmlns:xlrd2="http://schemas.microsoft.com/office/spreadsheetml/2017/richdata2" ref="I5:L12">
    <sortCondition ref="J4:J12"/>
  </sortState>
  <tableColumns count="4">
    <tableColumn id="1" xr3:uid="{D7054DA5-6EDF-4D16-927F-B4AEF2CBC9AB}" name="Category" dataDxfId="270"/>
    <tableColumn id="2" xr3:uid="{22C93BE8-9B98-4A16-B7D5-D964769FAA88}" name="Budget" dataDxfId="269"/>
    <tableColumn id="3" xr3:uid="{2531EEF4-7459-43F1-A24A-98D1A67158A6}" name="Actual" dataDxfId="268"/>
    <tableColumn id="4" xr3:uid="{91BE7DB0-3FA5-4582-9089-C30189D4B44B}" name="Difference" dataDxfId="267"/>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7F98617-DBC3-4662-87E6-26DFEF9BF673}" name="NovTable" displayName="NovTable" ref="C4:F44" headerRowDxfId="254" dataDxfId="252" totalsRowDxfId="253" headerRowBorderDxfId="485" tableBorderDxfId="484" headerRowCellStyle="Heading 2">
  <autoFilter ref="C4:F44" xr:uid="{67F98617-DBC3-4662-87E6-26DFEF9BF673}"/>
  <tableColumns count="4">
    <tableColumn id="1" xr3:uid="{102CCC3D-B18E-417E-A6D1-539D813A21BA}" name="Category" totalsRowLabel="Total" dataDxfId="258" totalsRowDxfId="483"/>
    <tableColumn id="3" xr3:uid="{C92984F9-869F-495C-9F82-0FB0767FEEE8}" name="Amount Budgeted" dataDxfId="257" totalsRowDxfId="482"/>
    <tableColumn id="4" xr3:uid="{0F3E6433-48CB-41BF-A987-837DFECC0941}" name="Actual Spending" dataDxfId="256"/>
    <tableColumn id="5" xr3:uid="{5530CB7F-C397-428E-A21B-A3BE61DF40E5}" name="Difference" dataDxfId="255"/>
  </tableColumns>
  <tableStyleInfo showFirstColumn="0" showLastColumn="0" showRowStripes="0" showColumnStripes="1"/>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14DF2716-2335-416B-ACD3-B8342EF5C79F}" name="NovSumm" displayName="NovSumm" ref="I4:L12" totalsRowShown="0" headerRowDxfId="247" dataDxfId="246">
  <sortState xmlns:xlrd2="http://schemas.microsoft.com/office/spreadsheetml/2017/richdata2" ref="I5:L12">
    <sortCondition ref="J4:J12"/>
  </sortState>
  <tableColumns count="4">
    <tableColumn id="1" xr3:uid="{93E34EBE-46DB-4FBC-B9E0-82BC7BBA332C}" name="Category" dataDxfId="251"/>
    <tableColumn id="2" xr3:uid="{2873B0AE-660D-454A-8CC4-375B1A51D846}" name="Budget" dataDxfId="250"/>
    <tableColumn id="3" xr3:uid="{25812889-C700-4D42-BD1B-3BE008F1EB1D}" name="Actual" dataDxfId="249"/>
    <tableColumn id="4" xr3:uid="{EDF62D0E-E6ED-433B-82C9-533F8687B2C0}" name="Difference" dataDxfId="248"/>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2F8279-084D-4DD6-8B0D-7F7F2F737288}" name="Dectable" displayName="Dectable" ref="C4:F45" headerRowDxfId="235" dataDxfId="233" totalsRowDxfId="234" headerRowBorderDxfId="467" tableBorderDxfId="466" headerRowCellStyle="Heading 2">
  <tableColumns count="4">
    <tableColumn id="1" xr3:uid="{13791B9A-8672-4AEB-8C77-F6B5AA3537CB}" name="Category" totalsRowLabel="Total" dataDxfId="239" totalsRowDxfId="465"/>
    <tableColumn id="3" xr3:uid="{1D1614F5-99B1-4ED0-A5B2-25D1F5CC94B1}" name="Amount Budgeted" dataDxfId="238" totalsRowDxfId="464"/>
    <tableColumn id="4" xr3:uid="{AF95C318-E4F7-420C-9C51-95368D1E6F78}" name="Actual Spending" dataDxfId="237"/>
    <tableColumn id="5" xr3:uid="{A2D74EFE-8960-4DC7-930B-A93B60604340}" name="Difference" dataDxfId="236"/>
  </tableColumns>
  <tableStyleInfo showFirstColumn="0" showLastColumn="0" showRowStripes="0" showColumnStripes="1"/>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4897A4-2036-486F-BC6E-35D33A9E0179}" name="Decsumm" displayName="Decsumm" ref="I4:L12" totalsRowShown="0" headerRowDxfId="228" dataDxfId="227">
  <autoFilter ref="I4:L12" xr:uid="{124897A4-2036-486F-BC6E-35D33A9E0179}"/>
  <sortState xmlns:xlrd2="http://schemas.microsoft.com/office/spreadsheetml/2017/richdata2" ref="I5:L12">
    <sortCondition ref="J4:J12"/>
  </sortState>
  <tableColumns count="4">
    <tableColumn id="1" xr3:uid="{FD061D64-B518-4EEF-B907-1BBF39EB914E}" name="Category" dataDxfId="232"/>
    <tableColumn id="2" xr3:uid="{85832E43-DFE6-48EF-A7ED-F08B1CF38E98}" name="Budget" dataDxfId="231"/>
    <tableColumn id="3" xr3:uid="{F416B1CC-4B0B-4658-9F32-4F6348DB68D5}" name="Actual" dataDxfId="230"/>
    <tableColumn id="4" xr3:uid="{3EB94638-EE82-4283-BBC6-A6BAC71047A7}" name="Difference" dataDxfId="229"/>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F2BFB123-BD90-4DF4-B3B7-D287B9698043}" name="Vary" displayName="Vary" ref="B4:M12" totalsRowShown="0" headerRowDxfId="208" dataDxfId="207">
  <tableColumns count="12">
    <tableColumn id="1" xr3:uid="{C542B84C-74E9-4180-B7B6-EF46F0F60734}" name="Category" dataDxfId="220"/>
    <tableColumn id="2" xr3:uid="{CB954107-E79B-4B5E-ADD3-F6083CC28B6C}" name="Jan" dataDxfId="219"/>
    <tableColumn id="3" xr3:uid="{DE43296E-A748-496A-9326-69C031A9E4C0}" name="Feb" dataDxfId="218"/>
    <tableColumn id="4" xr3:uid="{9A837CA2-49B9-4D22-A118-B5BE9CD45153}" name="Mar" dataDxfId="217"/>
    <tableColumn id="5" xr3:uid="{F84A3B14-47AF-4784-B208-7635C2B30791}" name="Apr" dataDxfId="216"/>
    <tableColumn id="6" xr3:uid="{5A33D486-D59B-48CD-B6D4-18E6C0BDA7F2}" name="Jun" dataDxfId="215"/>
    <tableColumn id="7" xr3:uid="{9B1A8D79-7426-4D31-94F0-735DBAC2C925}" name="Jul" dataDxfId="214"/>
    <tableColumn id="8" xr3:uid="{4B15220D-3931-42C9-A764-201D65C8338A}" name="Aug" dataDxfId="213"/>
    <tableColumn id="9" xr3:uid="{21583BBA-CE09-4D7A-8FAA-799AF18AD474}" name="Sep" dataDxfId="212"/>
    <tableColumn id="10" xr3:uid="{33B9D478-6544-430B-8B36-77310E6409A7}" name="Oct" dataDxfId="211"/>
    <tableColumn id="11" xr3:uid="{89EA6D3C-79F7-4328-9BBD-BFC76DB78099}" name="Nov" dataDxfId="210"/>
    <tableColumn id="12" xr3:uid="{4EAF0002-7936-4091-A4DC-987C420851AE}" name="Dec" dataDxfId="209"/>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872DE9-492E-446F-A941-D0A6AA1DD6E1}" name="AbovAve" displayName="AbovAve" ref="B16:M24" totalsRowShown="0" headerRowDxfId="194" dataDxfId="193">
  <tableColumns count="12">
    <tableColumn id="1" xr3:uid="{C5790846-7C8A-457F-BFAC-C91D87E65656}" name="Category" dataDxfId="206"/>
    <tableColumn id="2" xr3:uid="{FDC372A1-2B06-46FD-A29D-8AF99DC2D184}" name="Jan" dataDxfId="205"/>
    <tableColumn id="3" xr3:uid="{96954FAB-8D96-47D4-899C-C1A9B828A256}" name="Feb" dataDxfId="204"/>
    <tableColumn id="4" xr3:uid="{AF57C8A7-8145-4208-9233-78AB1C6A732F}" name="Mar" dataDxfId="203"/>
    <tableColumn id="5" xr3:uid="{95E6A084-2F28-406F-9462-7DF8F8E0501C}" name="Apr" dataDxfId="202"/>
    <tableColumn id="6" xr3:uid="{EB619732-164A-47FD-ADE8-E0ECA3D7660C}" name="Jun" dataDxfId="201"/>
    <tableColumn id="7" xr3:uid="{CCE5A4FA-F8A8-4B99-927D-3BE43E132064}" name="Jul" dataDxfId="200"/>
    <tableColumn id="8" xr3:uid="{DA568C18-007B-4FF4-B8CD-5D7AA8CF2749}" name="Aug" dataDxfId="199"/>
    <tableColumn id="9" xr3:uid="{E070514D-F6F6-40C8-A882-424BF5F475A2}" name="Sep" dataDxfId="198"/>
    <tableColumn id="10" xr3:uid="{2E69F958-FE82-4E23-9541-CE534AAD14EB}" name="Oct" dataDxfId="197"/>
    <tableColumn id="11" xr3:uid="{BA19BAC0-D96A-4070-B90E-52E2AB4E4AAE}" name="Nov" dataDxfId="196"/>
    <tableColumn id="12" xr3:uid="{6FD7DB0A-C19D-4A53-ACA9-50077C18968B}" name="Dec" dataDxfId="195"/>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ED6D93C9-6442-4A51-91F0-84F3D03645BA}" name="BelowAve" displayName="BelowAve" ref="B28:M36" totalsRowShown="0" headerRowDxfId="180" dataDxfId="179">
  <tableColumns count="12">
    <tableColumn id="1" xr3:uid="{BD15A183-9A39-487E-B654-7846A7FA3601}" name="Category" dataDxfId="192"/>
    <tableColumn id="2" xr3:uid="{5FFCC1BF-A7A4-420B-BB8A-4DBDFBAD10BF}" name="Jan" dataDxfId="191"/>
    <tableColumn id="3" xr3:uid="{417D46AE-BC15-489B-9FC1-CC4D08B5A2DE}" name="Feb" dataDxfId="190"/>
    <tableColumn id="4" xr3:uid="{495F23E2-ED38-427F-8B57-560DA4CAA715}" name="Mar" dataDxfId="189"/>
    <tableColumn id="5" xr3:uid="{C2CEBF92-8E4D-4195-9E2A-16D86F817B45}" name="Apr" dataDxfId="188"/>
    <tableColumn id="6" xr3:uid="{E9DCAF2F-72D9-4221-B2F4-F26E15F0EEE8}" name="Jun" dataDxfId="187"/>
    <tableColumn id="7" xr3:uid="{D79A64A6-8A09-42D1-9938-AC4A12310871}" name="Jul" dataDxfId="186"/>
    <tableColumn id="8" xr3:uid="{56E46E18-2050-4B97-92CA-A4E499A2280C}" name="Aug" dataDxfId="185"/>
    <tableColumn id="9" xr3:uid="{72670388-9212-4DB0-8826-540200213E6F}" name="Sep" dataDxfId="184"/>
    <tableColumn id="10" xr3:uid="{CDA3D5A9-BC30-4AD5-9B79-A9794E39859F}" name="Oct" dataDxfId="183"/>
    <tableColumn id="11" xr3:uid="{33224F3F-E221-4C04-851C-417F72DC250B}" name="Nov" dataDxfId="182"/>
    <tableColumn id="12" xr3:uid="{A6062DA6-0626-491E-8297-C44BE1377E25}" name="Dec" dataDxfId="181"/>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B34DD76-37CA-411E-A973-25951B307E73}" name="Table43" displayName="Table43" ref="C18:F27" totalsRowShown="0" headerRowDxfId="90" dataDxfId="89" tableBorderDxfId="88">
  <autoFilter ref="C18:F27" xr:uid="{0B34DD76-37CA-411E-A973-25951B307E73}"/>
  <tableColumns count="4">
    <tableColumn id="1" xr3:uid="{03803832-6689-4064-9E15-6A7DA43E4944}" name="Row Labels" dataDxfId="87"/>
    <tableColumn id="2" xr3:uid="{F49A6F44-81B9-4B0D-9A1B-C881F5CFBD7B}" name="Average Actual Spending" dataDxfId="86"/>
    <tableColumn id="3" xr3:uid="{2F8C5ADC-BD62-4772-9E3F-AF3694BB3EDD}" name="Average Budget" dataDxfId="85"/>
    <tableColumn id="4" xr3:uid="{BB2D6C05-60AD-4F6C-AA8F-B9C860034B5D}" name="Percentage of Budget" dataDxfId="84"/>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6D399C0-FBDB-4DF6-BA5D-BD30041100A7}" name="Table7" displayName="Table7" ref="B5:J17" totalsRowShown="0" headerRowDxfId="157" dataDxfId="156">
  <autoFilter ref="B5:J17" xr:uid="{D6D399C0-FBDB-4DF6-BA5D-BD30041100A7}"/>
  <tableColumns count="9">
    <tableColumn id="1" xr3:uid="{14A6CE09-6E74-450B-B715-41A659C98441}" name="Month" dataDxfId="166"/>
    <tableColumn id="2" xr3:uid="{0BE38978-3955-4A4D-8280-3895FD873254}" name="Housing" dataDxfId="165"/>
    <tableColumn id="3" xr3:uid="{FBBA9033-0885-4647-80DE-3DBE51A1E94D}" name="Utilities" dataDxfId="164"/>
    <tableColumn id="4" xr3:uid="{3D876584-DA8D-4E96-8C6F-AE6002640211}" name="Food" dataDxfId="163"/>
    <tableColumn id="5" xr3:uid="{48813A95-4AB9-4962-A5C0-EFFACA3C33EB}" name="Transportation" dataDxfId="162"/>
    <tableColumn id="6" xr3:uid="{60A0796C-8F13-4D2B-A55F-B0518433D987}" name="Insuance" dataDxfId="161"/>
    <tableColumn id="7" xr3:uid="{2E7B5C3B-D916-434D-960A-7DD2E3A060C7}" name="Debt Payment" dataDxfId="160"/>
    <tableColumn id="8" xr3:uid="{04A4D107-C599-4914-A2A6-9289B561C38A}" name="Personal Expenses" dataDxfId="159"/>
    <tableColumn id="9" xr3:uid="{90269252-0515-4C90-BFF1-8A9529545A1D}" name="Savings and Investments" dataDxfId="158"/>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FE957AA7-2D80-4CBE-8F66-C9DCBD2ACF1B}" name="Table32" displayName="Table32" ref="A1:E16" totalsRowShown="0" headerRowDxfId="144" dataDxfId="143">
  <autoFilter ref="A1:E16" xr:uid="{FE957AA7-2D80-4CBE-8F66-C9DCBD2ACF1B}"/>
  <tableColumns count="5">
    <tableColumn id="1" xr3:uid="{0502BFD4-BBA3-4CBB-B5FA-9D1A7D8DB832}" name="Row Labels" dataDxfId="149"/>
    <tableColumn id="2" xr3:uid="{2CD65E8F-6EE6-4013-9ACC-28BBC3B8761D}" name="Sum of Housing" dataDxfId="148"/>
    <tableColumn id="3" xr3:uid="{A9FD6177-CA79-4F03-B9DB-D67267997FEC}" name="Forecast(Sum of Housing)" dataDxfId="147"/>
    <tableColumn id="4" xr3:uid="{A21655EE-22F2-4D55-846E-39237C4CBC49}" name="Lower Confidence Bound(Sum of Housing)" dataDxfId="146"/>
    <tableColumn id="5" xr3:uid="{1E1477A4-BA14-4FBD-80BC-728BE9387C04}" name="Upper Confidence Bound(Sum of Housing)" dataDxfId="145"/>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BAB54A54-9C2C-4C3F-A995-99D1810D9C35}" name="Table33" displayName="Table33" ref="A1:E16" totalsRowShown="0" headerRowDxfId="137" dataDxfId="136">
  <autoFilter ref="A1:E16" xr:uid="{BAB54A54-9C2C-4C3F-A995-99D1810D9C35}"/>
  <tableColumns count="5">
    <tableColumn id="1" xr3:uid="{475846A3-37BB-4176-9B27-1F19A08DD469}" name="Row Labels" dataDxfId="142"/>
    <tableColumn id="2" xr3:uid="{52ABBBA1-14BE-4E69-8011-11A82E6EBE8B}" name="Sum of Utilities" dataDxfId="141"/>
    <tableColumn id="3" xr3:uid="{CED74BF6-4BA6-4604-9CE5-8EE90E34853E}" name="Forecast(Sum of Utilities)" dataDxfId="140"/>
    <tableColumn id="4" xr3:uid="{7AA46122-E2B0-44BD-89E9-CBABB9F68102}" name="Lower Confidence Bound(Sum of Utilities)" dataDxfId="139"/>
    <tableColumn id="5" xr3:uid="{6D34EA7D-3BD5-4E69-9C6A-DE1C63FCB6A4}" name="Upper Confidence Bound(Sum of Utilities)" dataDxfId="138"/>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48C2440-B7B8-4DFD-8F71-CF1DFF5B3832}" name="Table35" displayName="Table35" ref="A1:E16" totalsRowShown="0" headerRowDxfId="130" dataDxfId="129">
  <autoFilter ref="A1:E16" xr:uid="{E48C2440-B7B8-4DFD-8F71-CF1DFF5B3832}"/>
  <tableColumns count="5">
    <tableColumn id="1" xr3:uid="{08C3C820-6AE8-49D9-916A-AD246283A02A}" name="Row Labels" dataDxfId="135"/>
    <tableColumn id="2" xr3:uid="{7DA85E0A-5D13-4B74-A840-6B3614423A3A}" name="Sum of Food" dataDxfId="134"/>
    <tableColumn id="3" xr3:uid="{C47EE73E-FCC6-4D3E-BC72-75B38F171D54}" name="Forecast(Sum of Food)" dataDxfId="133"/>
    <tableColumn id="4" xr3:uid="{E434129C-30F2-4078-9D0C-0468FD113A2D}" name="Lower Confidence Bound(Sum of Food)" dataDxfId="132"/>
    <tableColumn id="5" xr3:uid="{DD9635AF-0D7A-4A35-82CD-D77439E79D98}" name="Upper Confidence Bound(Sum of Food)" dataDxfId="131"/>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55FB6833-61F5-4698-91AB-9A07BD6288C9}" name="Table38" displayName="Table38" ref="A1:E16" totalsRowShown="0" headerRowDxfId="123" dataDxfId="122">
  <autoFilter ref="A1:E16" xr:uid="{55FB6833-61F5-4698-91AB-9A07BD6288C9}"/>
  <tableColumns count="5">
    <tableColumn id="1" xr3:uid="{7C7F82AB-251B-4744-A072-9DA37ADC3827}" name="Row Labels" dataDxfId="128"/>
    <tableColumn id="2" xr3:uid="{E79EF69B-9A6A-4EC9-8FC6-5524FBD5B257}" name="Sum of Transportation" dataDxfId="127"/>
    <tableColumn id="3" xr3:uid="{37A8DDE5-96AB-41BF-98BB-215CF2037AF4}" name="Forecast(Sum of Transportation)" dataDxfId="126"/>
    <tableColumn id="4" xr3:uid="{CF31CCDD-2040-46BF-A683-47DC2C061D58}" name="Lower Confidence Bound(Sum of Transportation)" dataDxfId="125"/>
    <tableColumn id="5" xr3:uid="{D0014EBE-F5A5-4D31-A546-9790FA676DD8}" name="Upper Confidence Bound(Sum of Transportation)" dataDxfId="124"/>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403B0325-C50A-4F7D-ADE7-234906830EDB}" name="Table39" displayName="Table39" ref="A1:E16" totalsRowShown="0" headerRowDxfId="116" dataDxfId="115">
  <autoFilter ref="A1:E16" xr:uid="{403B0325-C50A-4F7D-ADE7-234906830EDB}"/>
  <tableColumns count="5">
    <tableColumn id="1" xr3:uid="{EF75E081-F7BF-4F89-9F40-EB22A5F9F113}" name="Row Labels" dataDxfId="121"/>
    <tableColumn id="2" xr3:uid="{677B2C95-AD51-4058-A55C-E3069EBB1830}" name="Sum of Insuance" dataDxfId="120"/>
    <tableColumn id="3" xr3:uid="{15B952D0-8829-45B6-A5E2-A6550798FB8F}" name="Forecast(Sum of Insuance)" dataDxfId="119"/>
    <tableColumn id="4" xr3:uid="{0922C86F-D067-489B-BB3E-9802FE6F1A1E}" name="Lower Confidence Bound(Sum of Insuance)" dataDxfId="118"/>
    <tableColumn id="5" xr3:uid="{D91487EC-6A5E-46F8-A31C-1C80B2AAAC99}" name="Upper Confidence Bound(Sum of Insuance)" dataDxfId="117"/>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FDDEC1B7-2601-4CEF-AA44-906C688A9FFD}" name="Table40" displayName="Table40" ref="A1:E16" totalsRowShown="0" headerRowDxfId="109" dataDxfId="108">
  <autoFilter ref="A1:E16" xr:uid="{FDDEC1B7-2601-4CEF-AA44-906C688A9FFD}"/>
  <tableColumns count="5">
    <tableColumn id="1" xr3:uid="{9EF721AC-A6D1-4E9B-8398-8001D1BBBD40}" name="Row Labels" dataDxfId="114"/>
    <tableColumn id="2" xr3:uid="{D628E9FB-08F2-44B3-ACEE-7DAF975CA9E3}" name="Sum of Debt Payment" dataDxfId="113"/>
    <tableColumn id="3" xr3:uid="{745CCD1C-DD82-4829-9E39-CF17B1C67E41}" name="Forecast(Sum of Debt Payment)" dataDxfId="112"/>
    <tableColumn id="4" xr3:uid="{535F3F90-8BC9-4F6B-B20B-446F7AF41D34}" name="Lower Confidence Bound(Sum of Debt Payment)" dataDxfId="111"/>
    <tableColumn id="5" xr3:uid="{41239C05-D25F-47E4-808D-0E4307331239}" name="Upper Confidence Bound(Sum of Debt Payment)" dataDxfId="110"/>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781BC5C-EEE9-4EC1-B14A-A5956E9C6500}" name="Table41" displayName="Table41" ref="A1:E16" totalsRowShown="0" headerRowDxfId="102" dataDxfId="101">
  <autoFilter ref="A1:E16" xr:uid="{8781BC5C-EEE9-4EC1-B14A-A5956E9C6500}"/>
  <tableColumns count="5">
    <tableColumn id="1" xr3:uid="{F514E58A-D241-4318-872D-A3F9411B58AA}" name="Row Labels" dataDxfId="107"/>
    <tableColumn id="2" xr3:uid="{34F69445-4535-460A-BA50-23C0B72E5D95}" name="Sum of Personal Expenses" dataDxfId="106"/>
    <tableColumn id="3" xr3:uid="{76661C79-0156-4B9F-8EAB-8347CBD24785}" name="Forecast(Sum of Personal Expenses)" dataDxfId="105"/>
    <tableColumn id="4" xr3:uid="{01FD31A9-4FBF-4A30-B4CA-42ADF24D4127}" name="Lower Confidence Bound(Sum of Personal Expenses)" dataDxfId="104"/>
    <tableColumn id="5" xr3:uid="{6FFFBF7C-5C8E-45DC-A50C-64D1A5B7EF1C}" name="Upper Confidence Bound(Sum of Personal Expenses)" dataDxfId="103"/>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4B68832-EDC3-44CC-9C1E-EEF5ECA3F6EB}" name="Table42" displayName="Table42" ref="A1:E17" totalsRowShown="0" headerRowDxfId="95" dataDxfId="94">
  <autoFilter ref="A1:E17" xr:uid="{44B68832-EDC3-44CC-9C1E-EEF5ECA3F6EB}"/>
  <tableColumns count="5">
    <tableColumn id="1" xr3:uid="{F4C21053-9D15-4A0D-8D62-C77794C9B962}" name="Row Labels" dataDxfId="100"/>
    <tableColumn id="2" xr3:uid="{87E91DE0-161C-4A02-A6C3-ECF4929DD0C6}" name="Sum of Savings and Investments" dataDxfId="99"/>
    <tableColumn id="3" xr3:uid="{2380B3CF-E3D1-4386-A989-D83C1B6A59C4}" name="Forecast(Sum of Savings and Investments)" dataDxfId="98">
      <calculatedColumnFormula>_xlfn.FORECAST.ETS(A2,$B$2:$B$13,$A$2:$A$13,1,1)</calculatedColumnFormula>
    </tableColumn>
    <tableColumn id="4" xr3:uid="{95F9307E-8D2F-4C38-9F17-6D359D9A7333}" name="Lower Confidence Bound(Sum of Savings and Investments)" dataDxfId="97">
      <calculatedColumnFormula>C2-_xlfn.FORECAST.ETS.CONFINT(A2,$B$2:$B$13,$A$2:$A$13,0.95,1,1)</calculatedColumnFormula>
    </tableColumn>
    <tableColumn id="5" xr3:uid="{72356EBC-784C-4390-BEE4-6BB3F6798211}" name="Upper Confidence Bound(Sum of Savings and Investments)" dataDxfId="96">
      <calculatedColumnFormula>C2+_xlfn.FORECAST.ETS.CONFINT(A2,$B$2:$B$13,$A$2:$A$13,0.95,1,1)</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1.xml"/><Relationship Id="rId5" Type="http://schemas.microsoft.com/office/2007/relationships/slicer" Target="../slicers/slicer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ivotTable" Target="../pivotTables/pivotTable2.xml"/><Relationship Id="rId5" Type="http://schemas.microsoft.com/office/2007/relationships/slicer" Target="../slicers/slicer3.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4.xml"/><Relationship Id="rId1" Type="http://schemas.openxmlformats.org/officeDocument/2006/relationships/pivotTable" Target="../pivotTables/pivotTable3.xml"/><Relationship Id="rId5" Type="http://schemas.microsoft.com/office/2007/relationships/slicer" Target="../slicers/slicer4.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5.xml"/><Relationship Id="rId1" Type="http://schemas.openxmlformats.org/officeDocument/2006/relationships/pivotTable" Target="../pivotTables/pivotTable4.xml"/><Relationship Id="rId5" Type="http://schemas.microsoft.com/office/2007/relationships/slicer" Target="../slicers/slicer5.xml"/><Relationship Id="rId4" Type="http://schemas.openxmlformats.org/officeDocument/2006/relationships/table" Target="../tables/table8.xml"/></Relationships>
</file>

<file path=xl/worksheets/_rels/sheet6.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6.xml"/><Relationship Id="rId1" Type="http://schemas.openxmlformats.org/officeDocument/2006/relationships/pivotTable" Target="../pivotTables/pivotTable5.xml"/><Relationship Id="rId5" Type="http://schemas.microsoft.com/office/2007/relationships/slicer" Target="../slicers/slicer6.xml"/><Relationship Id="rId4"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7.xml"/><Relationship Id="rId1" Type="http://schemas.openxmlformats.org/officeDocument/2006/relationships/pivotTable" Target="../pivotTables/pivotTable6.xml"/><Relationship Id="rId5" Type="http://schemas.microsoft.com/office/2007/relationships/slicer" Target="../slicers/slicer7.xml"/><Relationship Id="rId4"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8.xml"/><Relationship Id="rId1" Type="http://schemas.openxmlformats.org/officeDocument/2006/relationships/pivotTable" Target="../pivotTables/pivotTable7.xml"/><Relationship Id="rId5" Type="http://schemas.microsoft.com/office/2007/relationships/slicer" Target="../slicers/slicer8.xml"/><Relationship Id="rId4" Type="http://schemas.openxmlformats.org/officeDocument/2006/relationships/table" Target="../tables/table1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9.xml"/><Relationship Id="rId1" Type="http://schemas.openxmlformats.org/officeDocument/2006/relationships/pivotTable" Target="../pivotTables/pivotTable8.xml"/><Relationship Id="rId5" Type="http://schemas.microsoft.com/office/2007/relationships/slicer" Target="../slicers/slicer9.xml"/><Relationship Id="rId4"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10.xml"/><Relationship Id="rId1" Type="http://schemas.openxmlformats.org/officeDocument/2006/relationships/pivotTable" Target="../pivotTables/pivotTable9.xml"/><Relationship Id="rId5" Type="http://schemas.microsoft.com/office/2007/relationships/slicer" Target="../slicers/slicer10.xml"/><Relationship Id="rId4" Type="http://schemas.openxmlformats.org/officeDocument/2006/relationships/table" Target="../tables/table18.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11.xml"/><Relationship Id="rId1" Type="http://schemas.openxmlformats.org/officeDocument/2006/relationships/pivotTable" Target="../pivotTables/pivotTable10.xml"/><Relationship Id="rId5" Type="http://schemas.microsoft.com/office/2007/relationships/slicer" Target="../slicers/slicer11.xml"/><Relationship Id="rId4" Type="http://schemas.openxmlformats.org/officeDocument/2006/relationships/table" Target="../tables/table20.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drawing" Target="../drawings/drawing12.xml"/><Relationship Id="rId1" Type="http://schemas.openxmlformats.org/officeDocument/2006/relationships/pivotTable" Target="../pivotTables/pivotTable11.xml"/><Relationship Id="rId5" Type="http://schemas.microsoft.com/office/2007/relationships/slicer" Target="../slicers/slicer12.xml"/><Relationship Id="rId4" Type="http://schemas.openxmlformats.org/officeDocument/2006/relationships/table" Target="../tables/table22.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drawing" Target="../drawings/drawing13.xml"/><Relationship Id="rId1" Type="http://schemas.openxmlformats.org/officeDocument/2006/relationships/pivotTable" Target="../pivotTables/pivotTable12.xml"/><Relationship Id="rId5" Type="http://schemas.microsoft.com/office/2007/relationships/slicer" Target="../slicers/slicer13.xml"/><Relationship Id="rId4" Type="http://schemas.openxmlformats.org/officeDocument/2006/relationships/table" Target="../tables/table24.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table" Target="../tables/table26.xml"/><Relationship Id="rId1" Type="http://schemas.openxmlformats.org/officeDocument/2006/relationships/table" Target="../tables/table25.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ivotTable" Target="../pivotTables/pivotTable14.xml"/><Relationship Id="rId1" Type="http://schemas.openxmlformats.org/officeDocument/2006/relationships/pivotTable" Target="../pivotTables/pivotTable13.xml"/><Relationship Id="rId5" Type="http://schemas.microsoft.com/office/2007/relationships/slicer" Target="../slicers/slicer14.xml"/><Relationship Id="rId4" Type="http://schemas.openxmlformats.org/officeDocument/2006/relationships/table" Target="../tables/table28.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ivotTable" Target="../pivotTables/pivot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12FDC-0FD1-4DE8-AA4D-D48E387660CE}">
  <dimension ref="A1"/>
  <sheetViews>
    <sheetView tabSelected="1" workbookViewId="0">
      <selection sqref="A1:XFD1048576"/>
    </sheetView>
  </sheetViews>
  <sheetFormatPr defaultRowHeight="12.75" x14ac:dyDescent="0.2"/>
  <cols>
    <col min="1" max="16384" width="9.140625" style="1"/>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34998626667073579"/>
    <outlinePr summaryBelow="0" summaryRight="0"/>
  </sheetPr>
  <dimension ref="A1:L44"/>
  <sheetViews>
    <sheetView topLeftCell="A26" workbookViewId="0">
      <selection activeCell="B8" sqref="B8"/>
    </sheetView>
  </sheetViews>
  <sheetFormatPr defaultColWidth="12.5703125" defaultRowHeight="12.75" x14ac:dyDescent="0.2"/>
  <cols>
    <col min="1" max="2" width="12.5703125" style="5"/>
    <col min="3" max="3" width="23.42578125" style="5" bestFit="1" customWidth="1"/>
    <col min="4" max="4" width="29.42578125" style="10" customWidth="1"/>
    <col min="5" max="5" width="26.85546875" style="10" customWidth="1"/>
    <col min="6" max="6" width="17.85546875" style="10" customWidth="1"/>
    <col min="7" max="8" width="12.5703125" style="5"/>
    <col min="9" max="9" width="18.85546875" style="5" bestFit="1" customWidth="1"/>
    <col min="10" max="10" width="12.42578125" style="5" bestFit="1" customWidth="1"/>
    <col min="11" max="11" width="11.7109375" style="5" bestFit="1" customWidth="1"/>
    <col min="12" max="16384" width="12.5703125" style="5"/>
  </cols>
  <sheetData>
    <row r="1" spans="1:12" s="4" customFormat="1" ht="23.25" customHeight="1" x14ac:dyDescent="0.2">
      <c r="A1" s="2" t="s">
        <v>57</v>
      </c>
      <c r="B1" s="3"/>
      <c r="C1" s="3"/>
      <c r="D1" s="3"/>
      <c r="E1" s="3"/>
      <c r="F1" s="3"/>
      <c r="G1" s="3"/>
      <c r="H1" s="3"/>
      <c r="I1" s="3"/>
      <c r="J1" s="3"/>
      <c r="K1" s="3"/>
      <c r="L1" s="3"/>
    </row>
    <row r="2" spans="1:12" s="4" customFormat="1" ht="23.25" customHeight="1" x14ac:dyDescent="0.2"/>
    <row r="4" spans="1:12" x14ac:dyDescent="0.2">
      <c r="C4" s="6" t="s">
        <v>0</v>
      </c>
      <c r="D4" s="7" t="s">
        <v>1</v>
      </c>
      <c r="E4" s="7" t="s">
        <v>2</v>
      </c>
      <c r="F4" s="7" t="s">
        <v>3</v>
      </c>
      <c r="I4" s="5" t="s">
        <v>0</v>
      </c>
      <c r="J4" s="5" t="s">
        <v>35</v>
      </c>
      <c r="K4" s="5" t="s">
        <v>36</v>
      </c>
      <c r="L4" s="5" t="s">
        <v>3</v>
      </c>
    </row>
    <row r="5" spans="1:12" x14ac:dyDescent="0.2">
      <c r="C5" s="8" t="s">
        <v>4</v>
      </c>
      <c r="D5" s="9">
        <f>SUBTOTAL(9,D6:D7)</f>
        <v>50000</v>
      </c>
      <c r="E5" s="9"/>
      <c r="F5" s="9"/>
      <c r="I5" s="5" t="s">
        <v>23</v>
      </c>
      <c r="J5" s="10">
        <f>_xlfn.XLOOKUP(JanSumm[[#This Row],[Category]],JanTable[Category],JanTable[Amount Budgeted])</f>
        <v>2000</v>
      </c>
      <c r="K5" s="10">
        <f>_xlfn.XLOOKUP(JanSumm[[#This Row],[Category]],JanTable[Category],JanTable[Actual Spending])</f>
        <v>1760</v>
      </c>
      <c r="L5" s="11">
        <f>_xlfn.XLOOKUP(JanSumm[[#This Row],[Category]],JanTable[Category],JanTable[Difference])</f>
        <v>-240</v>
      </c>
    </row>
    <row r="6" spans="1:12" x14ac:dyDescent="0.2">
      <c r="C6" s="12" t="s">
        <v>5</v>
      </c>
      <c r="D6" s="13">
        <v>40000</v>
      </c>
      <c r="E6" s="14"/>
      <c r="F6" s="14"/>
      <c r="I6" s="5" t="s">
        <v>20</v>
      </c>
      <c r="J6" s="10">
        <f>_xlfn.XLOOKUP(JanSumm[[#This Row],[Category]],JanTable[Category],JanTable[Amount Budgeted])</f>
        <v>2000</v>
      </c>
      <c r="K6" s="10">
        <f>_xlfn.XLOOKUP(JanSumm[[#This Row],[Category]],JanTable[Category],JanTable[Actual Spending])</f>
        <v>2000</v>
      </c>
      <c r="L6" s="5">
        <f>_xlfn.XLOOKUP(JanSumm[[#This Row],[Category]],JanTable[Category],JanTable[Difference])</f>
        <v>0</v>
      </c>
    </row>
    <row r="7" spans="1:12" x14ac:dyDescent="0.2">
      <c r="C7" s="12" t="s">
        <v>37</v>
      </c>
      <c r="D7" s="13">
        <v>10000</v>
      </c>
      <c r="E7" s="14"/>
      <c r="F7" s="14"/>
      <c r="I7" s="5" t="s">
        <v>25</v>
      </c>
      <c r="J7" s="10">
        <f>_xlfn.XLOOKUP(JanSumm[[#This Row],[Category]],JanTable[Category],JanTable[Amount Budgeted])</f>
        <v>2000</v>
      </c>
      <c r="K7" s="10">
        <f>_xlfn.XLOOKUP(JanSumm[[#This Row],[Category]],JanTable[Category],JanTable[Actual Spending])</f>
        <v>3000</v>
      </c>
      <c r="L7" s="5">
        <f>_xlfn.XLOOKUP(JanSumm[[#This Row],[Category]],JanTable[Category],JanTable[Difference])</f>
        <v>1000</v>
      </c>
    </row>
    <row r="8" spans="1:12" x14ac:dyDescent="0.2">
      <c r="C8" s="12"/>
      <c r="D8" s="13"/>
      <c r="E8" s="14"/>
      <c r="F8" s="14"/>
      <c r="I8" s="5" t="s">
        <v>11</v>
      </c>
      <c r="J8" s="10">
        <f>_xlfn.XLOOKUP(JanSumm[[#This Row],[Category]],JanTable[Category],JanTable[Amount Budgeted])</f>
        <v>3300</v>
      </c>
      <c r="K8" s="10">
        <f>_xlfn.XLOOKUP(JanSumm[[#This Row],[Category]],JanTable[Category],JanTable[Actual Spending])</f>
        <v>3780</v>
      </c>
      <c r="L8" s="5">
        <f>_xlfn.XLOOKUP(JanSumm[[#This Row],[Category]],JanTable[Category],JanTable[Difference])</f>
        <v>480</v>
      </c>
    </row>
    <row r="9" spans="1:12" x14ac:dyDescent="0.2">
      <c r="C9" s="15" t="s">
        <v>6</v>
      </c>
      <c r="D9" s="14"/>
      <c r="E9" s="14"/>
      <c r="F9" s="14"/>
      <c r="I9" s="5" t="s">
        <v>16</v>
      </c>
      <c r="J9" s="10">
        <f>_xlfn.XLOOKUP(JanSumm[[#This Row],[Category]],JanTable[Category],JanTable[Amount Budgeted])</f>
        <v>4000</v>
      </c>
      <c r="K9" s="10">
        <f>_xlfn.XLOOKUP(JanSumm[[#This Row],[Category]],JanTable[Category],JanTable[Actual Spending])</f>
        <v>4400</v>
      </c>
      <c r="L9" s="5">
        <f>_xlfn.XLOOKUP(JanSumm[[#This Row],[Category]],JanTable[Category],JanTable[Difference])</f>
        <v>400</v>
      </c>
    </row>
    <row r="10" spans="1:12" x14ac:dyDescent="0.2">
      <c r="C10" s="16" t="s">
        <v>7</v>
      </c>
      <c r="D10" s="17">
        <f>SUBTOTAL(9,D11:D13)</f>
        <v>11250</v>
      </c>
      <c r="E10" s="18">
        <f>SUBTOTAL(9,E11:E13)</f>
        <v>11451</v>
      </c>
      <c r="F10" s="18">
        <f>JanTable[[#This Row],[Actual Spending]]-JanTable[[#This Row],[Amount Budgeted]]</f>
        <v>201</v>
      </c>
      <c r="I10" s="5" t="s">
        <v>14</v>
      </c>
      <c r="J10" s="10">
        <f>_xlfn.XLOOKUP(JanSumm[[#This Row],[Category]],JanTable[Category],JanTable[Amount Budgeted])</f>
        <v>5500</v>
      </c>
      <c r="K10" s="10">
        <f>_xlfn.XLOOKUP(JanSumm[[#This Row],[Category]],JanTable[Category],JanTable[Actual Spending])</f>
        <v>6716</v>
      </c>
      <c r="L10" s="5">
        <f>_xlfn.XLOOKUP(JanSumm[[#This Row],[Category]],JanTable[Category],JanTable[Difference])</f>
        <v>1216</v>
      </c>
    </row>
    <row r="11" spans="1:12" x14ac:dyDescent="0.2">
      <c r="C11" s="12" t="s">
        <v>8</v>
      </c>
      <c r="D11" s="13">
        <v>10000</v>
      </c>
      <c r="E11" s="14">
        <v>10201</v>
      </c>
      <c r="F11" s="14">
        <f>JanTable[[#This Row],[Actual Spending]]-JanTable[[#This Row],[Amount Budgeted]]</f>
        <v>201</v>
      </c>
      <c r="I11" s="5" t="s">
        <v>29</v>
      </c>
      <c r="J11" s="10">
        <f>_xlfn.XLOOKUP(JanSumm[[#This Row],[Category]],JanTable[Category],JanTable[Amount Budgeted])</f>
        <v>7500</v>
      </c>
      <c r="K11" s="10">
        <f>_xlfn.XLOOKUP(JanSumm[[#This Row],[Category]],JanTable[Category],JanTable[Actual Spending])</f>
        <v>9135</v>
      </c>
      <c r="L11" s="5">
        <f>_xlfn.XLOOKUP(JanSumm[[#This Row],[Category]],JanTable[Category],JanTable[Difference])</f>
        <v>1635</v>
      </c>
    </row>
    <row r="12" spans="1:12" x14ac:dyDescent="0.2">
      <c r="C12" s="12" t="s">
        <v>9</v>
      </c>
      <c r="D12" s="13">
        <v>500</v>
      </c>
      <c r="E12" s="14">
        <v>500</v>
      </c>
      <c r="F12" s="14"/>
      <c r="I12" s="5" t="s">
        <v>7</v>
      </c>
      <c r="J12" s="10">
        <f>_xlfn.XLOOKUP(JanSumm[[#This Row],[Category]],JanTable[Category],JanTable[Amount Budgeted])</f>
        <v>11250</v>
      </c>
      <c r="K12" s="10">
        <f>_xlfn.XLOOKUP(JanSumm[[#This Row],[Category]],JanTable[Category],JanTable[Actual Spending])</f>
        <v>11451</v>
      </c>
      <c r="L12" s="5">
        <f>_xlfn.XLOOKUP(JanSumm[[#This Row],[Category]],JanTable[Category],JanTable[Difference])</f>
        <v>201</v>
      </c>
    </row>
    <row r="13" spans="1:12" x14ac:dyDescent="0.2">
      <c r="C13" s="12" t="s">
        <v>10</v>
      </c>
      <c r="D13" s="13">
        <v>750</v>
      </c>
      <c r="E13" s="14">
        <v>750</v>
      </c>
      <c r="F13" s="14"/>
    </row>
    <row r="14" spans="1:12" x14ac:dyDescent="0.2">
      <c r="C14" s="12"/>
      <c r="D14" s="13"/>
      <c r="E14" s="14"/>
      <c r="F14" s="14"/>
    </row>
    <row r="15" spans="1:12" x14ac:dyDescent="0.2">
      <c r="C15" s="16" t="s">
        <v>11</v>
      </c>
      <c r="D15" s="18">
        <f>SUBTOTAL(9,D16:D18)</f>
        <v>3300</v>
      </c>
      <c r="E15" s="18">
        <f>SUBTOTAL(9,E16:E18)</f>
        <v>3780</v>
      </c>
      <c r="F15" s="18">
        <f>JanTable[[#This Row],[Actual Spending]]-JanTable[[#This Row],[Amount Budgeted]]</f>
        <v>480</v>
      </c>
    </row>
    <row r="16" spans="1:12" x14ac:dyDescent="0.2">
      <c r="C16" s="12" t="s">
        <v>12</v>
      </c>
      <c r="D16" s="13">
        <v>800</v>
      </c>
      <c r="E16" s="14">
        <v>1100</v>
      </c>
      <c r="F16" s="14">
        <f>JanTable[[#This Row],[Actual Spending]]-JanTable[[#This Row],[Amount Budgeted]]</f>
        <v>300</v>
      </c>
      <c r="I16" s="19" t="s">
        <v>41</v>
      </c>
      <c r="J16" s="19" t="s">
        <v>39</v>
      </c>
      <c r="K16" s="19" t="s">
        <v>43</v>
      </c>
    </row>
    <row r="17" spans="3:11" x14ac:dyDescent="0.2">
      <c r="C17" s="12" t="s">
        <v>13</v>
      </c>
      <c r="D17" s="13">
        <v>500</v>
      </c>
      <c r="E17" s="14">
        <v>500</v>
      </c>
      <c r="F17" s="14"/>
      <c r="I17" s="20" t="s">
        <v>23</v>
      </c>
      <c r="J17" s="21">
        <v>2000</v>
      </c>
      <c r="K17" s="21">
        <v>1760</v>
      </c>
    </row>
    <row r="18" spans="3:11" x14ac:dyDescent="0.2">
      <c r="C18" s="12" t="s">
        <v>32</v>
      </c>
      <c r="D18" s="13">
        <v>2000</v>
      </c>
      <c r="E18" s="14">
        <v>2180</v>
      </c>
      <c r="F18" s="14">
        <f>JanTable[[#This Row],[Actual Spending]]-JanTable[[#This Row],[Amount Budgeted]]</f>
        <v>180</v>
      </c>
      <c r="I18" s="20" t="s">
        <v>14</v>
      </c>
      <c r="J18" s="21">
        <v>5500</v>
      </c>
      <c r="K18" s="21">
        <v>6716</v>
      </c>
    </row>
    <row r="19" spans="3:11" x14ac:dyDescent="0.2">
      <c r="C19" s="12"/>
      <c r="D19" s="13"/>
      <c r="E19" s="14"/>
      <c r="F19" s="14"/>
      <c r="I19" s="20" t="s">
        <v>7</v>
      </c>
      <c r="J19" s="21">
        <v>11250</v>
      </c>
      <c r="K19" s="21">
        <v>11451</v>
      </c>
    </row>
    <row r="20" spans="3:11" x14ac:dyDescent="0.2">
      <c r="C20" s="16" t="s">
        <v>14</v>
      </c>
      <c r="D20" s="18">
        <f>SUBTOTAL(9,D21:D22)</f>
        <v>5500</v>
      </c>
      <c r="E20" s="18">
        <f>SUBTOTAL(9,E21:E22)</f>
        <v>6716</v>
      </c>
      <c r="F20" s="18">
        <f>JanTable[[#This Row],[Actual Spending]]-JanTable[[#This Row],[Amount Budgeted]]</f>
        <v>1216</v>
      </c>
      <c r="I20" s="20" t="s">
        <v>20</v>
      </c>
      <c r="J20" s="21">
        <v>2000</v>
      </c>
      <c r="K20" s="21">
        <v>2000</v>
      </c>
    </row>
    <row r="21" spans="3:11" x14ac:dyDescent="0.2">
      <c r="C21" s="12" t="s">
        <v>34</v>
      </c>
      <c r="D21" s="13">
        <v>4000</v>
      </c>
      <c r="E21" s="14">
        <v>4937</v>
      </c>
      <c r="F21" s="14">
        <f>JanTable[[#This Row],[Actual Spending]]-JanTable[[#This Row],[Amount Budgeted]]</f>
        <v>937</v>
      </c>
      <c r="I21" s="20" t="s">
        <v>29</v>
      </c>
      <c r="J21" s="21">
        <v>7500</v>
      </c>
      <c r="K21" s="21">
        <v>9135</v>
      </c>
    </row>
    <row r="22" spans="3:11" x14ac:dyDescent="0.2">
      <c r="C22" s="12" t="s">
        <v>15</v>
      </c>
      <c r="D22" s="13">
        <v>1500</v>
      </c>
      <c r="E22" s="14">
        <v>1779</v>
      </c>
      <c r="F22" s="14">
        <f>JanTable[[#This Row],[Actual Spending]]-JanTable[[#This Row],[Amount Budgeted]]</f>
        <v>279</v>
      </c>
      <c r="I22" s="20" t="s">
        <v>25</v>
      </c>
      <c r="J22" s="21">
        <v>2000</v>
      </c>
      <c r="K22" s="21">
        <v>3000</v>
      </c>
    </row>
    <row r="23" spans="3:11" x14ac:dyDescent="0.2">
      <c r="C23" s="12"/>
      <c r="D23" s="13"/>
      <c r="E23" s="14"/>
      <c r="F23" s="14"/>
      <c r="I23" s="20" t="s">
        <v>16</v>
      </c>
      <c r="J23" s="21">
        <v>4000</v>
      </c>
      <c r="K23" s="21">
        <v>4400</v>
      </c>
    </row>
    <row r="24" spans="3:11" x14ac:dyDescent="0.2">
      <c r="C24" s="16" t="s">
        <v>16</v>
      </c>
      <c r="D24" s="18">
        <f>SUBTOTAL(9,D25:D27)</f>
        <v>4000</v>
      </c>
      <c r="E24" s="18">
        <f>SUBTOTAL(9,E25:E27)</f>
        <v>4400</v>
      </c>
      <c r="F24" s="18">
        <f>JanTable[[#This Row],[Actual Spending]]-JanTable[[#This Row],[Amount Budgeted]]</f>
        <v>400</v>
      </c>
      <c r="I24" s="20" t="s">
        <v>11</v>
      </c>
      <c r="J24" s="21">
        <v>3300</v>
      </c>
      <c r="K24" s="21">
        <v>3780</v>
      </c>
    </row>
    <row r="25" spans="3:11" x14ac:dyDescent="0.2">
      <c r="C25" s="12" t="s">
        <v>17</v>
      </c>
      <c r="D25" s="13">
        <v>2000</v>
      </c>
      <c r="E25" s="14">
        <v>2000</v>
      </c>
      <c r="F25" s="14">
        <f>JanTable[[#This Row],[Actual Spending]]-JanTable[[#This Row],[Amount Budgeted]]</f>
        <v>0</v>
      </c>
      <c r="I25" s="22" t="s">
        <v>42</v>
      </c>
      <c r="J25" s="23">
        <v>37550</v>
      </c>
      <c r="K25" s="23">
        <v>42242</v>
      </c>
    </row>
    <row r="26" spans="3:11" x14ac:dyDescent="0.2">
      <c r="C26" s="12" t="s">
        <v>18</v>
      </c>
      <c r="D26" s="13">
        <v>1500</v>
      </c>
      <c r="E26" s="14">
        <v>2000</v>
      </c>
      <c r="F26" s="14">
        <f>JanTable[[#This Row],[Actual Spending]]-JanTable[[#This Row],[Amount Budgeted]]</f>
        <v>500</v>
      </c>
    </row>
    <row r="27" spans="3:11" x14ac:dyDescent="0.2">
      <c r="C27" s="12" t="s">
        <v>19</v>
      </c>
      <c r="D27" s="13">
        <v>500</v>
      </c>
      <c r="E27" s="14">
        <v>400</v>
      </c>
      <c r="F27" s="14">
        <f>JanTable[[#This Row],[Actual Spending]]-JanTable[[#This Row],[Amount Budgeted]]</f>
        <v>-100</v>
      </c>
    </row>
    <row r="28" spans="3:11" x14ac:dyDescent="0.2">
      <c r="C28" s="12"/>
      <c r="D28" s="13"/>
      <c r="E28" s="14"/>
      <c r="F28" s="14"/>
    </row>
    <row r="29" spans="3:11" x14ac:dyDescent="0.2">
      <c r="C29" s="16" t="s">
        <v>20</v>
      </c>
      <c r="D29" s="18">
        <f>SUBTOTAL(9, D30:D31)</f>
        <v>2000</v>
      </c>
      <c r="E29" s="18">
        <f>SUBTOTAL(9,E30:E31)</f>
        <v>2000</v>
      </c>
      <c r="F29" s="18">
        <f>JanTable[[#This Row],[Actual Spending]]-JanTable[[#This Row],[Amount Budgeted]]</f>
        <v>0</v>
      </c>
    </row>
    <row r="30" spans="3:11" x14ac:dyDescent="0.2">
      <c r="C30" s="12" t="s">
        <v>21</v>
      </c>
      <c r="D30" s="13">
        <v>500</v>
      </c>
      <c r="E30" s="14">
        <v>500</v>
      </c>
      <c r="F30" s="14">
        <f>JanTable[[#This Row],[Actual Spending]]-JanTable[[#This Row],[Amount Budgeted]]</f>
        <v>0</v>
      </c>
    </row>
    <row r="31" spans="3:11" x14ac:dyDescent="0.2">
      <c r="C31" s="12" t="s">
        <v>22</v>
      </c>
      <c r="D31" s="13">
        <v>1500</v>
      </c>
      <c r="E31" s="14">
        <v>1500</v>
      </c>
      <c r="F31" s="14">
        <f>JanTable[[#This Row],[Actual Spending]]-JanTable[[#This Row],[Amount Budgeted]]</f>
        <v>0</v>
      </c>
    </row>
    <row r="32" spans="3:11" x14ac:dyDescent="0.2">
      <c r="C32" s="12"/>
      <c r="D32" s="13"/>
      <c r="E32" s="14"/>
      <c r="F32" s="14"/>
    </row>
    <row r="33" spans="3:6" x14ac:dyDescent="0.2">
      <c r="C33" s="16" t="s">
        <v>23</v>
      </c>
      <c r="D33" s="18">
        <f>SUBTOTAL(9,D34)</f>
        <v>2000</v>
      </c>
      <c r="E33" s="18">
        <f>SUBTOTAL(9,E34)</f>
        <v>1760</v>
      </c>
      <c r="F33" s="18">
        <f>JanTable[[#This Row],[Actual Spending]]-JanTable[[#This Row],[Amount Budgeted]]</f>
        <v>-240</v>
      </c>
    </row>
    <row r="34" spans="3:6" x14ac:dyDescent="0.2">
      <c r="C34" s="12" t="s">
        <v>24</v>
      </c>
      <c r="D34" s="13">
        <v>2000</v>
      </c>
      <c r="E34" s="14">
        <v>1760</v>
      </c>
      <c r="F34" s="14">
        <f>JanTable[[#This Row],[Actual Spending]]-JanTable[[#This Row],[Amount Budgeted]]</f>
        <v>-240</v>
      </c>
    </row>
    <row r="35" spans="3:6" x14ac:dyDescent="0.2">
      <c r="C35" s="12"/>
      <c r="D35" s="13"/>
      <c r="E35" s="14"/>
      <c r="F35" s="14"/>
    </row>
    <row r="36" spans="3:6" x14ac:dyDescent="0.2">
      <c r="C36" s="16" t="s">
        <v>29</v>
      </c>
      <c r="D36" s="18">
        <f>SUBTOTAL(9,D37:D39)</f>
        <v>7500</v>
      </c>
      <c r="E36" s="18">
        <f>SUBTOTAL(9,E37:E39)</f>
        <v>9135</v>
      </c>
      <c r="F36" s="18">
        <f>JanTable[[#This Row],[Actual Spending]]-JanTable[[#This Row],[Amount Budgeted]]</f>
        <v>1635</v>
      </c>
    </row>
    <row r="37" spans="3:6" x14ac:dyDescent="0.2">
      <c r="C37" s="12" t="s">
        <v>30</v>
      </c>
      <c r="D37" s="13">
        <v>500</v>
      </c>
      <c r="E37" s="14">
        <v>735</v>
      </c>
      <c r="F37" s="14">
        <f>JanTable[[#This Row],[Actual Spending]]-JanTable[[#This Row],[Amount Budgeted]]</f>
        <v>235</v>
      </c>
    </row>
    <row r="38" spans="3:6" x14ac:dyDescent="0.2">
      <c r="C38" s="12" t="s">
        <v>31</v>
      </c>
      <c r="D38" s="13">
        <v>3000</v>
      </c>
      <c r="E38" s="14">
        <v>4500</v>
      </c>
      <c r="F38" s="14">
        <f>JanTable[[#This Row],[Actual Spending]]-JanTable[[#This Row],[Amount Budgeted]]</f>
        <v>1500</v>
      </c>
    </row>
    <row r="39" spans="3:6" x14ac:dyDescent="0.2">
      <c r="C39" s="12" t="s">
        <v>33</v>
      </c>
      <c r="D39" s="13">
        <v>4000</v>
      </c>
      <c r="E39" s="14">
        <v>3900</v>
      </c>
      <c r="F39" s="14">
        <f>JanTable[[#This Row],[Actual Spending]]-JanTable[[#This Row],[Amount Budgeted]]</f>
        <v>-100</v>
      </c>
    </row>
    <row r="40" spans="3:6" x14ac:dyDescent="0.2">
      <c r="C40" s="12"/>
      <c r="D40" s="13"/>
      <c r="E40" s="14"/>
      <c r="F40" s="14"/>
    </row>
    <row r="41" spans="3:6" x14ac:dyDescent="0.2">
      <c r="C41" s="16" t="s">
        <v>25</v>
      </c>
      <c r="D41" s="17">
        <f>SUBTOTAL(9,D42:D44)</f>
        <v>2000</v>
      </c>
      <c r="E41" s="18">
        <f>SUBTOTAL(9,E42:E44)</f>
        <v>3000</v>
      </c>
      <c r="F41" s="18">
        <f>JanTable[[#This Row],[Actual Spending]]-JanTable[[#This Row],[Amount Budgeted]]</f>
        <v>1000</v>
      </c>
    </row>
    <row r="42" spans="3:6" x14ac:dyDescent="0.2">
      <c r="C42" s="12" t="s">
        <v>26</v>
      </c>
      <c r="D42" s="13">
        <v>500</v>
      </c>
      <c r="E42" s="14">
        <v>500</v>
      </c>
      <c r="F42" s="14">
        <f>JanTable[[#This Row],[Actual Spending]]-JanTable[[#This Row],[Amount Budgeted]]</f>
        <v>0</v>
      </c>
    </row>
    <row r="43" spans="3:6" x14ac:dyDescent="0.2">
      <c r="C43" s="12" t="s">
        <v>27</v>
      </c>
      <c r="D43" s="13">
        <v>500</v>
      </c>
      <c r="E43" s="14">
        <v>500</v>
      </c>
      <c r="F43" s="14">
        <f>JanTable[[#This Row],[Actual Spending]]-JanTable[[#This Row],[Amount Budgeted]]</f>
        <v>0</v>
      </c>
    </row>
    <row r="44" spans="3:6" x14ac:dyDescent="0.2">
      <c r="C44" s="24" t="s">
        <v>28</v>
      </c>
      <c r="D44" s="25">
        <v>1000</v>
      </c>
      <c r="E44" s="26">
        <v>2000</v>
      </c>
      <c r="F44" s="26">
        <f>JanTable[[#This Row],[Actual Spending]]-JanTable[[#This Row],[Amount Budgeted]]</f>
        <v>1000</v>
      </c>
    </row>
  </sheetData>
  <mergeCells count="1">
    <mergeCell ref="A1:XFD2"/>
  </mergeCells>
  <conditionalFormatting sqref="L5:L12">
    <cfRule type="dataBar" priority="25">
      <dataBar showValue="0">
        <cfvo type="min"/>
        <cfvo type="max"/>
        <color rgb="FF638EC6"/>
      </dataBar>
      <extLst>
        <ext xmlns:x14="http://schemas.microsoft.com/office/spreadsheetml/2009/9/main" uri="{B025F937-C7B1-47D3-B67F-A62EFF666E3E}">
          <x14:id>{E0B5D3BE-1225-45D6-ACB7-850979A19CDA}</x14:id>
        </ext>
      </extLst>
    </cfRule>
    <cfRule type="dataBar" priority="26">
      <dataBar>
        <cfvo type="min"/>
        <cfvo type="max"/>
        <color rgb="FF638EC6"/>
      </dataBar>
      <extLst>
        <ext xmlns:x14="http://schemas.microsoft.com/office/spreadsheetml/2009/9/main" uri="{B025F937-C7B1-47D3-B67F-A62EFF666E3E}">
          <x14:id>{38708DD7-42DB-4D5E-862F-C331396B8BCB}</x14:id>
        </ext>
      </extLst>
    </cfRule>
  </conditionalFormatting>
  <pageMargins left="0.7" right="0.7" top="0.75" bottom="0.75" header="0.3" footer="0.3"/>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E0B5D3BE-1225-45D6-ACB7-850979A19CDA}">
            <x14:dataBar minLength="0" maxLength="100" gradient="0">
              <x14:cfvo type="autoMin"/>
              <x14:cfvo type="autoMax"/>
              <x14:negativeFillColor rgb="FFFF0000"/>
              <x14:axisColor rgb="FF000000"/>
            </x14:dataBar>
          </x14:cfRule>
          <x14:cfRule type="dataBar" id="{38708DD7-42DB-4D5E-862F-C331396B8BCB}">
            <x14:dataBar minLength="0" maxLength="100" border="1" negativeBarBorderColorSameAsPositive="0">
              <x14:cfvo type="autoMin"/>
              <x14:cfvo type="autoMax"/>
              <x14:borderColor rgb="FF638EC6"/>
              <x14:negativeFillColor rgb="FFFF0000"/>
              <x14:negativeBorderColor rgb="FFFF0000"/>
              <x14:axisColor rgb="FF000000"/>
            </x14:dataBar>
          </x14:cfRule>
          <xm:sqref>L5:L12</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61F90-B86B-44D9-A89D-D6211F4146C8}">
  <dimension ref="A1:L44"/>
  <sheetViews>
    <sheetView topLeftCell="A20" workbookViewId="0">
      <selection activeCell="A27" sqref="A1:XFD1048576"/>
    </sheetView>
  </sheetViews>
  <sheetFormatPr defaultRowHeight="12.75" x14ac:dyDescent="0.2"/>
  <cols>
    <col min="1" max="2" width="9.140625" style="5"/>
    <col min="3" max="3" width="24.85546875" style="5" bestFit="1" customWidth="1"/>
    <col min="4" max="4" width="30.42578125" style="5" bestFit="1" customWidth="1"/>
    <col min="5" max="5" width="27.7109375" style="5" bestFit="1" customWidth="1"/>
    <col min="6" max="6" width="18.42578125" style="5" bestFit="1" customWidth="1"/>
    <col min="7" max="8" width="9.140625" style="5"/>
    <col min="9" max="9" width="12" style="5" bestFit="1" customWidth="1"/>
    <col min="10" max="10" width="12.42578125" style="5" bestFit="1" customWidth="1"/>
    <col min="11" max="11" width="11.7109375" style="5" bestFit="1" customWidth="1"/>
    <col min="12" max="12" width="16.140625" style="5" bestFit="1" customWidth="1"/>
    <col min="13" max="16384" width="9.140625" style="5"/>
  </cols>
  <sheetData>
    <row r="1" spans="1:12" s="27" customFormat="1" ht="24" customHeight="1" x14ac:dyDescent="0.2">
      <c r="A1" s="27" t="s">
        <v>57</v>
      </c>
    </row>
    <row r="2" spans="1:12" s="27" customFormat="1" ht="24" customHeight="1" x14ac:dyDescent="0.2"/>
    <row r="4" spans="1:12" x14ac:dyDescent="0.2">
      <c r="C4" s="28" t="s">
        <v>0</v>
      </c>
      <c r="D4" s="29" t="s">
        <v>1</v>
      </c>
      <c r="E4" s="29" t="s">
        <v>2</v>
      </c>
      <c r="F4" s="29" t="s">
        <v>3</v>
      </c>
      <c r="I4" s="30" t="s">
        <v>0</v>
      </c>
      <c r="J4" s="30" t="s">
        <v>35</v>
      </c>
      <c r="K4" s="30" t="s">
        <v>36</v>
      </c>
      <c r="L4" s="30" t="s">
        <v>3</v>
      </c>
    </row>
    <row r="5" spans="1:12" x14ac:dyDescent="0.2">
      <c r="C5" s="15" t="s">
        <v>4</v>
      </c>
      <c r="D5" s="14">
        <f>SUBTOTAL(9,D6:D7)</f>
        <v>54000</v>
      </c>
      <c r="E5" s="14"/>
      <c r="F5" s="14"/>
      <c r="I5" s="5" t="s">
        <v>23</v>
      </c>
      <c r="J5" s="10">
        <f>_xlfn.XLOOKUP(JanSumm5[[#This Row],[Category]],FebTable[Category],FebTable[Amount Budgeted])</f>
        <v>2000</v>
      </c>
      <c r="K5" s="10">
        <f>_xlfn.XLOOKUP(JanSumm5[[#This Row],[Category]],FebTable[Category],FebTable[Actual Spending])</f>
        <v>2500</v>
      </c>
      <c r="L5" s="5">
        <f>_xlfn.XLOOKUP(JanSumm5[[#This Row],[Category]],FebTable[Category],FebTable[Difference])</f>
        <v>500</v>
      </c>
    </row>
    <row r="6" spans="1:12" x14ac:dyDescent="0.2">
      <c r="C6" s="12" t="s">
        <v>5</v>
      </c>
      <c r="D6" s="13">
        <v>40000</v>
      </c>
      <c r="E6" s="14"/>
      <c r="F6" s="14"/>
      <c r="I6" s="5" t="s">
        <v>20</v>
      </c>
      <c r="J6" s="10">
        <f>_xlfn.XLOOKUP(JanSumm5[[#This Row],[Category]],FebTable[Category],FebTable[Amount Budgeted])</f>
        <v>2000</v>
      </c>
      <c r="K6" s="10">
        <f>_xlfn.XLOOKUP(JanSumm5[[#This Row],[Category]],FebTable[Category],FebTable[Actual Spending])</f>
        <v>2000</v>
      </c>
      <c r="L6" s="5">
        <f>_xlfn.XLOOKUP(JanSumm5[[#This Row],[Category]],JanTable[Category],JanTable[Difference])</f>
        <v>0</v>
      </c>
    </row>
    <row r="7" spans="1:12" x14ac:dyDescent="0.2">
      <c r="C7" s="12" t="s">
        <v>37</v>
      </c>
      <c r="D7" s="13">
        <v>14000</v>
      </c>
      <c r="E7" s="14"/>
      <c r="F7" s="14"/>
      <c r="I7" s="5" t="s">
        <v>25</v>
      </c>
      <c r="J7" s="10">
        <f>_xlfn.XLOOKUP(JanSumm5[[#This Row],[Category]],FebTable[Category],FebTable[Amount Budgeted])</f>
        <v>3000</v>
      </c>
      <c r="K7" s="10">
        <f>_xlfn.XLOOKUP(JanSumm5[[#This Row],[Category]],FebTable[Category],FebTable[Actual Spending])</f>
        <v>3000</v>
      </c>
      <c r="L7" s="5">
        <f>_xlfn.XLOOKUP(JanSumm5[[#This Row],[Category]],JanTable[Category],JanTable[Difference])</f>
        <v>1000</v>
      </c>
    </row>
    <row r="8" spans="1:12" x14ac:dyDescent="0.2">
      <c r="C8" s="12"/>
      <c r="D8" s="13"/>
      <c r="E8" s="14"/>
      <c r="F8" s="14"/>
      <c r="I8" s="5" t="s">
        <v>11</v>
      </c>
      <c r="J8" s="10">
        <f>_xlfn.XLOOKUP(JanSumm5[[#This Row],[Category]],FebTable[Category],FebTable[Amount Budgeted])</f>
        <v>3500</v>
      </c>
      <c r="K8" s="10">
        <f>_xlfn.XLOOKUP(JanSumm5[[#This Row],[Category]],FebTable[Category],FebTable[Actual Spending])</f>
        <v>3230</v>
      </c>
      <c r="L8" s="5">
        <f>_xlfn.XLOOKUP(JanSumm5[[#This Row],[Category]],JanTable[Category],JanTable[Difference])</f>
        <v>480</v>
      </c>
    </row>
    <row r="9" spans="1:12" x14ac:dyDescent="0.2">
      <c r="C9" s="15" t="s">
        <v>6</v>
      </c>
      <c r="D9" s="14"/>
      <c r="E9" s="14"/>
      <c r="F9" s="14"/>
      <c r="I9" s="5" t="s">
        <v>16</v>
      </c>
      <c r="J9" s="10">
        <f>_xlfn.XLOOKUP(JanSumm5[[#This Row],[Category]],FebTable[Category],FebTable[Amount Budgeted])</f>
        <v>4500</v>
      </c>
      <c r="K9" s="10">
        <f>_xlfn.XLOOKUP(JanSumm5[[#This Row],[Category]],FebTable[Category],FebTable[Actual Spending])</f>
        <v>5000</v>
      </c>
      <c r="L9" s="5">
        <f>_xlfn.XLOOKUP(JanSumm5[[#This Row],[Category]],JanTable[Category],JanTable[Difference])</f>
        <v>400</v>
      </c>
    </row>
    <row r="10" spans="1:12" x14ac:dyDescent="0.2">
      <c r="C10" s="16" t="s">
        <v>7</v>
      </c>
      <c r="D10" s="17">
        <f>SUBTOTAL(9,D11:D13)</f>
        <v>11450</v>
      </c>
      <c r="E10" s="18">
        <f>SUBTOTAL(9,E11:E13)</f>
        <v>11250</v>
      </c>
      <c r="F10" s="18">
        <f>FebTable[[#This Row],[Actual Spending]]-FebTable[[#This Row],[Amount Budgeted]]</f>
        <v>-200</v>
      </c>
      <c r="I10" s="5" t="s">
        <v>14</v>
      </c>
      <c r="J10" s="10">
        <f>_xlfn.XLOOKUP(JanSumm5[[#This Row],[Category]],FebTable[Category],FebTable[Amount Budgeted])</f>
        <v>6000</v>
      </c>
      <c r="K10" s="10">
        <f>_xlfn.XLOOKUP(JanSumm5[[#This Row],[Category]],FebTable[Category],FebTable[Actual Spending])</f>
        <v>5967</v>
      </c>
      <c r="L10" s="5">
        <f>_xlfn.XLOOKUP(JanSumm5[[#This Row],[Category]],JanTable[Category],JanTable[Difference])</f>
        <v>1216</v>
      </c>
    </row>
    <row r="11" spans="1:12" x14ac:dyDescent="0.2">
      <c r="C11" s="12" t="s">
        <v>8</v>
      </c>
      <c r="D11" s="13">
        <v>10200</v>
      </c>
      <c r="E11" s="14">
        <v>10000</v>
      </c>
      <c r="F11" s="14">
        <f>FebTable[[#This Row],[Actual Spending]]-FebTable[[#This Row],[Amount Budgeted]]</f>
        <v>-200</v>
      </c>
      <c r="I11" s="5" t="s">
        <v>29</v>
      </c>
      <c r="J11" s="10">
        <f>_xlfn.XLOOKUP(JanSumm5[[#This Row],[Category]],FebTable[Category],FebTable[Amount Budgeted])</f>
        <v>8500</v>
      </c>
      <c r="K11" s="10">
        <f>_xlfn.XLOOKUP(JanSumm5[[#This Row],[Category]],FebTable[Category],FebTable[Actual Spending])</f>
        <v>10554</v>
      </c>
      <c r="L11" s="5">
        <f>_xlfn.XLOOKUP(JanSumm5[[#This Row],[Category]],JanTable[Category],JanTable[Difference])</f>
        <v>1635</v>
      </c>
    </row>
    <row r="12" spans="1:12" x14ac:dyDescent="0.2">
      <c r="C12" s="12" t="s">
        <v>9</v>
      </c>
      <c r="D12" s="13">
        <v>500</v>
      </c>
      <c r="E12" s="14">
        <v>500</v>
      </c>
      <c r="F12" s="14"/>
      <c r="I12" s="5" t="s">
        <v>7</v>
      </c>
      <c r="J12" s="10">
        <f>_xlfn.XLOOKUP(JanSumm5[[#This Row],[Category]],FebTable[Category],FebTable[Amount Budgeted])</f>
        <v>11450</v>
      </c>
      <c r="K12" s="10">
        <f>_xlfn.XLOOKUP(JanSumm5[[#This Row],[Category]],FebTable[Category],FebTable[Actual Spending])</f>
        <v>11250</v>
      </c>
      <c r="L12" s="5">
        <f>_xlfn.XLOOKUP(JanSumm5[[#This Row],[Category]],JanTable[Category],JanTable[Difference])</f>
        <v>201</v>
      </c>
    </row>
    <row r="13" spans="1:12" x14ac:dyDescent="0.2">
      <c r="C13" s="12" t="s">
        <v>10</v>
      </c>
      <c r="D13" s="13">
        <v>750</v>
      </c>
      <c r="E13" s="14">
        <v>750</v>
      </c>
      <c r="F13" s="14"/>
    </row>
    <row r="14" spans="1:12" x14ac:dyDescent="0.2">
      <c r="C14" s="12"/>
      <c r="D14" s="13"/>
      <c r="E14" s="14"/>
      <c r="F14" s="14"/>
    </row>
    <row r="15" spans="1:12" x14ac:dyDescent="0.2">
      <c r="C15" s="16" t="s">
        <v>11</v>
      </c>
      <c r="D15" s="18">
        <f>SUBTOTAL(9,D16:D18)</f>
        <v>3500</v>
      </c>
      <c r="E15" s="18">
        <f>SUBTOTAL(9,E16:E18)</f>
        <v>3230</v>
      </c>
      <c r="F15" s="18">
        <f>FebTable[[#This Row],[Actual Spending]]-FebTable[[#This Row],[Amount Budgeted]]</f>
        <v>-270</v>
      </c>
    </row>
    <row r="16" spans="1:12" x14ac:dyDescent="0.2">
      <c r="C16" s="12" t="s">
        <v>12</v>
      </c>
      <c r="D16" s="13">
        <v>1000</v>
      </c>
      <c r="E16" s="14">
        <v>800</v>
      </c>
      <c r="F16" s="14">
        <f>FebTable[[#This Row],[Actual Spending]]-FebTable[[#This Row],[Amount Budgeted]]</f>
        <v>-200</v>
      </c>
      <c r="I16" s="31" t="s">
        <v>41</v>
      </c>
      <c r="J16" s="31" t="s">
        <v>39</v>
      </c>
      <c r="K16" s="32" t="s">
        <v>43</v>
      </c>
    </row>
    <row r="17" spans="3:11" x14ac:dyDescent="0.2">
      <c r="C17" s="12" t="s">
        <v>13</v>
      </c>
      <c r="D17" s="13">
        <v>500</v>
      </c>
      <c r="E17" s="14">
        <v>500</v>
      </c>
      <c r="F17" s="14"/>
      <c r="I17" s="33" t="s">
        <v>7</v>
      </c>
      <c r="J17" s="34">
        <v>11450</v>
      </c>
      <c r="K17" s="35">
        <v>11250</v>
      </c>
    </row>
    <row r="18" spans="3:11" x14ac:dyDescent="0.2">
      <c r="C18" s="12" t="s">
        <v>32</v>
      </c>
      <c r="D18" s="13">
        <v>2000</v>
      </c>
      <c r="E18" s="14">
        <v>1930</v>
      </c>
      <c r="F18" s="14">
        <f>FebTable[[#This Row],[Actual Spending]]-FebTable[[#This Row],[Amount Budgeted]]</f>
        <v>-70</v>
      </c>
      <c r="I18" s="36" t="s">
        <v>42</v>
      </c>
      <c r="J18" s="37">
        <v>11450</v>
      </c>
      <c r="K18" s="38">
        <v>11250</v>
      </c>
    </row>
    <row r="19" spans="3:11" x14ac:dyDescent="0.2">
      <c r="C19" s="12"/>
      <c r="D19" s="13"/>
      <c r="E19" s="14"/>
      <c r="F19" s="14"/>
      <c r="I19" s="39"/>
      <c r="J19" s="39"/>
      <c r="K19" s="39"/>
    </row>
    <row r="20" spans="3:11" x14ac:dyDescent="0.2">
      <c r="C20" s="16" t="s">
        <v>14</v>
      </c>
      <c r="D20" s="18">
        <f>SUBTOTAL(9,D21:D22)</f>
        <v>6000</v>
      </c>
      <c r="E20" s="18">
        <f>SUBTOTAL(9,E21:E22)</f>
        <v>5967</v>
      </c>
      <c r="F20" s="18">
        <f>FebTable[[#This Row],[Actual Spending]]-FebTable[[#This Row],[Amount Budgeted]]</f>
        <v>-33</v>
      </c>
      <c r="I20" s="39"/>
      <c r="J20" s="39"/>
      <c r="K20" s="39"/>
    </row>
    <row r="21" spans="3:11" x14ac:dyDescent="0.2">
      <c r="C21" s="12" t="s">
        <v>34</v>
      </c>
      <c r="D21" s="13">
        <v>4500</v>
      </c>
      <c r="E21" s="14">
        <v>4677</v>
      </c>
      <c r="F21" s="14">
        <f>FebTable[[#This Row],[Actual Spending]]-FebTable[[#This Row],[Amount Budgeted]]</f>
        <v>177</v>
      </c>
      <c r="I21" s="39"/>
      <c r="J21" s="39"/>
      <c r="K21" s="39"/>
    </row>
    <row r="22" spans="3:11" x14ac:dyDescent="0.2">
      <c r="C22" s="12" t="s">
        <v>15</v>
      </c>
      <c r="D22" s="13">
        <v>1500</v>
      </c>
      <c r="E22" s="14">
        <v>1290</v>
      </c>
      <c r="F22" s="14">
        <f>FebTable[[#This Row],[Actual Spending]]-FebTable[[#This Row],[Amount Budgeted]]</f>
        <v>-210</v>
      </c>
      <c r="I22" s="39"/>
      <c r="J22" s="39"/>
      <c r="K22" s="39"/>
    </row>
    <row r="23" spans="3:11" x14ac:dyDescent="0.2">
      <c r="C23" s="12"/>
      <c r="D23" s="13"/>
      <c r="E23" s="14"/>
      <c r="F23" s="14"/>
      <c r="I23" s="39"/>
      <c r="J23" s="39"/>
      <c r="K23" s="39"/>
    </row>
    <row r="24" spans="3:11" x14ac:dyDescent="0.2">
      <c r="C24" s="16" t="s">
        <v>16</v>
      </c>
      <c r="D24" s="18">
        <f>SUBTOTAL(9,D25:D27)</f>
        <v>4500</v>
      </c>
      <c r="E24" s="18">
        <f>SUBTOTAL(9,E25:E27)</f>
        <v>5000</v>
      </c>
      <c r="F24" s="18">
        <f>FebTable[[#This Row],[Actual Spending]]-FebTable[[#This Row],[Amount Budgeted]]</f>
        <v>500</v>
      </c>
      <c r="I24" s="39"/>
      <c r="J24" s="39"/>
      <c r="K24" s="39"/>
    </row>
    <row r="25" spans="3:11" x14ac:dyDescent="0.2">
      <c r="C25" s="12" t="s">
        <v>17</v>
      </c>
      <c r="D25" s="13">
        <v>2000</v>
      </c>
      <c r="E25" s="14">
        <v>2000</v>
      </c>
      <c r="F25" s="14">
        <f>FebTable[[#This Row],[Actual Spending]]-FebTable[[#This Row],[Amount Budgeted]]</f>
        <v>0</v>
      </c>
      <c r="I25" s="39"/>
      <c r="J25" s="39"/>
      <c r="K25" s="39"/>
    </row>
    <row r="26" spans="3:11" x14ac:dyDescent="0.2">
      <c r="C26" s="12" t="s">
        <v>18</v>
      </c>
      <c r="D26" s="13">
        <v>2000</v>
      </c>
      <c r="E26" s="14">
        <v>3000</v>
      </c>
      <c r="F26" s="14">
        <f>FebTable[[#This Row],[Actual Spending]]-FebTable[[#This Row],[Amount Budgeted]]</f>
        <v>1000</v>
      </c>
    </row>
    <row r="27" spans="3:11" x14ac:dyDescent="0.2">
      <c r="C27" s="12" t="s">
        <v>19</v>
      </c>
      <c r="D27" s="13">
        <v>500</v>
      </c>
      <c r="E27" s="14">
        <v>0</v>
      </c>
      <c r="F27" s="14">
        <f>FebTable[[#This Row],[Actual Spending]]-FebTable[[#This Row],[Amount Budgeted]]</f>
        <v>-500</v>
      </c>
    </row>
    <row r="28" spans="3:11" x14ac:dyDescent="0.2">
      <c r="C28" s="12"/>
      <c r="D28" s="13"/>
      <c r="E28" s="14"/>
      <c r="F28" s="14"/>
    </row>
    <row r="29" spans="3:11" x14ac:dyDescent="0.2">
      <c r="C29" s="16" t="s">
        <v>20</v>
      </c>
      <c r="D29" s="18">
        <f>SUBTOTAL(9, D30:D31)</f>
        <v>2000</v>
      </c>
      <c r="E29" s="18">
        <f>SUBTOTAL(9,E30:E31)</f>
        <v>2000</v>
      </c>
      <c r="F29" s="18">
        <f>FebTable[[#This Row],[Actual Spending]]-FebTable[[#This Row],[Amount Budgeted]]</f>
        <v>0</v>
      </c>
    </row>
    <row r="30" spans="3:11" x14ac:dyDescent="0.2">
      <c r="C30" s="12" t="s">
        <v>21</v>
      </c>
      <c r="D30" s="13">
        <v>500</v>
      </c>
      <c r="E30" s="14">
        <v>500</v>
      </c>
      <c r="F30" s="14">
        <f>FebTable[[#This Row],[Actual Spending]]-FebTable[[#This Row],[Amount Budgeted]]</f>
        <v>0</v>
      </c>
    </row>
    <row r="31" spans="3:11" x14ac:dyDescent="0.2">
      <c r="C31" s="12" t="s">
        <v>22</v>
      </c>
      <c r="D31" s="13">
        <v>1500</v>
      </c>
      <c r="E31" s="14">
        <v>1500</v>
      </c>
      <c r="F31" s="14">
        <f>FebTable[[#This Row],[Actual Spending]]-FebTable[[#This Row],[Amount Budgeted]]</f>
        <v>0</v>
      </c>
    </row>
    <row r="32" spans="3:11" x14ac:dyDescent="0.2">
      <c r="C32" s="12"/>
      <c r="D32" s="13"/>
      <c r="E32" s="14"/>
      <c r="F32" s="14"/>
    </row>
    <row r="33" spans="3:6" x14ac:dyDescent="0.2">
      <c r="C33" s="16" t="s">
        <v>23</v>
      </c>
      <c r="D33" s="18">
        <f>SUBTOTAL(9,D34)</f>
        <v>2000</v>
      </c>
      <c r="E33" s="18">
        <f>SUBTOTAL(9,E34)</f>
        <v>2500</v>
      </c>
      <c r="F33" s="18">
        <f>FebTable[[#This Row],[Actual Spending]]-FebTable[[#This Row],[Amount Budgeted]]</f>
        <v>500</v>
      </c>
    </row>
    <row r="34" spans="3:6" x14ac:dyDescent="0.2">
      <c r="C34" s="12" t="s">
        <v>24</v>
      </c>
      <c r="D34" s="13">
        <v>2000</v>
      </c>
      <c r="E34" s="14">
        <v>2500</v>
      </c>
      <c r="F34" s="14">
        <f>FebTable[[#This Row],[Actual Spending]]-FebTable[[#This Row],[Amount Budgeted]]</f>
        <v>500</v>
      </c>
    </row>
    <row r="35" spans="3:6" x14ac:dyDescent="0.2">
      <c r="C35" s="12"/>
      <c r="D35" s="13"/>
      <c r="E35" s="14"/>
      <c r="F35" s="14"/>
    </row>
    <row r="36" spans="3:6" x14ac:dyDescent="0.2">
      <c r="C36" s="16" t="s">
        <v>29</v>
      </c>
      <c r="D36" s="18">
        <f>SUBTOTAL(9,D37:D39)</f>
        <v>8500</v>
      </c>
      <c r="E36" s="18">
        <f>SUBTOTAL(9,E37:E39)</f>
        <v>10554</v>
      </c>
      <c r="F36" s="18">
        <f>FebTable[[#This Row],[Actual Spending]]-FebTable[[#This Row],[Amount Budgeted]]</f>
        <v>2054</v>
      </c>
    </row>
    <row r="37" spans="3:6" x14ac:dyDescent="0.2">
      <c r="C37" s="12" t="s">
        <v>30</v>
      </c>
      <c r="D37" s="13">
        <v>500</v>
      </c>
      <c r="E37" s="14">
        <v>554</v>
      </c>
      <c r="F37" s="14">
        <f>FebTable[[#This Row],[Actual Spending]]-FebTable[[#This Row],[Amount Budgeted]]</f>
        <v>54</v>
      </c>
    </row>
    <row r="38" spans="3:6" x14ac:dyDescent="0.2">
      <c r="C38" s="24" t="s">
        <v>31</v>
      </c>
      <c r="D38" s="25">
        <v>4000</v>
      </c>
      <c r="E38" s="26">
        <v>5000</v>
      </c>
      <c r="F38" s="14">
        <f>FebTable[[#This Row],[Actual Spending]]-FebTable[[#This Row],[Amount Budgeted]]</f>
        <v>1000</v>
      </c>
    </row>
    <row r="39" spans="3:6" x14ac:dyDescent="0.2">
      <c r="C39" s="24" t="s">
        <v>33</v>
      </c>
      <c r="D39" s="25">
        <v>4000</v>
      </c>
      <c r="E39" s="26">
        <v>5000</v>
      </c>
      <c r="F39" s="14">
        <f>FebTable[[#This Row],[Actual Spending]]-FebTable[[#This Row],[Amount Budgeted]]</f>
        <v>1000</v>
      </c>
    </row>
    <row r="40" spans="3:6" x14ac:dyDescent="0.2">
      <c r="C40" s="12"/>
      <c r="D40" s="13"/>
      <c r="E40" s="14"/>
      <c r="F40" s="14"/>
    </row>
    <row r="41" spans="3:6" x14ac:dyDescent="0.2">
      <c r="C41" s="16" t="s">
        <v>25</v>
      </c>
      <c r="D41" s="17">
        <f>SUBTOTAL(9,D42:D44)</f>
        <v>3000</v>
      </c>
      <c r="E41" s="18">
        <f>SUBTOTAL(9,E42:E44)</f>
        <v>3000</v>
      </c>
      <c r="F41" s="18">
        <f>FebTable[[#This Row],[Actual Spending]]-FebTable[[#This Row],[Amount Budgeted]]</f>
        <v>0</v>
      </c>
    </row>
    <row r="42" spans="3:6" x14ac:dyDescent="0.2">
      <c r="C42" s="12" t="s">
        <v>26</v>
      </c>
      <c r="D42" s="13">
        <v>500</v>
      </c>
      <c r="E42" s="14">
        <v>0</v>
      </c>
      <c r="F42" s="14">
        <f>FebTable[[#This Row],[Actual Spending]]-FebTable[[#This Row],[Amount Budgeted]]</f>
        <v>-500</v>
      </c>
    </row>
    <row r="43" spans="3:6" x14ac:dyDescent="0.2">
      <c r="C43" s="12" t="s">
        <v>27</v>
      </c>
      <c r="D43" s="13">
        <v>500</v>
      </c>
      <c r="E43" s="14">
        <v>1000</v>
      </c>
      <c r="F43" s="14">
        <f>FebTable[[#This Row],[Actual Spending]]-FebTable[[#This Row],[Amount Budgeted]]</f>
        <v>500</v>
      </c>
    </row>
    <row r="44" spans="3:6" x14ac:dyDescent="0.2">
      <c r="C44" s="12" t="s">
        <v>28</v>
      </c>
      <c r="D44" s="13">
        <v>2000</v>
      </c>
      <c r="E44" s="14">
        <v>2000</v>
      </c>
      <c r="F44" s="14">
        <f>FebTable[[#This Row],[Actual Spending]]-FebTable[[#This Row],[Amount Budgeted]]</f>
        <v>0</v>
      </c>
    </row>
  </sheetData>
  <mergeCells count="1">
    <mergeCell ref="A1:XFD2"/>
  </mergeCells>
  <conditionalFormatting sqref="L5:L12">
    <cfRule type="dataBar" priority="23">
      <dataBar showValue="0">
        <cfvo type="min"/>
        <cfvo type="max"/>
        <color rgb="FF638EC6"/>
      </dataBar>
      <extLst>
        <ext xmlns:x14="http://schemas.microsoft.com/office/spreadsheetml/2009/9/main" uri="{B025F937-C7B1-47D3-B67F-A62EFF666E3E}">
          <x14:id>{5CBBC55C-8162-43D5-AA95-4B5F72DBEEBC}</x14:id>
        </ext>
      </extLst>
    </cfRule>
    <cfRule type="dataBar" priority="24">
      <dataBar>
        <cfvo type="min"/>
        <cfvo type="max"/>
        <color rgb="FF638EC6"/>
      </dataBar>
      <extLst>
        <ext xmlns:x14="http://schemas.microsoft.com/office/spreadsheetml/2009/9/main" uri="{B025F937-C7B1-47D3-B67F-A62EFF666E3E}">
          <x14:id>{1FE13A42-FD5D-4689-BC93-65698E5F8307}</x14:id>
        </ext>
      </extLst>
    </cfRule>
  </conditionalFormatting>
  <pageMargins left="0.7" right="0.7" top="0.75" bottom="0.75" header="0.3" footer="0.3"/>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5CBBC55C-8162-43D5-AA95-4B5F72DBEEBC}">
            <x14:dataBar minLength="0" maxLength="100" gradient="0">
              <x14:cfvo type="autoMin"/>
              <x14:cfvo type="autoMax"/>
              <x14:negativeFillColor rgb="FFFF0000"/>
              <x14:axisColor rgb="FF000000"/>
            </x14:dataBar>
          </x14:cfRule>
          <x14:cfRule type="dataBar" id="{1FE13A42-FD5D-4689-BC93-65698E5F8307}">
            <x14:dataBar minLength="0" maxLength="100" border="1" negativeBarBorderColorSameAsPositive="0">
              <x14:cfvo type="autoMin"/>
              <x14:cfvo type="autoMax"/>
              <x14:borderColor rgb="FF638EC6"/>
              <x14:negativeFillColor rgb="FFFF0000"/>
              <x14:negativeBorderColor rgb="FFFF0000"/>
              <x14:axisColor rgb="FF000000"/>
            </x14:dataBar>
          </x14:cfRule>
          <xm:sqref>L5:L12</xm:sqref>
        </x14:conditionalFormatting>
      </x14:conditionalFormattings>
    </ex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1708B-06B1-4098-AEC8-40E33B7BCA05}">
  <dimension ref="A1:L44"/>
  <sheetViews>
    <sheetView topLeftCell="A20" workbookViewId="0">
      <selection activeCell="A39" sqref="A1:XFD1048576"/>
    </sheetView>
  </sheetViews>
  <sheetFormatPr defaultRowHeight="12.75" x14ac:dyDescent="0.2"/>
  <cols>
    <col min="1" max="2" width="9.140625" style="5"/>
    <col min="3" max="3" width="24.85546875" style="5" bestFit="1" customWidth="1"/>
    <col min="4" max="4" width="30.42578125" style="5" bestFit="1" customWidth="1"/>
    <col min="5" max="5" width="27.7109375" style="5" bestFit="1" customWidth="1"/>
    <col min="6" max="6" width="18.42578125" style="5" bestFit="1" customWidth="1"/>
    <col min="7" max="8" width="9.140625" style="5"/>
    <col min="9" max="9" width="12" style="5" bestFit="1" customWidth="1"/>
    <col min="10" max="10" width="12.42578125" style="5" bestFit="1" customWidth="1"/>
    <col min="11" max="11" width="11.7109375" style="5" bestFit="1" customWidth="1"/>
    <col min="12" max="12" width="16.140625" style="5" bestFit="1" customWidth="1"/>
    <col min="13" max="16384" width="9.140625" style="5"/>
  </cols>
  <sheetData>
    <row r="1" spans="1:12" s="27" customFormat="1" ht="24" customHeight="1" x14ac:dyDescent="0.2">
      <c r="A1" s="27" t="s">
        <v>57</v>
      </c>
    </row>
    <row r="2" spans="1:12" s="27" customFormat="1" ht="24" customHeight="1" x14ac:dyDescent="0.2"/>
    <row r="4" spans="1:12" x14ac:dyDescent="0.2">
      <c r="C4" s="28" t="s">
        <v>0</v>
      </c>
      <c r="D4" s="29" t="s">
        <v>1</v>
      </c>
      <c r="E4" s="29" t="s">
        <v>2</v>
      </c>
      <c r="F4" s="29" t="s">
        <v>3</v>
      </c>
      <c r="I4" s="30" t="s">
        <v>0</v>
      </c>
      <c r="J4" s="30" t="s">
        <v>35</v>
      </c>
      <c r="K4" s="30" t="s">
        <v>36</v>
      </c>
      <c r="L4" s="30" t="s">
        <v>3</v>
      </c>
    </row>
    <row r="5" spans="1:12" x14ac:dyDescent="0.2">
      <c r="C5" s="15" t="s">
        <v>4</v>
      </c>
      <c r="D5" s="14">
        <f>SUBTOTAL(9,D6:D7)</f>
        <v>48000</v>
      </c>
      <c r="E5" s="14"/>
      <c r="F5" s="14"/>
      <c r="I5" s="5" t="s">
        <v>23</v>
      </c>
      <c r="J5" s="10">
        <f>_xlfn.XLOOKUP(MarSumm[[#This Row],[Category]],MarTable[Category],MarTable[Amount Budgeted])</f>
        <v>2000</v>
      </c>
      <c r="K5" s="10">
        <f>_xlfn.XLOOKUP(MarSumm[[#This Row],[Category]],MarTable[Category],MarTable[Actual Spending])</f>
        <v>1500</v>
      </c>
      <c r="L5" s="5">
        <f>_xlfn.XLOOKUP(MarSumm[[#This Row],[Category]],MarTable[Category],MarTable[Difference])</f>
        <v>-500</v>
      </c>
    </row>
    <row r="6" spans="1:12" x14ac:dyDescent="0.2">
      <c r="C6" s="12" t="s">
        <v>5</v>
      </c>
      <c r="D6" s="13">
        <v>40000</v>
      </c>
      <c r="E6" s="14"/>
      <c r="F6" s="14"/>
      <c r="I6" s="5" t="s">
        <v>20</v>
      </c>
      <c r="J6" s="10">
        <f>_xlfn.XLOOKUP(MarSumm[[#This Row],[Category]],MarTable[Category],MarTable[Amount Budgeted])</f>
        <v>2000</v>
      </c>
      <c r="K6" s="10">
        <f>_xlfn.XLOOKUP(MarSumm[[#This Row],[Category]],MarTable[Category],MarTable[Actual Spending])</f>
        <v>2000</v>
      </c>
      <c r="L6" s="5">
        <f>_xlfn.XLOOKUP(MarSumm[[#This Row],[Category]],MarTable[Category],MarTable[Difference])</f>
        <v>0</v>
      </c>
    </row>
    <row r="7" spans="1:12" x14ac:dyDescent="0.2">
      <c r="C7" s="12" t="s">
        <v>37</v>
      </c>
      <c r="D7" s="13">
        <v>8000</v>
      </c>
      <c r="E7" s="14"/>
      <c r="F7" s="14"/>
      <c r="I7" s="5" t="s">
        <v>25</v>
      </c>
      <c r="J7" s="10">
        <f>_xlfn.XLOOKUP(MarSumm[[#This Row],[Category]],MarTable[Category],MarTable[Amount Budgeted])</f>
        <v>2000</v>
      </c>
      <c r="K7" s="10">
        <f>_xlfn.XLOOKUP(MarSumm[[#This Row],[Category]],MarTable[Category],MarTable[Actual Spending])</f>
        <v>2000</v>
      </c>
      <c r="L7" s="5">
        <f>_xlfn.XLOOKUP(MarSumm[[#This Row],[Category]],MarTable[Category],MarTable[Difference])</f>
        <v>0</v>
      </c>
    </row>
    <row r="8" spans="1:12" x14ac:dyDescent="0.2">
      <c r="C8" s="12"/>
      <c r="D8" s="13"/>
      <c r="E8" s="14"/>
      <c r="F8" s="14"/>
      <c r="I8" s="5" t="s">
        <v>11</v>
      </c>
      <c r="J8" s="10">
        <f>_xlfn.XLOOKUP(MarSumm[[#This Row],[Category]],MarTable[Category],MarTable[Amount Budgeted])</f>
        <v>3300</v>
      </c>
      <c r="K8" s="10">
        <f>_xlfn.XLOOKUP(MarSumm[[#This Row],[Category]],MarTable[Category],MarTable[Actual Spending])</f>
        <v>3097</v>
      </c>
      <c r="L8" s="5">
        <f>_xlfn.XLOOKUP(MarSumm[[#This Row],[Category]],MarTable[Category],MarTable[Difference])</f>
        <v>-203</v>
      </c>
    </row>
    <row r="9" spans="1:12" x14ac:dyDescent="0.2">
      <c r="C9" s="15" t="s">
        <v>6</v>
      </c>
      <c r="D9" s="14"/>
      <c r="E9" s="14"/>
      <c r="F9" s="14"/>
      <c r="I9" s="5" t="s">
        <v>16</v>
      </c>
      <c r="J9" s="10">
        <f>_xlfn.XLOOKUP(MarSumm[[#This Row],[Category]],MarTable[Category],MarTable[Amount Budgeted])</f>
        <v>4500</v>
      </c>
      <c r="K9" s="10">
        <f>_xlfn.XLOOKUP(MarSumm[[#This Row],[Category]],MarTable[Category],MarTable[Actual Spending])</f>
        <v>6340</v>
      </c>
      <c r="L9" s="5">
        <f>_xlfn.XLOOKUP(MarSumm[[#This Row],[Category]],MarTable[Category],MarTable[Difference])</f>
        <v>1840</v>
      </c>
    </row>
    <row r="10" spans="1:12" x14ac:dyDescent="0.2">
      <c r="C10" s="16" t="s">
        <v>7</v>
      </c>
      <c r="D10" s="17">
        <f>SUBTOTAL(9,D11:D13)</f>
        <v>11450</v>
      </c>
      <c r="E10" s="18">
        <f>SUBTOTAL(9,E11:E13)</f>
        <v>11250</v>
      </c>
      <c r="F10" s="18">
        <f>MarTable[[#This Row],[Actual Spending]]-MarTable[[#This Row],[Amount Budgeted]]</f>
        <v>-200</v>
      </c>
      <c r="I10" s="5" t="s">
        <v>14</v>
      </c>
      <c r="J10" s="10">
        <f>_xlfn.XLOOKUP(MarSumm[[#This Row],[Category]],MarTable[Category],MarTable[Amount Budgeted])</f>
        <v>5500</v>
      </c>
      <c r="K10" s="10">
        <f>_xlfn.XLOOKUP(MarSumm[[#This Row],[Category]],MarTable[Category],MarTable[Actual Spending])</f>
        <v>4840</v>
      </c>
      <c r="L10" s="5">
        <f>_xlfn.XLOOKUP(MarSumm[[#This Row],[Category]],MarTable[Category],MarTable[Difference])</f>
        <v>-660</v>
      </c>
    </row>
    <row r="11" spans="1:12" x14ac:dyDescent="0.2">
      <c r="C11" s="12" t="s">
        <v>8</v>
      </c>
      <c r="D11" s="13">
        <v>10200</v>
      </c>
      <c r="E11" s="14">
        <v>10000</v>
      </c>
      <c r="F11" s="14">
        <f>MarTable[[#This Row],[Actual Spending]]-MarTable[[#This Row],[Amount Budgeted]]</f>
        <v>-200</v>
      </c>
      <c r="I11" s="5" t="s">
        <v>29</v>
      </c>
      <c r="J11" s="10">
        <f>_xlfn.XLOOKUP(MarSumm[[#This Row],[Category]],MarTable[Category],MarTable[Amount Budgeted])</f>
        <v>6500</v>
      </c>
      <c r="K11" s="10">
        <f>_xlfn.XLOOKUP(MarSumm[[#This Row],[Category]],MarTable[Category],MarTable[Actual Spending])</f>
        <v>7200</v>
      </c>
      <c r="L11" s="5">
        <f>_xlfn.XLOOKUP(MarSumm[[#This Row],[Category]],MarTable[Category],MarTable[Difference])</f>
        <v>700</v>
      </c>
    </row>
    <row r="12" spans="1:12" x14ac:dyDescent="0.2">
      <c r="C12" s="12" t="s">
        <v>9</v>
      </c>
      <c r="D12" s="13">
        <v>500</v>
      </c>
      <c r="E12" s="14">
        <v>500</v>
      </c>
      <c r="F12" s="14"/>
      <c r="I12" s="5" t="s">
        <v>7</v>
      </c>
      <c r="J12" s="10">
        <f>_xlfn.XLOOKUP(MarSumm[[#This Row],[Category]],MarTable[Category],MarTable[Amount Budgeted])</f>
        <v>11450</v>
      </c>
      <c r="K12" s="10">
        <f>_xlfn.XLOOKUP(MarSumm[[#This Row],[Category]],MarTable[Category],MarTable[Actual Spending])</f>
        <v>11250</v>
      </c>
      <c r="L12" s="5">
        <f>_xlfn.XLOOKUP(MarSumm[[#This Row],[Category]],MarTable[Category],MarTable[Difference])</f>
        <v>-200</v>
      </c>
    </row>
    <row r="13" spans="1:12" x14ac:dyDescent="0.2">
      <c r="C13" s="12" t="s">
        <v>10</v>
      </c>
      <c r="D13" s="13">
        <v>750</v>
      </c>
      <c r="E13" s="14">
        <v>750</v>
      </c>
      <c r="F13" s="14"/>
    </row>
    <row r="14" spans="1:12" x14ac:dyDescent="0.2">
      <c r="C14" s="12"/>
      <c r="D14" s="13"/>
      <c r="E14" s="14"/>
      <c r="F14" s="14"/>
    </row>
    <row r="15" spans="1:12" x14ac:dyDescent="0.2">
      <c r="C15" s="16" t="s">
        <v>11</v>
      </c>
      <c r="D15" s="18">
        <f>SUBTOTAL(9,D16:D18)</f>
        <v>3300</v>
      </c>
      <c r="E15" s="18">
        <f>SUBTOTAL(9,E16:E18)</f>
        <v>3097</v>
      </c>
      <c r="F15" s="18">
        <f>MarTable[[#This Row],[Actual Spending]]-MarTable[[#This Row],[Amount Budgeted]]</f>
        <v>-203</v>
      </c>
    </row>
    <row r="16" spans="1:12" x14ac:dyDescent="0.2">
      <c r="C16" s="12" t="s">
        <v>12</v>
      </c>
      <c r="D16" s="13">
        <v>800</v>
      </c>
      <c r="E16" s="14">
        <v>667</v>
      </c>
      <c r="F16" s="14">
        <f>MarTable[[#This Row],[Actual Spending]]-MarTable[[#This Row],[Amount Budgeted]]</f>
        <v>-133</v>
      </c>
      <c r="I16" s="31" t="s">
        <v>41</v>
      </c>
      <c r="J16" s="31" t="s">
        <v>39</v>
      </c>
      <c r="K16" s="32" t="s">
        <v>43</v>
      </c>
    </row>
    <row r="17" spans="3:11" x14ac:dyDescent="0.2">
      <c r="C17" s="12" t="s">
        <v>13</v>
      </c>
      <c r="D17" s="13">
        <v>500</v>
      </c>
      <c r="E17" s="14">
        <v>500</v>
      </c>
      <c r="F17" s="14"/>
      <c r="I17" s="33" t="s">
        <v>7</v>
      </c>
      <c r="J17" s="34">
        <v>11450</v>
      </c>
      <c r="K17" s="35">
        <v>11250</v>
      </c>
    </row>
    <row r="18" spans="3:11" x14ac:dyDescent="0.2">
      <c r="C18" s="12" t="s">
        <v>32</v>
      </c>
      <c r="D18" s="13">
        <v>2000</v>
      </c>
      <c r="E18" s="14">
        <v>1930</v>
      </c>
      <c r="F18" s="14">
        <f>MarTable[[#This Row],[Actual Spending]]-MarTable[[#This Row],[Amount Budgeted]]</f>
        <v>-70</v>
      </c>
      <c r="I18" s="36" t="s">
        <v>42</v>
      </c>
      <c r="J18" s="37">
        <v>11450</v>
      </c>
      <c r="K18" s="38">
        <v>11250</v>
      </c>
    </row>
    <row r="19" spans="3:11" x14ac:dyDescent="0.2">
      <c r="C19" s="12"/>
      <c r="D19" s="13"/>
      <c r="E19" s="14"/>
      <c r="F19" s="14"/>
      <c r="I19" s="39"/>
      <c r="J19" s="39"/>
      <c r="K19" s="39"/>
    </row>
    <row r="20" spans="3:11" x14ac:dyDescent="0.2">
      <c r="C20" s="16" t="s">
        <v>14</v>
      </c>
      <c r="D20" s="18">
        <f>SUBTOTAL(9,D21:D22)</f>
        <v>5500</v>
      </c>
      <c r="E20" s="18">
        <f>SUBTOTAL(9,E21:E22)</f>
        <v>4840</v>
      </c>
      <c r="F20" s="18">
        <f>MarTable[[#This Row],[Actual Spending]]-MarTable[[#This Row],[Amount Budgeted]]</f>
        <v>-660</v>
      </c>
      <c r="I20" s="39"/>
      <c r="J20" s="39"/>
      <c r="K20" s="39"/>
    </row>
    <row r="21" spans="3:11" x14ac:dyDescent="0.2">
      <c r="C21" s="12" t="s">
        <v>34</v>
      </c>
      <c r="D21" s="13">
        <v>4000</v>
      </c>
      <c r="E21" s="14">
        <v>3750</v>
      </c>
      <c r="F21" s="14">
        <f>MarTable[[#This Row],[Actual Spending]]-MarTable[[#This Row],[Amount Budgeted]]</f>
        <v>-250</v>
      </c>
      <c r="I21" s="39"/>
      <c r="J21" s="39"/>
      <c r="K21" s="39"/>
    </row>
    <row r="22" spans="3:11" x14ac:dyDescent="0.2">
      <c r="C22" s="12" t="s">
        <v>15</v>
      </c>
      <c r="D22" s="13">
        <v>1500</v>
      </c>
      <c r="E22" s="14">
        <v>1090</v>
      </c>
      <c r="F22" s="14">
        <f>MarTable[[#This Row],[Actual Spending]]-MarTable[[#This Row],[Amount Budgeted]]</f>
        <v>-410</v>
      </c>
      <c r="I22" s="39"/>
      <c r="J22" s="39"/>
      <c r="K22" s="39"/>
    </row>
    <row r="23" spans="3:11" x14ac:dyDescent="0.2">
      <c r="C23" s="12"/>
      <c r="D23" s="13"/>
      <c r="E23" s="14"/>
      <c r="F23" s="14"/>
      <c r="I23" s="39"/>
      <c r="J23" s="39"/>
      <c r="K23" s="39"/>
    </row>
    <row r="24" spans="3:11" x14ac:dyDescent="0.2">
      <c r="C24" s="16" t="s">
        <v>16</v>
      </c>
      <c r="D24" s="18">
        <f>SUBTOTAL(9,D25:D27)</f>
        <v>4500</v>
      </c>
      <c r="E24" s="18">
        <f>SUBTOTAL(9,E25:E27)</f>
        <v>6340</v>
      </c>
      <c r="F24" s="18">
        <f>MarTable[[#This Row],[Actual Spending]]-MarTable[[#This Row],[Amount Budgeted]]</f>
        <v>1840</v>
      </c>
      <c r="I24" s="39"/>
      <c r="J24" s="39"/>
      <c r="K24" s="39"/>
    </row>
    <row r="25" spans="3:11" x14ac:dyDescent="0.2">
      <c r="C25" s="12" t="s">
        <v>17</v>
      </c>
      <c r="D25" s="13">
        <v>2000</v>
      </c>
      <c r="E25" s="14">
        <v>2000</v>
      </c>
      <c r="F25" s="14">
        <f>MarTable[[#This Row],[Actual Spending]]-MarTable[[#This Row],[Amount Budgeted]]</f>
        <v>0</v>
      </c>
      <c r="I25" s="39"/>
      <c r="J25" s="39"/>
      <c r="K25" s="39"/>
    </row>
    <row r="26" spans="3:11" x14ac:dyDescent="0.2">
      <c r="C26" s="12" t="s">
        <v>18</v>
      </c>
      <c r="D26" s="13">
        <v>1000</v>
      </c>
      <c r="E26" s="14">
        <v>2500</v>
      </c>
      <c r="F26" s="14">
        <f>MarTable[[#This Row],[Actual Spending]]-MarTable[[#This Row],[Amount Budgeted]]</f>
        <v>1500</v>
      </c>
    </row>
    <row r="27" spans="3:11" x14ac:dyDescent="0.2">
      <c r="C27" s="12" t="s">
        <v>19</v>
      </c>
      <c r="D27" s="13">
        <v>1500</v>
      </c>
      <c r="E27" s="14">
        <v>1840</v>
      </c>
      <c r="F27" s="14">
        <f>MarTable[[#This Row],[Actual Spending]]-MarTable[[#This Row],[Amount Budgeted]]</f>
        <v>340</v>
      </c>
    </row>
    <row r="28" spans="3:11" x14ac:dyDescent="0.2">
      <c r="C28" s="12"/>
      <c r="D28" s="13"/>
      <c r="E28" s="14"/>
      <c r="F28" s="14"/>
    </row>
    <row r="29" spans="3:11" x14ac:dyDescent="0.2">
      <c r="C29" s="16" t="s">
        <v>20</v>
      </c>
      <c r="D29" s="18">
        <f>SUBTOTAL(9, D30:D31)</f>
        <v>2000</v>
      </c>
      <c r="E29" s="18">
        <f>SUBTOTAL(9,E30:E31)</f>
        <v>2000</v>
      </c>
      <c r="F29" s="18">
        <f>MarTable[[#This Row],[Actual Spending]]-MarTable[[#This Row],[Amount Budgeted]]</f>
        <v>0</v>
      </c>
    </row>
    <row r="30" spans="3:11" x14ac:dyDescent="0.2">
      <c r="C30" s="12" t="s">
        <v>21</v>
      </c>
      <c r="D30" s="13">
        <v>500</v>
      </c>
      <c r="E30" s="14">
        <v>500</v>
      </c>
      <c r="F30" s="14">
        <f>MarTable[[#This Row],[Actual Spending]]-MarTable[[#This Row],[Amount Budgeted]]</f>
        <v>0</v>
      </c>
    </row>
    <row r="31" spans="3:11" x14ac:dyDescent="0.2">
      <c r="C31" s="12" t="s">
        <v>22</v>
      </c>
      <c r="D31" s="13">
        <v>1500</v>
      </c>
      <c r="E31" s="14">
        <v>1500</v>
      </c>
      <c r="F31" s="14">
        <f>MarTable[[#This Row],[Actual Spending]]-MarTable[[#This Row],[Amount Budgeted]]</f>
        <v>0</v>
      </c>
    </row>
    <row r="32" spans="3:11" x14ac:dyDescent="0.2">
      <c r="C32" s="12"/>
      <c r="D32" s="13"/>
      <c r="E32" s="14"/>
      <c r="F32" s="14"/>
    </row>
    <row r="33" spans="3:6" x14ac:dyDescent="0.2">
      <c r="C33" s="16" t="s">
        <v>23</v>
      </c>
      <c r="D33" s="18">
        <f>SUBTOTAL(9,D34)</f>
        <v>2000</v>
      </c>
      <c r="E33" s="18">
        <f>SUBTOTAL(9,E34)</f>
        <v>1500</v>
      </c>
      <c r="F33" s="18">
        <f>MarTable[[#This Row],[Actual Spending]]-MarTable[[#This Row],[Amount Budgeted]]</f>
        <v>-500</v>
      </c>
    </row>
    <row r="34" spans="3:6" x14ac:dyDescent="0.2">
      <c r="C34" s="12" t="s">
        <v>24</v>
      </c>
      <c r="D34" s="13">
        <v>2000</v>
      </c>
      <c r="E34" s="14">
        <v>1500</v>
      </c>
      <c r="F34" s="14">
        <f>MarTable[[#This Row],[Actual Spending]]-MarTable[[#This Row],[Amount Budgeted]]</f>
        <v>-500</v>
      </c>
    </row>
    <row r="35" spans="3:6" x14ac:dyDescent="0.2">
      <c r="C35" s="12"/>
      <c r="D35" s="13"/>
      <c r="E35" s="14"/>
      <c r="F35" s="14"/>
    </row>
    <row r="36" spans="3:6" x14ac:dyDescent="0.2">
      <c r="C36" s="16" t="s">
        <v>29</v>
      </c>
      <c r="D36" s="18">
        <f>SUBTOTAL(9,D37:D39)</f>
        <v>6500</v>
      </c>
      <c r="E36" s="18">
        <f>SUBTOTAL(9,E37:E39)</f>
        <v>7200</v>
      </c>
      <c r="F36" s="18">
        <f>MarTable[[#This Row],[Actual Spending]]-MarTable[[#This Row],[Amount Budgeted]]</f>
        <v>700</v>
      </c>
    </row>
    <row r="37" spans="3:6" x14ac:dyDescent="0.2">
      <c r="C37" s="12" t="s">
        <v>30</v>
      </c>
      <c r="D37" s="13">
        <v>500</v>
      </c>
      <c r="E37" s="14">
        <v>0</v>
      </c>
      <c r="F37" s="14">
        <f>MarTable[[#This Row],[Actual Spending]]-MarTable[[#This Row],[Amount Budgeted]]</f>
        <v>-500</v>
      </c>
    </row>
    <row r="38" spans="3:6" x14ac:dyDescent="0.2">
      <c r="C38" s="24" t="s">
        <v>31</v>
      </c>
      <c r="D38" s="25">
        <v>3000</v>
      </c>
      <c r="E38" s="26">
        <v>3000</v>
      </c>
      <c r="F38" s="14">
        <f>MarTable[[#This Row],[Actual Spending]]-MarTable[[#This Row],[Amount Budgeted]]</f>
        <v>0</v>
      </c>
    </row>
    <row r="39" spans="3:6" x14ac:dyDescent="0.2">
      <c r="C39" s="24" t="s">
        <v>33</v>
      </c>
      <c r="D39" s="25">
        <v>3000</v>
      </c>
      <c r="E39" s="26">
        <v>4200</v>
      </c>
      <c r="F39" s="14">
        <f>MarTable[[#This Row],[Actual Spending]]-MarTable[[#This Row],[Amount Budgeted]]</f>
        <v>1200</v>
      </c>
    </row>
    <row r="40" spans="3:6" x14ac:dyDescent="0.2">
      <c r="C40" s="12"/>
      <c r="D40" s="13"/>
      <c r="E40" s="14"/>
      <c r="F40" s="14"/>
    </row>
    <row r="41" spans="3:6" x14ac:dyDescent="0.2">
      <c r="C41" s="16" t="s">
        <v>25</v>
      </c>
      <c r="D41" s="17">
        <f>SUBTOTAL(9,D42:D44)</f>
        <v>2000</v>
      </c>
      <c r="E41" s="18">
        <f>SUBTOTAL(9,E42:E44)</f>
        <v>2000</v>
      </c>
      <c r="F41" s="18">
        <f>MarTable[[#This Row],[Actual Spending]]-MarTable[[#This Row],[Amount Budgeted]]</f>
        <v>0</v>
      </c>
    </row>
    <row r="42" spans="3:6" x14ac:dyDescent="0.2">
      <c r="C42" s="12" t="s">
        <v>26</v>
      </c>
      <c r="D42" s="13">
        <v>500</v>
      </c>
      <c r="E42" s="14">
        <v>500</v>
      </c>
      <c r="F42" s="14">
        <f>MarTable[[#This Row],[Actual Spending]]-MarTable[[#This Row],[Amount Budgeted]]</f>
        <v>0</v>
      </c>
    </row>
    <row r="43" spans="3:6" x14ac:dyDescent="0.2">
      <c r="C43" s="12" t="s">
        <v>27</v>
      </c>
      <c r="D43" s="13">
        <v>500</v>
      </c>
      <c r="E43" s="14">
        <v>500</v>
      </c>
      <c r="F43" s="14">
        <f>MarTable[[#This Row],[Actual Spending]]-MarTable[[#This Row],[Amount Budgeted]]</f>
        <v>0</v>
      </c>
    </row>
    <row r="44" spans="3:6" x14ac:dyDescent="0.2">
      <c r="C44" s="12" t="s">
        <v>28</v>
      </c>
      <c r="D44" s="13">
        <v>1000</v>
      </c>
      <c r="E44" s="14">
        <v>1000</v>
      </c>
      <c r="F44" s="14">
        <f>MarTable[[#This Row],[Actual Spending]]-MarTable[[#This Row],[Amount Budgeted]]</f>
        <v>0</v>
      </c>
    </row>
  </sheetData>
  <mergeCells count="1">
    <mergeCell ref="A1:XFD2"/>
  </mergeCells>
  <conditionalFormatting sqref="L5:L12">
    <cfRule type="dataBar" priority="21">
      <dataBar showValue="0">
        <cfvo type="min"/>
        <cfvo type="max"/>
        <color rgb="FF638EC6"/>
      </dataBar>
      <extLst>
        <ext xmlns:x14="http://schemas.microsoft.com/office/spreadsheetml/2009/9/main" uri="{B025F937-C7B1-47D3-B67F-A62EFF666E3E}">
          <x14:id>{87063C2B-2E58-421B-85F4-0AC1B462A912}</x14:id>
        </ext>
      </extLst>
    </cfRule>
    <cfRule type="dataBar" priority="22">
      <dataBar>
        <cfvo type="min"/>
        <cfvo type="max"/>
        <color rgb="FF638EC6"/>
      </dataBar>
      <extLst>
        <ext xmlns:x14="http://schemas.microsoft.com/office/spreadsheetml/2009/9/main" uri="{B025F937-C7B1-47D3-B67F-A62EFF666E3E}">
          <x14:id>{F8BF87A9-6097-49B5-85D3-1B28895FFE0F}</x14:id>
        </ext>
      </extLst>
    </cfRule>
  </conditionalFormatting>
  <pageMargins left="0.7" right="0.7" top="0.75" bottom="0.75" header="0.3" footer="0.3"/>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87063C2B-2E58-421B-85F4-0AC1B462A912}">
            <x14:dataBar minLength="0" maxLength="100" gradient="0">
              <x14:cfvo type="autoMin"/>
              <x14:cfvo type="autoMax"/>
              <x14:negativeFillColor rgb="FFFF0000"/>
              <x14:axisColor rgb="FF000000"/>
            </x14:dataBar>
          </x14:cfRule>
          <x14:cfRule type="dataBar" id="{F8BF87A9-6097-49B5-85D3-1B28895FFE0F}">
            <x14:dataBar minLength="0" maxLength="100" border="1" negativeBarBorderColorSameAsPositive="0">
              <x14:cfvo type="autoMin"/>
              <x14:cfvo type="autoMax"/>
              <x14:borderColor rgb="FF638EC6"/>
              <x14:negativeFillColor rgb="FFFF0000"/>
              <x14:negativeBorderColor rgb="FFFF0000"/>
              <x14:axisColor rgb="FF000000"/>
            </x14:dataBar>
          </x14:cfRule>
          <xm:sqref>L5:L12</xm:sqref>
        </x14:conditionalFormatting>
      </x14:conditionalFormattings>
    </ex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DB3A-F0CE-4C9E-AD11-4CF90681B3AB}">
  <dimension ref="A1:L44"/>
  <sheetViews>
    <sheetView topLeftCell="B15" workbookViewId="0">
      <selection activeCell="B10" sqref="A1:XFD1048576"/>
    </sheetView>
  </sheetViews>
  <sheetFormatPr defaultRowHeight="12.75" x14ac:dyDescent="0.2"/>
  <cols>
    <col min="1" max="2" width="9.140625" style="5"/>
    <col min="3" max="3" width="24.85546875" style="5" bestFit="1" customWidth="1"/>
    <col min="4" max="4" width="30.42578125" style="5" bestFit="1" customWidth="1"/>
    <col min="5" max="5" width="27.7109375" style="5" bestFit="1" customWidth="1"/>
    <col min="6" max="6" width="18.42578125" style="5" bestFit="1" customWidth="1"/>
    <col min="7" max="8" width="9.140625" style="5"/>
    <col min="9" max="9" width="18.85546875" style="5" bestFit="1" customWidth="1"/>
    <col min="10" max="10" width="12.42578125" style="5" bestFit="1" customWidth="1"/>
    <col min="11" max="11" width="11.7109375" style="5" bestFit="1" customWidth="1"/>
    <col min="12" max="12" width="16.140625" style="5" bestFit="1" customWidth="1"/>
    <col min="13" max="16384" width="9.140625" style="5"/>
  </cols>
  <sheetData>
    <row r="1" spans="1:12" s="27" customFormat="1" ht="24" customHeight="1" x14ac:dyDescent="0.2">
      <c r="A1" s="27" t="s">
        <v>57</v>
      </c>
    </row>
    <row r="2" spans="1:12" s="27" customFormat="1" ht="24" customHeight="1" x14ac:dyDescent="0.2"/>
    <row r="4" spans="1:12" x14ac:dyDescent="0.2">
      <c r="C4" s="28" t="s">
        <v>0</v>
      </c>
      <c r="D4" s="29" t="s">
        <v>1</v>
      </c>
      <c r="E4" s="29" t="s">
        <v>2</v>
      </c>
      <c r="F4" s="29" t="s">
        <v>3</v>
      </c>
      <c r="I4" s="30" t="s">
        <v>0</v>
      </c>
      <c r="J4" s="30" t="s">
        <v>35</v>
      </c>
      <c r="K4" s="30" t="s">
        <v>36</v>
      </c>
      <c r="L4" s="30" t="s">
        <v>3</v>
      </c>
    </row>
    <row r="5" spans="1:12" x14ac:dyDescent="0.2">
      <c r="C5" s="15" t="s">
        <v>4</v>
      </c>
      <c r="D5" s="14">
        <f>SUBTOTAL(9,D6:D7)</f>
        <v>51000</v>
      </c>
      <c r="E5" s="14"/>
      <c r="F5" s="14"/>
      <c r="I5" s="5" t="s">
        <v>23</v>
      </c>
      <c r="J5" s="10">
        <f>_xlfn.XLOOKUP(AprSumm[[#This Row],[Category]],AprTable[Category],AprTable[Amount Budgeted])</f>
        <v>2000</v>
      </c>
      <c r="K5" s="10">
        <f>_xlfn.XLOOKUP(AprSumm[[#This Row],[Category]],AprTable[Category],AprTable[Actual Spending])</f>
        <v>1760</v>
      </c>
      <c r="L5" s="5">
        <f>_xlfn.XLOOKUP(AprSumm[[#This Row],[Category]],AprTable[Category],AprTable[Difference])</f>
        <v>-240</v>
      </c>
    </row>
    <row r="6" spans="1:12" x14ac:dyDescent="0.2">
      <c r="C6" s="12" t="s">
        <v>5</v>
      </c>
      <c r="D6" s="13">
        <v>40000</v>
      </c>
      <c r="E6" s="14"/>
      <c r="F6" s="14"/>
      <c r="I6" s="5" t="s">
        <v>20</v>
      </c>
      <c r="J6" s="10">
        <f>_xlfn.XLOOKUP(AprSumm[[#This Row],[Category]],AprTable[Category],AprTable[Amount Budgeted])</f>
        <v>2000</v>
      </c>
      <c r="K6" s="10">
        <f>_xlfn.XLOOKUP(AprSumm[[#This Row],[Category]],AprTable[Category],AprTable[Actual Spending])</f>
        <v>2000</v>
      </c>
      <c r="L6" s="5">
        <f>_xlfn.XLOOKUP(AprSumm[[#This Row],[Category]],AprTable[Category],AprTable[Difference])</f>
        <v>0</v>
      </c>
    </row>
    <row r="7" spans="1:12" x14ac:dyDescent="0.2">
      <c r="C7" s="12" t="s">
        <v>37</v>
      </c>
      <c r="D7" s="13">
        <v>11000</v>
      </c>
      <c r="E7" s="14"/>
      <c r="F7" s="14"/>
      <c r="I7" s="5" t="s">
        <v>25</v>
      </c>
      <c r="J7" s="10">
        <f>_xlfn.XLOOKUP(AprSumm[[#This Row],[Category]],AprTable[Category],AprTable[Amount Budgeted])</f>
        <v>2000</v>
      </c>
      <c r="K7" s="10">
        <f>_xlfn.XLOOKUP(AprSumm[[#This Row],[Category]],AprTable[Category],AprTable[Actual Spending])</f>
        <v>4000</v>
      </c>
      <c r="L7" s="5">
        <f>_xlfn.XLOOKUP(AprSumm[[#This Row],[Category]],AprTable[Category],AprTable[Difference])</f>
        <v>2000</v>
      </c>
    </row>
    <row r="8" spans="1:12" x14ac:dyDescent="0.2">
      <c r="C8" s="12"/>
      <c r="D8" s="13"/>
      <c r="E8" s="14"/>
      <c r="F8" s="14"/>
      <c r="I8" s="5" t="s">
        <v>11</v>
      </c>
      <c r="J8" s="10">
        <f>_xlfn.XLOOKUP(AprSumm[[#This Row],[Category]],AprTable[Category],AprTable[Amount Budgeted])</f>
        <v>2800</v>
      </c>
      <c r="K8" s="10">
        <f>_xlfn.XLOOKUP(AprSumm[[#This Row],[Category]],AprTable[Category],AprTable[Actual Spending])</f>
        <v>2950</v>
      </c>
      <c r="L8" s="5">
        <f>_xlfn.XLOOKUP(AprSumm[[#This Row],[Category]],AprTable[Category],AprTable[Difference])</f>
        <v>150</v>
      </c>
    </row>
    <row r="9" spans="1:12" x14ac:dyDescent="0.2">
      <c r="C9" s="15" t="s">
        <v>6</v>
      </c>
      <c r="D9" s="14"/>
      <c r="E9" s="14"/>
      <c r="F9" s="14"/>
      <c r="I9" s="5" t="s">
        <v>16</v>
      </c>
      <c r="J9" s="10">
        <f>_xlfn.XLOOKUP(AprSumm[[#This Row],[Category]],AprTable[Category],AprTable[Amount Budgeted])</f>
        <v>6000</v>
      </c>
      <c r="K9" s="10">
        <f>_xlfn.XLOOKUP(AprSumm[[#This Row],[Category]],AprTable[Category],AprTable[Actual Spending])</f>
        <v>5600</v>
      </c>
      <c r="L9" s="5">
        <f>_xlfn.XLOOKUP(AprSumm[[#This Row],[Category]],AprTable[Category],AprTable[Difference])</f>
        <v>-400</v>
      </c>
    </row>
    <row r="10" spans="1:12" x14ac:dyDescent="0.2">
      <c r="C10" s="16" t="s">
        <v>7</v>
      </c>
      <c r="D10" s="17">
        <f>SUBTOTAL(9,D11:D13)</f>
        <v>11250</v>
      </c>
      <c r="E10" s="18">
        <f>SUBTOTAL(9,E11:E13)</f>
        <v>11250</v>
      </c>
      <c r="F10" s="18">
        <f>AprTable[[#This Row],[Actual Spending]]-AprTable[[#This Row],[Amount Budgeted]]</f>
        <v>0</v>
      </c>
      <c r="I10" s="5" t="s">
        <v>14</v>
      </c>
      <c r="J10" s="10">
        <f>_xlfn.XLOOKUP(AprSumm[[#This Row],[Category]],AprTable[Category],AprTable[Amount Budgeted])</f>
        <v>5000</v>
      </c>
      <c r="K10" s="10">
        <f>_xlfn.XLOOKUP(AprSumm[[#This Row],[Category]],AprTable[Category],AprTable[Actual Spending])</f>
        <v>5450</v>
      </c>
      <c r="L10" s="5">
        <f>_xlfn.XLOOKUP(AprSumm[[#This Row],[Category]],AprTable[Category],AprTable[Difference])</f>
        <v>450</v>
      </c>
    </row>
    <row r="11" spans="1:12" x14ac:dyDescent="0.2">
      <c r="C11" s="12" t="s">
        <v>8</v>
      </c>
      <c r="D11" s="13">
        <v>10000</v>
      </c>
      <c r="E11" s="14">
        <v>10000</v>
      </c>
      <c r="F11" s="14">
        <f>AprTable[[#This Row],[Actual Spending]]-AprTable[[#This Row],[Amount Budgeted]]</f>
        <v>0</v>
      </c>
      <c r="I11" s="5" t="s">
        <v>29</v>
      </c>
      <c r="J11" s="10">
        <f>_xlfn.XLOOKUP(AprSumm[[#This Row],[Category]],AprTable[Category],AprTable[Amount Budgeted])</f>
        <v>7500</v>
      </c>
      <c r="K11" s="10">
        <f>_xlfn.XLOOKUP(AprSumm[[#This Row],[Category]],AprTable[Category],AprTable[Actual Spending])</f>
        <v>7200</v>
      </c>
      <c r="L11" s="5">
        <f>_xlfn.XLOOKUP(AprSumm[[#This Row],[Category]],AprTable[Category],AprTable[Difference])</f>
        <v>-300</v>
      </c>
    </row>
    <row r="12" spans="1:12" x14ac:dyDescent="0.2">
      <c r="C12" s="12" t="s">
        <v>9</v>
      </c>
      <c r="D12" s="13">
        <v>500</v>
      </c>
      <c r="E12" s="14">
        <v>500</v>
      </c>
      <c r="F12" s="14"/>
      <c r="I12" s="5" t="s">
        <v>7</v>
      </c>
      <c r="J12" s="10">
        <f>_xlfn.XLOOKUP(AprSumm[[#This Row],[Category]],AprTable[Category],AprTable[Amount Budgeted])</f>
        <v>11250</v>
      </c>
      <c r="K12" s="10">
        <f>_xlfn.XLOOKUP(AprSumm[[#This Row],[Category]],AprTable[Category],AprTable[Actual Spending])</f>
        <v>11250</v>
      </c>
      <c r="L12" s="5">
        <f>_xlfn.XLOOKUP(AprSumm[[#This Row],[Category]],AprTable[Category],AprTable[Difference])</f>
        <v>0</v>
      </c>
    </row>
    <row r="13" spans="1:12" x14ac:dyDescent="0.2">
      <c r="C13" s="12" t="s">
        <v>10</v>
      </c>
      <c r="D13" s="13">
        <v>750</v>
      </c>
      <c r="E13" s="14">
        <v>750</v>
      </c>
      <c r="F13" s="14"/>
    </row>
    <row r="14" spans="1:12" x14ac:dyDescent="0.2">
      <c r="C14" s="12"/>
      <c r="D14" s="13"/>
      <c r="E14" s="14"/>
      <c r="F14" s="14"/>
    </row>
    <row r="15" spans="1:12" x14ac:dyDescent="0.2">
      <c r="C15" s="16" t="s">
        <v>11</v>
      </c>
      <c r="D15" s="18">
        <f>SUBTOTAL(9,D16:D18)</f>
        <v>2800</v>
      </c>
      <c r="E15" s="18">
        <f>SUBTOTAL(9,E16:E18)</f>
        <v>2950</v>
      </c>
      <c r="F15" s="18">
        <f>AprTable[[#This Row],[Actual Spending]]-AprTable[[#This Row],[Amount Budgeted]]</f>
        <v>150</v>
      </c>
    </row>
    <row r="16" spans="1:12" x14ac:dyDescent="0.2">
      <c r="C16" s="12" t="s">
        <v>12</v>
      </c>
      <c r="D16" s="13">
        <v>800</v>
      </c>
      <c r="E16" s="14">
        <v>850</v>
      </c>
      <c r="F16" s="14">
        <f>AprTable[[#This Row],[Actual Spending]]-AprTable[[#This Row],[Amount Budgeted]]</f>
        <v>50</v>
      </c>
      <c r="I16" s="40" t="s">
        <v>41</v>
      </c>
      <c r="J16" s="40" t="s">
        <v>39</v>
      </c>
      <c r="K16" s="41" t="s">
        <v>43</v>
      </c>
    </row>
    <row r="17" spans="3:11" x14ac:dyDescent="0.2">
      <c r="C17" s="12" t="s">
        <v>13</v>
      </c>
      <c r="D17" s="13">
        <v>500</v>
      </c>
      <c r="E17" s="14">
        <v>500</v>
      </c>
      <c r="F17" s="14"/>
      <c r="I17" s="42" t="s">
        <v>23</v>
      </c>
      <c r="J17" s="43">
        <v>2000</v>
      </c>
      <c r="K17" s="44">
        <v>1760</v>
      </c>
    </row>
    <row r="18" spans="3:11" x14ac:dyDescent="0.2">
      <c r="C18" s="12" t="s">
        <v>32</v>
      </c>
      <c r="D18" s="13">
        <v>1500</v>
      </c>
      <c r="E18" s="14">
        <v>1600</v>
      </c>
      <c r="F18" s="14">
        <f>AprTable[[#This Row],[Actual Spending]]-AprTable[[#This Row],[Amount Budgeted]]</f>
        <v>100</v>
      </c>
      <c r="I18" s="45" t="s">
        <v>14</v>
      </c>
      <c r="J18" s="46">
        <v>5000</v>
      </c>
      <c r="K18" s="47">
        <v>5450</v>
      </c>
    </row>
    <row r="19" spans="3:11" x14ac:dyDescent="0.2">
      <c r="C19" s="12"/>
      <c r="D19" s="13"/>
      <c r="E19" s="14"/>
      <c r="F19" s="14"/>
      <c r="I19" s="45" t="s">
        <v>7</v>
      </c>
      <c r="J19" s="46">
        <v>11250</v>
      </c>
      <c r="K19" s="47">
        <v>11250</v>
      </c>
    </row>
    <row r="20" spans="3:11" x14ac:dyDescent="0.2">
      <c r="C20" s="16" t="s">
        <v>14</v>
      </c>
      <c r="D20" s="18">
        <f>SUBTOTAL(9,D21:D22)</f>
        <v>5000</v>
      </c>
      <c r="E20" s="18">
        <f>SUBTOTAL(9,E21:E22)</f>
        <v>5450</v>
      </c>
      <c r="F20" s="18">
        <f>AprTable[[#This Row],[Actual Spending]]-AprTable[[#This Row],[Amount Budgeted]]</f>
        <v>450</v>
      </c>
      <c r="I20" s="45" t="s">
        <v>20</v>
      </c>
      <c r="J20" s="46">
        <v>2000</v>
      </c>
      <c r="K20" s="47">
        <v>2000</v>
      </c>
    </row>
    <row r="21" spans="3:11" x14ac:dyDescent="0.2">
      <c r="C21" s="12" t="s">
        <v>34</v>
      </c>
      <c r="D21" s="13">
        <v>4000</v>
      </c>
      <c r="E21" s="14">
        <v>4150</v>
      </c>
      <c r="F21" s="14">
        <f>AprTable[[#This Row],[Actual Spending]]-AprTable[[#This Row],[Amount Budgeted]]</f>
        <v>150</v>
      </c>
      <c r="I21" s="45" t="s">
        <v>29</v>
      </c>
      <c r="J21" s="46">
        <v>7500</v>
      </c>
      <c r="K21" s="47">
        <v>7200</v>
      </c>
    </row>
    <row r="22" spans="3:11" x14ac:dyDescent="0.2">
      <c r="C22" s="12" t="s">
        <v>15</v>
      </c>
      <c r="D22" s="13">
        <v>1000</v>
      </c>
      <c r="E22" s="14">
        <v>1300</v>
      </c>
      <c r="F22" s="14">
        <f>AprTable[[#This Row],[Actual Spending]]-AprTable[[#This Row],[Amount Budgeted]]</f>
        <v>300</v>
      </c>
      <c r="I22" s="45" t="s">
        <v>25</v>
      </c>
      <c r="J22" s="46">
        <v>2000</v>
      </c>
      <c r="K22" s="47">
        <v>4000</v>
      </c>
    </row>
    <row r="23" spans="3:11" x14ac:dyDescent="0.2">
      <c r="C23" s="12"/>
      <c r="D23" s="13"/>
      <c r="E23" s="14"/>
      <c r="F23" s="14"/>
      <c r="I23" s="45" t="s">
        <v>16</v>
      </c>
      <c r="J23" s="46">
        <v>6000</v>
      </c>
      <c r="K23" s="47">
        <v>5600</v>
      </c>
    </row>
    <row r="24" spans="3:11" x14ac:dyDescent="0.2">
      <c r="C24" s="16" t="s">
        <v>16</v>
      </c>
      <c r="D24" s="18">
        <f>SUBTOTAL(9,D25:D27)</f>
        <v>6000</v>
      </c>
      <c r="E24" s="18">
        <f>SUBTOTAL(9,E25:E27)</f>
        <v>5600</v>
      </c>
      <c r="F24" s="18">
        <f>AprTable[[#This Row],[Actual Spending]]-AprTable[[#This Row],[Amount Budgeted]]</f>
        <v>-400</v>
      </c>
      <c r="I24" s="45" t="s">
        <v>11</v>
      </c>
      <c r="J24" s="46">
        <v>2800</v>
      </c>
      <c r="K24" s="47">
        <v>2950</v>
      </c>
    </row>
    <row r="25" spans="3:11" x14ac:dyDescent="0.2">
      <c r="C25" s="12" t="s">
        <v>17</v>
      </c>
      <c r="D25" s="13">
        <v>2000</v>
      </c>
      <c r="E25" s="14">
        <v>2000</v>
      </c>
      <c r="F25" s="14">
        <f>AprTable[[#This Row],[Actual Spending]]-AprTable[[#This Row],[Amount Budgeted]]</f>
        <v>0</v>
      </c>
      <c r="I25" s="48" t="s">
        <v>42</v>
      </c>
      <c r="J25" s="49">
        <v>38550</v>
      </c>
      <c r="K25" s="50">
        <v>40210</v>
      </c>
    </row>
    <row r="26" spans="3:11" x14ac:dyDescent="0.2">
      <c r="C26" s="12" t="s">
        <v>18</v>
      </c>
      <c r="D26" s="13">
        <v>4000</v>
      </c>
      <c r="E26" s="14">
        <v>3500</v>
      </c>
      <c r="F26" s="14">
        <f>AprTable[[#This Row],[Actual Spending]]-AprTable[[#This Row],[Amount Budgeted]]</f>
        <v>-500</v>
      </c>
    </row>
    <row r="27" spans="3:11" x14ac:dyDescent="0.2">
      <c r="C27" s="12" t="s">
        <v>19</v>
      </c>
      <c r="D27" s="13">
        <v>0</v>
      </c>
      <c r="E27" s="14">
        <v>100</v>
      </c>
      <c r="F27" s="14">
        <f>AprTable[[#This Row],[Actual Spending]]-AprTable[[#This Row],[Amount Budgeted]]</f>
        <v>100</v>
      </c>
    </row>
    <row r="28" spans="3:11" x14ac:dyDescent="0.2">
      <c r="C28" s="12"/>
      <c r="D28" s="13"/>
      <c r="E28" s="14"/>
      <c r="F28" s="14"/>
    </row>
    <row r="29" spans="3:11" x14ac:dyDescent="0.2">
      <c r="C29" s="16" t="s">
        <v>20</v>
      </c>
      <c r="D29" s="18">
        <f>SUBTOTAL(9, D30:D31)</f>
        <v>2000</v>
      </c>
      <c r="E29" s="18">
        <f>SUBTOTAL(9,E30:E31)</f>
        <v>2000</v>
      </c>
      <c r="F29" s="18">
        <f>AprTable[[#This Row],[Actual Spending]]-AprTable[[#This Row],[Amount Budgeted]]</f>
        <v>0</v>
      </c>
    </row>
    <row r="30" spans="3:11" x14ac:dyDescent="0.2">
      <c r="C30" s="12" t="s">
        <v>21</v>
      </c>
      <c r="D30" s="13">
        <v>500</v>
      </c>
      <c r="E30" s="14">
        <v>500</v>
      </c>
      <c r="F30" s="14">
        <f>AprTable[[#This Row],[Actual Spending]]-AprTable[[#This Row],[Amount Budgeted]]</f>
        <v>0</v>
      </c>
    </row>
    <row r="31" spans="3:11" x14ac:dyDescent="0.2">
      <c r="C31" s="12" t="s">
        <v>22</v>
      </c>
      <c r="D31" s="13">
        <v>1500</v>
      </c>
      <c r="E31" s="14">
        <v>1500</v>
      </c>
      <c r="F31" s="14">
        <f>AprTable[[#This Row],[Actual Spending]]-AprTable[[#This Row],[Amount Budgeted]]</f>
        <v>0</v>
      </c>
    </row>
    <row r="32" spans="3:11" x14ac:dyDescent="0.2">
      <c r="C32" s="12"/>
      <c r="D32" s="13"/>
      <c r="E32" s="14"/>
      <c r="F32" s="14"/>
    </row>
    <row r="33" spans="3:6" x14ac:dyDescent="0.2">
      <c r="C33" s="16" t="s">
        <v>23</v>
      </c>
      <c r="D33" s="18">
        <f>SUBTOTAL(9,D34)</f>
        <v>2000</v>
      </c>
      <c r="E33" s="18">
        <f>SUBTOTAL(9,E34)</f>
        <v>1760</v>
      </c>
      <c r="F33" s="18">
        <f>AprTable[[#This Row],[Actual Spending]]-AprTable[[#This Row],[Amount Budgeted]]</f>
        <v>-240</v>
      </c>
    </row>
    <row r="34" spans="3:6" x14ac:dyDescent="0.2">
      <c r="C34" s="12" t="s">
        <v>24</v>
      </c>
      <c r="D34" s="13">
        <v>2000</v>
      </c>
      <c r="E34" s="14">
        <v>1760</v>
      </c>
      <c r="F34" s="14">
        <f>AprTable[[#This Row],[Actual Spending]]-AprTable[[#This Row],[Amount Budgeted]]</f>
        <v>-240</v>
      </c>
    </row>
    <row r="35" spans="3:6" x14ac:dyDescent="0.2">
      <c r="C35" s="12"/>
      <c r="D35" s="13"/>
      <c r="E35" s="14"/>
      <c r="F35" s="14"/>
    </row>
    <row r="36" spans="3:6" x14ac:dyDescent="0.2">
      <c r="C36" s="16" t="s">
        <v>29</v>
      </c>
      <c r="D36" s="18">
        <f>SUBTOTAL(9,D37:D39)</f>
        <v>7500</v>
      </c>
      <c r="E36" s="18">
        <f>SUBTOTAL(9,E37:E39)</f>
        <v>7200</v>
      </c>
      <c r="F36" s="18">
        <f>AprTable[[#This Row],[Actual Spending]]-AprTable[[#This Row],[Amount Budgeted]]</f>
        <v>-300</v>
      </c>
    </row>
    <row r="37" spans="3:6" x14ac:dyDescent="0.2">
      <c r="C37" s="12" t="s">
        <v>30</v>
      </c>
      <c r="D37" s="13">
        <v>500</v>
      </c>
      <c r="E37" s="14">
        <v>700</v>
      </c>
      <c r="F37" s="14">
        <f>AprTable[[#This Row],[Actual Spending]]-AprTable[[#This Row],[Amount Budgeted]]</f>
        <v>200</v>
      </c>
    </row>
    <row r="38" spans="3:6" x14ac:dyDescent="0.2">
      <c r="C38" s="24" t="s">
        <v>31</v>
      </c>
      <c r="D38" s="25">
        <v>4000</v>
      </c>
      <c r="E38" s="26">
        <v>4200</v>
      </c>
      <c r="F38" s="14">
        <f>AprTable[[#This Row],[Actual Spending]]-AprTable[[#This Row],[Amount Budgeted]]</f>
        <v>200</v>
      </c>
    </row>
    <row r="39" spans="3:6" x14ac:dyDescent="0.2">
      <c r="C39" s="24" t="s">
        <v>33</v>
      </c>
      <c r="D39" s="25">
        <v>3000</v>
      </c>
      <c r="E39" s="26">
        <v>2300</v>
      </c>
      <c r="F39" s="14">
        <f>AprTable[[#This Row],[Actual Spending]]-AprTable[[#This Row],[Amount Budgeted]]</f>
        <v>-700</v>
      </c>
    </row>
    <row r="40" spans="3:6" x14ac:dyDescent="0.2">
      <c r="C40" s="12"/>
      <c r="D40" s="13"/>
      <c r="E40" s="14"/>
      <c r="F40" s="14"/>
    </row>
    <row r="41" spans="3:6" x14ac:dyDescent="0.2">
      <c r="C41" s="16" t="s">
        <v>25</v>
      </c>
      <c r="D41" s="17">
        <f>SUBTOTAL(9,D42:D44)</f>
        <v>2000</v>
      </c>
      <c r="E41" s="18">
        <f>SUBTOTAL(9,E42:E44)</f>
        <v>4000</v>
      </c>
      <c r="F41" s="18">
        <f>AprTable[[#This Row],[Actual Spending]]-AprTable[[#This Row],[Amount Budgeted]]</f>
        <v>2000</v>
      </c>
    </row>
    <row r="42" spans="3:6" x14ac:dyDescent="0.2">
      <c r="C42" s="12" t="s">
        <v>26</v>
      </c>
      <c r="D42" s="13">
        <v>500</v>
      </c>
      <c r="E42" s="14">
        <v>1000</v>
      </c>
      <c r="F42" s="14">
        <f>AprTable[[#This Row],[Actual Spending]]-AprTable[[#This Row],[Amount Budgeted]]</f>
        <v>500</v>
      </c>
    </row>
    <row r="43" spans="3:6" x14ac:dyDescent="0.2">
      <c r="C43" s="12" t="s">
        <v>27</v>
      </c>
      <c r="D43" s="13">
        <v>500</v>
      </c>
      <c r="E43" s="14">
        <v>1000</v>
      </c>
      <c r="F43" s="14">
        <f>AprTable[[#This Row],[Actual Spending]]-AprTable[[#This Row],[Amount Budgeted]]</f>
        <v>500</v>
      </c>
    </row>
    <row r="44" spans="3:6" x14ac:dyDescent="0.2">
      <c r="C44" s="12" t="s">
        <v>28</v>
      </c>
      <c r="D44" s="13">
        <v>1000</v>
      </c>
      <c r="E44" s="14">
        <v>2000</v>
      </c>
      <c r="F44" s="14">
        <f>AprTable[[#This Row],[Actual Spending]]-AprTable[[#This Row],[Amount Budgeted]]</f>
        <v>1000</v>
      </c>
    </row>
  </sheetData>
  <mergeCells count="1">
    <mergeCell ref="A1:XFD2"/>
  </mergeCells>
  <conditionalFormatting sqref="L5:L12">
    <cfRule type="dataBar" priority="19">
      <dataBar showValue="0">
        <cfvo type="min"/>
        <cfvo type="max"/>
        <color rgb="FF638EC6"/>
      </dataBar>
      <extLst>
        <ext xmlns:x14="http://schemas.microsoft.com/office/spreadsheetml/2009/9/main" uri="{B025F937-C7B1-47D3-B67F-A62EFF666E3E}">
          <x14:id>{3AF91DC2-E274-42B6-B1DF-2EB8B3BC0FE6}</x14:id>
        </ext>
      </extLst>
    </cfRule>
    <cfRule type="dataBar" priority="20">
      <dataBar>
        <cfvo type="min"/>
        <cfvo type="max"/>
        <color rgb="FF638EC6"/>
      </dataBar>
      <extLst>
        <ext xmlns:x14="http://schemas.microsoft.com/office/spreadsheetml/2009/9/main" uri="{B025F937-C7B1-47D3-B67F-A62EFF666E3E}">
          <x14:id>{1A9106DB-A38A-40BC-9D89-5EE1F14C062F}</x14:id>
        </ext>
      </extLst>
    </cfRule>
  </conditionalFormatting>
  <pageMargins left="0.7" right="0.7" top="0.75" bottom="0.75" header="0.3" footer="0.3"/>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3AF91DC2-E274-42B6-B1DF-2EB8B3BC0FE6}">
            <x14:dataBar minLength="0" maxLength="100" gradient="0">
              <x14:cfvo type="autoMin"/>
              <x14:cfvo type="autoMax"/>
              <x14:negativeFillColor rgb="FFFF0000"/>
              <x14:axisColor rgb="FF000000"/>
            </x14:dataBar>
          </x14:cfRule>
          <x14:cfRule type="dataBar" id="{1A9106DB-A38A-40BC-9D89-5EE1F14C062F}">
            <x14:dataBar minLength="0" maxLength="100" border="1" negativeBarBorderColorSameAsPositive="0">
              <x14:cfvo type="autoMin"/>
              <x14:cfvo type="autoMax"/>
              <x14:borderColor rgb="FF638EC6"/>
              <x14:negativeFillColor rgb="FFFF0000"/>
              <x14:negativeBorderColor rgb="FFFF0000"/>
              <x14:axisColor rgb="FF000000"/>
            </x14:dataBar>
          </x14:cfRule>
          <xm:sqref>L5:L12</xm:sqref>
        </x14:conditionalFormatting>
      </x14:conditionalFormattings>
    </ex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9AE5B-8A0F-41EC-9638-DF6CAFEA689D}">
  <dimension ref="A1:L44"/>
  <sheetViews>
    <sheetView topLeftCell="B12" workbookViewId="0">
      <selection activeCell="B28" sqref="A1:XFD1048576"/>
    </sheetView>
  </sheetViews>
  <sheetFormatPr defaultRowHeight="12.75" x14ac:dyDescent="0.2"/>
  <cols>
    <col min="1" max="2" width="9.140625" style="5"/>
    <col min="3" max="3" width="24.85546875" style="5" bestFit="1" customWidth="1"/>
    <col min="4" max="4" width="30.42578125" style="5" bestFit="1" customWidth="1"/>
    <col min="5" max="5" width="27.7109375" style="5" bestFit="1" customWidth="1"/>
    <col min="6" max="6" width="18.42578125" style="5" bestFit="1" customWidth="1"/>
    <col min="7" max="8" width="9.140625" style="5"/>
    <col min="9" max="9" width="18.85546875" style="5" bestFit="1" customWidth="1"/>
    <col min="10" max="10" width="12.42578125" style="5" bestFit="1" customWidth="1"/>
    <col min="11" max="11" width="11.7109375" style="5" bestFit="1" customWidth="1"/>
    <col min="12" max="12" width="16.140625" style="5" bestFit="1" customWidth="1"/>
    <col min="13" max="16384" width="9.140625" style="5"/>
  </cols>
  <sheetData>
    <row r="1" spans="1:12" s="27" customFormat="1" ht="24" customHeight="1" x14ac:dyDescent="0.2">
      <c r="A1" s="27" t="s">
        <v>57</v>
      </c>
    </row>
    <row r="2" spans="1:12" s="27" customFormat="1" ht="24" customHeight="1" x14ac:dyDescent="0.2"/>
    <row r="4" spans="1:12" x14ac:dyDescent="0.2">
      <c r="C4" s="28" t="s">
        <v>0</v>
      </c>
      <c r="D4" s="29" t="s">
        <v>1</v>
      </c>
      <c r="E4" s="29" t="s">
        <v>2</v>
      </c>
      <c r="F4" s="29" t="s">
        <v>3</v>
      </c>
      <c r="I4" s="30" t="s">
        <v>0</v>
      </c>
      <c r="J4" s="30" t="s">
        <v>35</v>
      </c>
      <c r="K4" s="30" t="s">
        <v>36</v>
      </c>
      <c r="L4" s="30" t="s">
        <v>3</v>
      </c>
    </row>
    <row r="5" spans="1:12" x14ac:dyDescent="0.2">
      <c r="C5" s="15" t="s">
        <v>4</v>
      </c>
      <c r="D5" s="14">
        <f>SUBTOTAL(9,D6:D7)</f>
        <v>50500</v>
      </c>
      <c r="E5" s="14"/>
      <c r="F5" s="14"/>
      <c r="I5" s="5" t="s">
        <v>23</v>
      </c>
      <c r="J5" s="10">
        <f>_xlfn.XLOOKUP(MaySumm[[#This Row],[Category]],MayTable[Category],MayTable[Amount Budgeted])</f>
        <v>1500</v>
      </c>
      <c r="K5" s="10">
        <f>_xlfn.XLOOKUP(MaySumm[[#This Row],[Category]],MayTable[Category],MayTable[Actual Spending])</f>
        <v>1800</v>
      </c>
      <c r="L5" s="5">
        <f>_xlfn.XLOOKUP(MaySumm[[#This Row],[Category]],MayTable[Category],MayTable[Difference])</f>
        <v>300</v>
      </c>
    </row>
    <row r="6" spans="1:12" x14ac:dyDescent="0.2">
      <c r="C6" s="12" t="s">
        <v>5</v>
      </c>
      <c r="D6" s="13">
        <v>40000</v>
      </c>
      <c r="E6" s="14"/>
      <c r="F6" s="14"/>
      <c r="I6" s="5" t="s">
        <v>20</v>
      </c>
      <c r="J6" s="10">
        <f>_xlfn.XLOOKUP(MaySumm[[#This Row],[Category]],MayTable[Category],MayTable[Amount Budgeted])</f>
        <v>2000</v>
      </c>
      <c r="K6" s="10">
        <f>_xlfn.XLOOKUP(MaySumm[[#This Row],[Category]],MayTable[Category],MayTable[Actual Spending])</f>
        <v>2000</v>
      </c>
      <c r="L6" s="5">
        <f>_xlfn.XLOOKUP(MaySumm[[#This Row],[Category]],MayTable[Category],MayTable[Difference])</f>
        <v>0</v>
      </c>
    </row>
    <row r="7" spans="1:12" x14ac:dyDescent="0.2">
      <c r="C7" s="12" t="s">
        <v>37</v>
      </c>
      <c r="D7" s="13">
        <v>10500</v>
      </c>
      <c r="E7" s="14"/>
      <c r="F7" s="14"/>
      <c r="I7" s="5" t="s">
        <v>25</v>
      </c>
      <c r="J7" s="10">
        <f>_xlfn.XLOOKUP(MaySumm[[#This Row],[Category]],MayTable[Category],MayTable[Amount Budgeted])</f>
        <v>2000</v>
      </c>
      <c r="K7" s="10">
        <f>_xlfn.XLOOKUP(MaySumm[[#This Row],[Category]],MayTable[Category],MayTable[Actual Spending])</f>
        <v>1500</v>
      </c>
      <c r="L7" s="5">
        <f>_xlfn.XLOOKUP(MaySumm[[#This Row],[Category]],MayTable[Category],MayTable[Difference])</f>
        <v>-500</v>
      </c>
    </row>
    <row r="8" spans="1:12" x14ac:dyDescent="0.2">
      <c r="C8" s="12"/>
      <c r="D8" s="13"/>
      <c r="E8" s="14"/>
      <c r="F8" s="14"/>
      <c r="I8" s="5" t="s">
        <v>11</v>
      </c>
      <c r="J8" s="10">
        <f>_xlfn.XLOOKUP(MaySumm[[#This Row],[Category]],MayTable[Category],MayTable[Amount Budgeted])</f>
        <v>2700</v>
      </c>
      <c r="K8" s="10">
        <f>_xlfn.XLOOKUP(MaySumm[[#This Row],[Category]],MayTable[Category],MayTable[Actual Spending])</f>
        <v>2770</v>
      </c>
      <c r="L8" s="5">
        <f>_xlfn.XLOOKUP(MaySumm[[#This Row],[Category]],MayTable[Category],MayTable[Difference])</f>
        <v>70</v>
      </c>
    </row>
    <row r="9" spans="1:12" x14ac:dyDescent="0.2">
      <c r="C9" s="15" t="s">
        <v>6</v>
      </c>
      <c r="D9" s="14"/>
      <c r="E9" s="14"/>
      <c r="F9" s="14"/>
      <c r="I9" s="5" t="s">
        <v>16</v>
      </c>
      <c r="J9" s="10">
        <f>_xlfn.XLOOKUP(MaySumm[[#This Row],[Category]],MayTable[Category],MayTable[Amount Budgeted])</f>
        <v>4000</v>
      </c>
      <c r="K9" s="10">
        <f>_xlfn.XLOOKUP(MaySumm[[#This Row],[Category]],MayTable[Category],MayTable[Actual Spending])</f>
        <v>4100</v>
      </c>
      <c r="L9" s="5">
        <f>_xlfn.XLOOKUP(MaySumm[[#This Row],[Category]],MayTable[Category],MayTable[Difference])</f>
        <v>100</v>
      </c>
    </row>
    <row r="10" spans="1:12" x14ac:dyDescent="0.2">
      <c r="C10" s="16" t="s">
        <v>7</v>
      </c>
      <c r="D10" s="17">
        <f>SUBTOTAL(9,D11:D13)</f>
        <v>11250</v>
      </c>
      <c r="E10" s="18">
        <f>SUBTOTAL(9,E11:E13)</f>
        <v>11450</v>
      </c>
      <c r="F10" s="18">
        <f>MayTable[[#This Row],[Actual Spending]]-MayTable[[#This Row],[Amount Budgeted]]</f>
        <v>200</v>
      </c>
      <c r="I10" s="5" t="s">
        <v>14</v>
      </c>
      <c r="J10" s="10">
        <f>_xlfn.XLOOKUP(MaySumm[[#This Row],[Category]],MayTable[Category],MayTable[Amount Budgeted])</f>
        <v>4500</v>
      </c>
      <c r="K10" s="10">
        <f>_xlfn.XLOOKUP(MaySumm[[#This Row],[Category]],MayTable[Category],MayTable[Actual Spending])</f>
        <v>4253</v>
      </c>
      <c r="L10" s="5">
        <f>_xlfn.XLOOKUP(MaySumm[[#This Row],[Category]],MayTable[Category],MayTable[Difference])</f>
        <v>-247</v>
      </c>
    </row>
    <row r="11" spans="1:12" x14ac:dyDescent="0.2">
      <c r="C11" s="12" t="s">
        <v>8</v>
      </c>
      <c r="D11" s="13">
        <v>10000</v>
      </c>
      <c r="E11" s="14">
        <v>10200</v>
      </c>
      <c r="F11" s="14">
        <f>MayTable[[#This Row],[Actual Spending]]-MayTable[[#This Row],[Amount Budgeted]]</f>
        <v>200</v>
      </c>
      <c r="I11" s="5" t="s">
        <v>29</v>
      </c>
      <c r="J11" s="10">
        <f>_xlfn.XLOOKUP(MaySumm[[#This Row],[Category]],MayTable[Category],MayTable[Amount Budgeted])</f>
        <v>6500</v>
      </c>
      <c r="K11" s="10">
        <f>_xlfn.XLOOKUP(MaySumm[[#This Row],[Category]],MayTable[Category],MayTable[Actual Spending])</f>
        <v>5750</v>
      </c>
      <c r="L11" s="5">
        <f>_xlfn.XLOOKUP(MaySumm[[#This Row],[Category]],MayTable[Category],MayTable[Difference])</f>
        <v>-750</v>
      </c>
    </row>
    <row r="12" spans="1:12" x14ac:dyDescent="0.2">
      <c r="C12" s="12" t="s">
        <v>9</v>
      </c>
      <c r="D12" s="13">
        <v>500</v>
      </c>
      <c r="E12" s="14">
        <v>500</v>
      </c>
      <c r="F12" s="14"/>
      <c r="I12" s="5" t="s">
        <v>7</v>
      </c>
      <c r="J12" s="10">
        <f>_xlfn.XLOOKUP(MaySumm[[#This Row],[Category]],MayTable[Category],MayTable[Amount Budgeted])</f>
        <v>11250</v>
      </c>
      <c r="K12" s="10">
        <f>_xlfn.XLOOKUP(MaySumm[[#This Row],[Category]],MayTable[Category],MayTable[Actual Spending])</f>
        <v>11450</v>
      </c>
      <c r="L12" s="5">
        <f>_xlfn.XLOOKUP(MaySumm[[#This Row],[Category]],MayTable[Category],MayTable[Difference])</f>
        <v>200</v>
      </c>
    </row>
    <row r="13" spans="1:12" x14ac:dyDescent="0.2">
      <c r="C13" s="12" t="s">
        <v>10</v>
      </c>
      <c r="D13" s="13">
        <v>750</v>
      </c>
      <c r="E13" s="14">
        <v>750</v>
      </c>
      <c r="F13" s="14"/>
    </row>
    <row r="14" spans="1:12" x14ac:dyDescent="0.2">
      <c r="C14" s="12"/>
      <c r="D14" s="13"/>
      <c r="E14" s="14"/>
      <c r="F14" s="14"/>
    </row>
    <row r="15" spans="1:12" x14ac:dyDescent="0.2">
      <c r="C15" s="16" t="s">
        <v>11</v>
      </c>
      <c r="D15" s="18">
        <f>SUBTOTAL(9,D16:D18)</f>
        <v>2700</v>
      </c>
      <c r="E15" s="18">
        <f>SUBTOTAL(9,E16:E18)</f>
        <v>2770</v>
      </c>
      <c r="F15" s="18">
        <f>MayTable[[#This Row],[Actual Spending]]-MayTable[[#This Row],[Amount Budgeted]]</f>
        <v>70</v>
      </c>
    </row>
    <row r="16" spans="1:12" x14ac:dyDescent="0.2">
      <c r="C16" s="12" t="s">
        <v>12</v>
      </c>
      <c r="D16" s="13">
        <v>800</v>
      </c>
      <c r="E16" s="14">
        <v>770</v>
      </c>
      <c r="F16" s="14">
        <f>MayTable[[#This Row],[Actual Spending]]-MayTable[[#This Row],[Amount Budgeted]]</f>
        <v>-30</v>
      </c>
      <c r="I16" s="40" t="s">
        <v>41</v>
      </c>
      <c r="J16" s="40" t="s">
        <v>39</v>
      </c>
      <c r="K16" s="41" t="s">
        <v>43</v>
      </c>
    </row>
    <row r="17" spans="3:11" x14ac:dyDescent="0.2">
      <c r="C17" s="12" t="s">
        <v>13</v>
      </c>
      <c r="D17" s="13">
        <v>500</v>
      </c>
      <c r="E17" s="14">
        <v>500</v>
      </c>
      <c r="F17" s="14"/>
      <c r="I17" s="42" t="s">
        <v>23</v>
      </c>
      <c r="J17" s="43">
        <v>1500</v>
      </c>
      <c r="K17" s="44">
        <v>1800</v>
      </c>
    </row>
    <row r="18" spans="3:11" x14ac:dyDescent="0.2">
      <c r="C18" s="12" t="s">
        <v>32</v>
      </c>
      <c r="D18" s="13">
        <v>1400</v>
      </c>
      <c r="E18" s="14">
        <v>1500</v>
      </c>
      <c r="F18" s="14">
        <f>MayTable[[#This Row],[Actual Spending]]-MayTable[[#This Row],[Amount Budgeted]]</f>
        <v>100</v>
      </c>
      <c r="I18" s="45" t="s">
        <v>14</v>
      </c>
      <c r="J18" s="46">
        <v>4500</v>
      </c>
      <c r="K18" s="47">
        <v>4253</v>
      </c>
    </row>
    <row r="19" spans="3:11" x14ac:dyDescent="0.2">
      <c r="C19" s="12"/>
      <c r="D19" s="13"/>
      <c r="E19" s="14"/>
      <c r="F19" s="14"/>
      <c r="I19" s="45" t="s">
        <v>7</v>
      </c>
      <c r="J19" s="46">
        <v>11250</v>
      </c>
      <c r="K19" s="47">
        <v>11450</v>
      </c>
    </row>
    <row r="20" spans="3:11" x14ac:dyDescent="0.2">
      <c r="C20" s="16" t="s">
        <v>14</v>
      </c>
      <c r="D20" s="18">
        <f>SUBTOTAL(9,D21:D22)</f>
        <v>4500</v>
      </c>
      <c r="E20" s="18">
        <f>SUBTOTAL(9,E21:E22)</f>
        <v>4253</v>
      </c>
      <c r="F20" s="18">
        <f>MayTable[[#This Row],[Actual Spending]]-MayTable[[#This Row],[Amount Budgeted]]</f>
        <v>-247</v>
      </c>
      <c r="I20" s="45" t="s">
        <v>20</v>
      </c>
      <c r="J20" s="46">
        <v>2000</v>
      </c>
      <c r="K20" s="47">
        <v>2000</v>
      </c>
    </row>
    <row r="21" spans="3:11" x14ac:dyDescent="0.2">
      <c r="C21" s="12" t="s">
        <v>34</v>
      </c>
      <c r="D21" s="13">
        <v>3000</v>
      </c>
      <c r="E21" s="14">
        <v>3153</v>
      </c>
      <c r="F21" s="14">
        <f>MayTable[[#This Row],[Actual Spending]]-MayTable[[#This Row],[Amount Budgeted]]</f>
        <v>153</v>
      </c>
      <c r="I21" s="45" t="s">
        <v>29</v>
      </c>
      <c r="J21" s="46">
        <v>6500</v>
      </c>
      <c r="K21" s="47">
        <v>5750</v>
      </c>
    </row>
    <row r="22" spans="3:11" x14ac:dyDescent="0.2">
      <c r="C22" s="12" t="s">
        <v>15</v>
      </c>
      <c r="D22" s="13">
        <v>1500</v>
      </c>
      <c r="E22" s="14">
        <v>1100</v>
      </c>
      <c r="F22" s="14">
        <f>MayTable[[#This Row],[Actual Spending]]-MayTable[[#This Row],[Amount Budgeted]]</f>
        <v>-400</v>
      </c>
      <c r="I22" s="45" t="s">
        <v>25</v>
      </c>
      <c r="J22" s="46">
        <v>2000</v>
      </c>
      <c r="K22" s="47">
        <v>1500</v>
      </c>
    </row>
    <row r="23" spans="3:11" x14ac:dyDescent="0.2">
      <c r="C23" s="12"/>
      <c r="D23" s="13"/>
      <c r="E23" s="14"/>
      <c r="F23" s="14"/>
      <c r="I23" s="45" t="s">
        <v>16</v>
      </c>
      <c r="J23" s="46">
        <v>4000</v>
      </c>
      <c r="K23" s="47">
        <v>4100</v>
      </c>
    </row>
    <row r="24" spans="3:11" x14ac:dyDescent="0.2">
      <c r="C24" s="16" t="s">
        <v>16</v>
      </c>
      <c r="D24" s="18">
        <f>SUBTOTAL(9,D25:D27)</f>
        <v>4000</v>
      </c>
      <c r="E24" s="18">
        <f>SUBTOTAL(9,E25:E27)</f>
        <v>4100</v>
      </c>
      <c r="F24" s="18">
        <f>MayTable[[#This Row],[Actual Spending]]-MayTable[[#This Row],[Amount Budgeted]]</f>
        <v>100</v>
      </c>
      <c r="I24" s="45" t="s">
        <v>11</v>
      </c>
      <c r="J24" s="46">
        <v>2700</v>
      </c>
      <c r="K24" s="47">
        <v>2770</v>
      </c>
    </row>
    <row r="25" spans="3:11" x14ac:dyDescent="0.2">
      <c r="C25" s="12" t="s">
        <v>17</v>
      </c>
      <c r="D25" s="13">
        <v>2000</v>
      </c>
      <c r="E25" s="14">
        <v>2000</v>
      </c>
      <c r="F25" s="14">
        <f>MayTable[[#This Row],[Actual Spending]]-MayTable[[#This Row],[Amount Budgeted]]</f>
        <v>0</v>
      </c>
      <c r="I25" s="48" t="s">
        <v>42</v>
      </c>
      <c r="J25" s="49">
        <v>34450</v>
      </c>
      <c r="K25" s="50">
        <v>33623</v>
      </c>
    </row>
    <row r="26" spans="3:11" x14ac:dyDescent="0.2">
      <c r="C26" s="12" t="s">
        <v>18</v>
      </c>
      <c r="D26" s="13">
        <v>1500</v>
      </c>
      <c r="E26" s="14">
        <v>1300</v>
      </c>
      <c r="F26" s="14">
        <f>MayTable[[#This Row],[Actual Spending]]-MayTable[[#This Row],[Amount Budgeted]]</f>
        <v>-200</v>
      </c>
    </row>
    <row r="27" spans="3:11" x14ac:dyDescent="0.2">
      <c r="C27" s="12" t="s">
        <v>19</v>
      </c>
      <c r="D27" s="13">
        <v>500</v>
      </c>
      <c r="E27" s="14">
        <v>800</v>
      </c>
      <c r="F27" s="14">
        <f>MayTable[[#This Row],[Actual Spending]]-MayTable[[#This Row],[Amount Budgeted]]</f>
        <v>300</v>
      </c>
    </row>
    <row r="28" spans="3:11" x14ac:dyDescent="0.2">
      <c r="C28" s="12"/>
      <c r="D28" s="13"/>
      <c r="E28" s="14"/>
      <c r="F28" s="14"/>
    </row>
    <row r="29" spans="3:11" x14ac:dyDescent="0.2">
      <c r="C29" s="16" t="s">
        <v>20</v>
      </c>
      <c r="D29" s="18">
        <f>SUBTOTAL(9, D30:D31)</f>
        <v>2000</v>
      </c>
      <c r="E29" s="18">
        <f>SUBTOTAL(9,E30:E31)</f>
        <v>2000</v>
      </c>
      <c r="F29" s="18">
        <f>MayTable[[#This Row],[Actual Spending]]-MayTable[[#This Row],[Amount Budgeted]]</f>
        <v>0</v>
      </c>
    </row>
    <row r="30" spans="3:11" x14ac:dyDescent="0.2">
      <c r="C30" s="12" t="s">
        <v>21</v>
      </c>
      <c r="D30" s="13">
        <v>500</v>
      </c>
      <c r="E30" s="14">
        <v>500</v>
      </c>
      <c r="F30" s="14">
        <f>MayTable[[#This Row],[Actual Spending]]-MayTable[[#This Row],[Amount Budgeted]]</f>
        <v>0</v>
      </c>
    </row>
    <row r="31" spans="3:11" x14ac:dyDescent="0.2">
      <c r="C31" s="12" t="s">
        <v>22</v>
      </c>
      <c r="D31" s="13">
        <v>1500</v>
      </c>
      <c r="E31" s="14">
        <v>1500</v>
      </c>
      <c r="F31" s="14">
        <f>MayTable[[#This Row],[Actual Spending]]-MayTable[[#This Row],[Amount Budgeted]]</f>
        <v>0</v>
      </c>
    </row>
    <row r="32" spans="3:11" x14ac:dyDescent="0.2">
      <c r="C32" s="12"/>
      <c r="D32" s="13"/>
      <c r="E32" s="14"/>
      <c r="F32" s="14"/>
    </row>
    <row r="33" spans="3:6" x14ac:dyDescent="0.2">
      <c r="C33" s="16" t="s">
        <v>23</v>
      </c>
      <c r="D33" s="18">
        <f>SUBTOTAL(9,D34)</f>
        <v>1500</v>
      </c>
      <c r="E33" s="18">
        <f>SUBTOTAL(9,E34)</f>
        <v>1800</v>
      </c>
      <c r="F33" s="18">
        <f>MayTable[[#This Row],[Actual Spending]]-MayTable[[#This Row],[Amount Budgeted]]</f>
        <v>300</v>
      </c>
    </row>
    <row r="34" spans="3:6" x14ac:dyDescent="0.2">
      <c r="C34" s="12" t="s">
        <v>24</v>
      </c>
      <c r="D34" s="13">
        <v>1500</v>
      </c>
      <c r="E34" s="14">
        <v>1800</v>
      </c>
      <c r="F34" s="14">
        <f>MayTable[[#This Row],[Actual Spending]]-MayTable[[#This Row],[Amount Budgeted]]</f>
        <v>300</v>
      </c>
    </row>
    <row r="35" spans="3:6" x14ac:dyDescent="0.2">
      <c r="C35" s="12"/>
      <c r="D35" s="13"/>
      <c r="E35" s="14"/>
      <c r="F35" s="14"/>
    </row>
    <row r="36" spans="3:6" x14ac:dyDescent="0.2">
      <c r="C36" s="16" t="s">
        <v>29</v>
      </c>
      <c r="D36" s="18">
        <f>SUBTOTAL(9,D37:D39)</f>
        <v>6500</v>
      </c>
      <c r="E36" s="18">
        <f>SUBTOTAL(9,E37:E39)</f>
        <v>5750</v>
      </c>
      <c r="F36" s="18">
        <f>MayTable[[#This Row],[Actual Spending]]-MayTable[[#This Row],[Amount Budgeted]]</f>
        <v>-750</v>
      </c>
    </row>
    <row r="37" spans="3:6" x14ac:dyDescent="0.2">
      <c r="C37" s="12" t="s">
        <v>30</v>
      </c>
      <c r="D37" s="13">
        <v>500</v>
      </c>
      <c r="E37" s="14">
        <v>0</v>
      </c>
      <c r="F37" s="14">
        <f>MayTable[[#This Row],[Actual Spending]]-MayTable[[#This Row],[Amount Budgeted]]</f>
        <v>-500</v>
      </c>
    </row>
    <row r="38" spans="3:6" x14ac:dyDescent="0.2">
      <c r="C38" s="24" t="s">
        <v>31</v>
      </c>
      <c r="D38" s="25">
        <v>3000</v>
      </c>
      <c r="E38" s="26">
        <v>3000</v>
      </c>
      <c r="F38" s="14">
        <f>MayTable[[#This Row],[Actual Spending]]-MayTable[[#This Row],[Amount Budgeted]]</f>
        <v>0</v>
      </c>
    </row>
    <row r="39" spans="3:6" x14ac:dyDescent="0.2">
      <c r="C39" s="24" t="s">
        <v>33</v>
      </c>
      <c r="D39" s="25">
        <v>3000</v>
      </c>
      <c r="E39" s="26">
        <v>2750</v>
      </c>
      <c r="F39" s="14">
        <f>MayTable[[#This Row],[Actual Spending]]-MayTable[[#This Row],[Amount Budgeted]]</f>
        <v>-250</v>
      </c>
    </row>
    <row r="40" spans="3:6" x14ac:dyDescent="0.2">
      <c r="C40" s="12"/>
      <c r="D40" s="13"/>
      <c r="E40" s="14"/>
      <c r="F40" s="14"/>
    </row>
    <row r="41" spans="3:6" x14ac:dyDescent="0.2">
      <c r="C41" s="16" t="s">
        <v>25</v>
      </c>
      <c r="D41" s="17">
        <f>SUBTOTAL(9,D42:D44)</f>
        <v>2000</v>
      </c>
      <c r="E41" s="18">
        <f>SUBTOTAL(9,E42:E44)</f>
        <v>1500</v>
      </c>
      <c r="F41" s="18">
        <f>MayTable[[#This Row],[Actual Spending]]-MayTable[[#This Row],[Amount Budgeted]]</f>
        <v>-500</v>
      </c>
    </row>
    <row r="42" spans="3:6" x14ac:dyDescent="0.2">
      <c r="C42" s="12" t="s">
        <v>26</v>
      </c>
      <c r="D42" s="13">
        <v>500</v>
      </c>
      <c r="E42" s="14">
        <v>500</v>
      </c>
      <c r="F42" s="14">
        <f>MayTable[[#This Row],[Actual Spending]]-MayTable[[#This Row],[Amount Budgeted]]</f>
        <v>0</v>
      </c>
    </row>
    <row r="43" spans="3:6" x14ac:dyDescent="0.2">
      <c r="C43" s="12" t="s">
        <v>27</v>
      </c>
      <c r="D43" s="13">
        <v>500</v>
      </c>
      <c r="E43" s="14">
        <v>0</v>
      </c>
      <c r="F43" s="14">
        <f>MayTable[[#This Row],[Actual Spending]]-MayTable[[#This Row],[Amount Budgeted]]</f>
        <v>-500</v>
      </c>
    </row>
    <row r="44" spans="3:6" x14ac:dyDescent="0.2">
      <c r="C44" s="12" t="s">
        <v>28</v>
      </c>
      <c r="D44" s="13">
        <v>1000</v>
      </c>
      <c r="E44" s="14">
        <v>1000</v>
      </c>
      <c r="F44" s="14">
        <f>MayTable[[#This Row],[Actual Spending]]-MayTable[[#This Row],[Amount Budgeted]]</f>
        <v>0</v>
      </c>
    </row>
  </sheetData>
  <mergeCells count="1">
    <mergeCell ref="A1:XFD2"/>
  </mergeCells>
  <conditionalFormatting sqref="L5:L12">
    <cfRule type="dataBar" priority="17">
      <dataBar showValue="0">
        <cfvo type="min"/>
        <cfvo type="max"/>
        <color rgb="FF638EC6"/>
      </dataBar>
      <extLst>
        <ext xmlns:x14="http://schemas.microsoft.com/office/spreadsheetml/2009/9/main" uri="{B025F937-C7B1-47D3-B67F-A62EFF666E3E}">
          <x14:id>{AF710DB1-CD55-4A11-9155-00832ECEA3D3}</x14:id>
        </ext>
      </extLst>
    </cfRule>
    <cfRule type="dataBar" priority="18">
      <dataBar>
        <cfvo type="min"/>
        <cfvo type="max"/>
        <color rgb="FF638EC6"/>
      </dataBar>
      <extLst>
        <ext xmlns:x14="http://schemas.microsoft.com/office/spreadsheetml/2009/9/main" uri="{B025F937-C7B1-47D3-B67F-A62EFF666E3E}">
          <x14:id>{ACFB6633-1D6C-49FA-9E20-E59694B550AD}</x14:id>
        </ext>
      </extLst>
    </cfRule>
  </conditionalFormatting>
  <pageMargins left="0.7" right="0.7" top="0.75" bottom="0.75" header="0.3" footer="0.3"/>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AF710DB1-CD55-4A11-9155-00832ECEA3D3}">
            <x14:dataBar minLength="0" maxLength="100" gradient="0">
              <x14:cfvo type="autoMin"/>
              <x14:cfvo type="autoMax"/>
              <x14:negativeFillColor rgb="FFFF0000"/>
              <x14:axisColor rgb="FF000000"/>
            </x14:dataBar>
          </x14:cfRule>
          <x14:cfRule type="dataBar" id="{ACFB6633-1D6C-49FA-9E20-E59694B550AD}">
            <x14:dataBar minLength="0" maxLength="100" border="1" negativeBarBorderColorSameAsPositive="0">
              <x14:cfvo type="autoMin"/>
              <x14:cfvo type="autoMax"/>
              <x14:borderColor rgb="FF638EC6"/>
              <x14:negativeFillColor rgb="FFFF0000"/>
              <x14:negativeBorderColor rgb="FFFF0000"/>
              <x14:axisColor rgb="FF000000"/>
            </x14:dataBar>
          </x14:cfRule>
          <xm:sqref>L5:L12</xm:sqref>
        </x14:conditionalFormatting>
      </x14:conditionalFormattings>
    </ex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AA089-8070-4F43-9D92-C7B8B771CD72}">
  <dimension ref="A1:L44"/>
  <sheetViews>
    <sheetView topLeftCell="A26" workbookViewId="0">
      <selection activeCell="C46" sqref="A1:XFD1048576"/>
    </sheetView>
  </sheetViews>
  <sheetFormatPr defaultRowHeight="12.75" x14ac:dyDescent="0.2"/>
  <cols>
    <col min="1" max="2" width="9.140625" style="5"/>
    <col min="3" max="3" width="24.85546875" style="5" bestFit="1" customWidth="1"/>
    <col min="4" max="4" width="30.42578125" style="5" bestFit="1" customWidth="1"/>
    <col min="5" max="5" width="27.7109375" style="5" bestFit="1" customWidth="1"/>
    <col min="6" max="6" width="18.42578125" style="5" bestFit="1" customWidth="1"/>
    <col min="7" max="8" width="9.140625" style="5"/>
    <col min="9" max="9" width="18.85546875" style="5" bestFit="1" customWidth="1"/>
    <col min="10" max="10" width="12.42578125" style="5" bestFit="1" customWidth="1"/>
    <col min="11" max="11" width="11.7109375" style="5" bestFit="1" customWidth="1"/>
    <col min="12" max="12" width="16.140625" style="5" bestFit="1" customWidth="1"/>
    <col min="13" max="16384" width="9.140625" style="5"/>
  </cols>
  <sheetData>
    <row r="1" spans="1:12" s="27" customFormat="1" ht="24" customHeight="1" x14ac:dyDescent="0.2">
      <c r="A1" s="27" t="s">
        <v>57</v>
      </c>
    </row>
    <row r="2" spans="1:12" s="27" customFormat="1" ht="24" customHeight="1" x14ac:dyDescent="0.2"/>
    <row r="4" spans="1:12" x14ac:dyDescent="0.2">
      <c r="C4" s="28" t="s">
        <v>0</v>
      </c>
      <c r="D4" s="29" t="s">
        <v>1</v>
      </c>
      <c r="E4" s="29" t="s">
        <v>2</v>
      </c>
      <c r="F4" s="29" t="s">
        <v>3</v>
      </c>
      <c r="I4" s="30" t="s">
        <v>0</v>
      </c>
      <c r="J4" s="30" t="s">
        <v>35</v>
      </c>
      <c r="K4" s="30" t="s">
        <v>36</v>
      </c>
      <c r="L4" s="30" t="s">
        <v>3</v>
      </c>
    </row>
    <row r="5" spans="1:12" x14ac:dyDescent="0.2">
      <c r="C5" s="15" t="s">
        <v>4</v>
      </c>
      <c r="D5" s="14">
        <f>SUBTOTAL(9,D6:D7)</f>
        <v>47000</v>
      </c>
      <c r="E5" s="14"/>
      <c r="F5" s="14"/>
      <c r="I5" s="5" t="s">
        <v>23</v>
      </c>
      <c r="J5" s="10">
        <f>_xlfn.XLOOKUP(JunSumm[[#This Row],[Category]],JunTable[Category],JunTable[Amount Budgeted])</f>
        <v>2000</v>
      </c>
      <c r="K5" s="10">
        <f>_xlfn.XLOOKUP(JunSumm[[#This Row],[Category]],JunTable[Category],JunTable[Actual Spending])</f>
        <v>2500</v>
      </c>
      <c r="L5" s="5">
        <f>_xlfn.XLOOKUP(JunSumm[[#This Row],[Category]],JunTable[Category],JunTable[Difference])</f>
        <v>500</v>
      </c>
    </row>
    <row r="6" spans="1:12" x14ac:dyDescent="0.2">
      <c r="C6" s="12" t="s">
        <v>5</v>
      </c>
      <c r="D6" s="13">
        <v>40000</v>
      </c>
      <c r="E6" s="14"/>
      <c r="F6" s="14"/>
      <c r="I6" s="5" t="s">
        <v>20</v>
      </c>
      <c r="J6" s="10">
        <f>_xlfn.XLOOKUP(JunSumm[[#This Row],[Category]],JunTable[Category],JunTable[Amount Budgeted])</f>
        <v>2000</v>
      </c>
      <c r="K6" s="10">
        <f>_xlfn.XLOOKUP(JunSumm[[#This Row],[Category]],JunTable[Category],JunTable[Actual Spending])</f>
        <v>2000</v>
      </c>
      <c r="L6" s="5">
        <f>_xlfn.XLOOKUP(JunSumm[[#This Row],[Category]],JunTable[Category],JunTable[Difference])</f>
        <v>0</v>
      </c>
    </row>
    <row r="7" spans="1:12" x14ac:dyDescent="0.2">
      <c r="C7" s="12" t="s">
        <v>37</v>
      </c>
      <c r="D7" s="13">
        <v>7000</v>
      </c>
      <c r="E7" s="14"/>
      <c r="F7" s="14"/>
      <c r="I7" s="5" t="s">
        <v>25</v>
      </c>
      <c r="J7" s="10">
        <f>_xlfn.XLOOKUP(JunSumm[[#This Row],[Category]],JunTable[Category],JunTable[Amount Budgeted])</f>
        <v>3000</v>
      </c>
      <c r="K7" s="10">
        <f>_xlfn.XLOOKUP(JunSumm[[#This Row],[Category]],JunTable[Category],JunTable[Actual Spending])</f>
        <v>3000</v>
      </c>
      <c r="L7" s="5">
        <f>_xlfn.XLOOKUP(JunSumm[[#This Row],[Category]],JunTable[Category],JunTable[Difference])</f>
        <v>0</v>
      </c>
    </row>
    <row r="8" spans="1:12" x14ac:dyDescent="0.2">
      <c r="C8" s="12"/>
      <c r="D8" s="13"/>
      <c r="E8" s="14"/>
      <c r="F8" s="14"/>
      <c r="I8" s="5" t="s">
        <v>11</v>
      </c>
      <c r="J8" s="10">
        <f>_xlfn.XLOOKUP(JunSumm[[#This Row],[Category]],JunTable[Category],JunTable[Amount Budgeted])</f>
        <v>2800</v>
      </c>
      <c r="K8" s="10">
        <f>_xlfn.XLOOKUP(JunSumm[[#This Row],[Category]],JunTable[Category],JunTable[Actual Spending])</f>
        <v>3230</v>
      </c>
      <c r="L8" s="5">
        <f>_xlfn.XLOOKUP(JunSumm[[#This Row],[Category]],JunTable[Category],JunTable[Difference])</f>
        <v>430</v>
      </c>
    </row>
    <row r="9" spans="1:12" x14ac:dyDescent="0.2">
      <c r="C9" s="15" t="s">
        <v>6</v>
      </c>
      <c r="D9" s="14"/>
      <c r="E9" s="14"/>
      <c r="F9" s="14"/>
      <c r="I9" s="5" t="s">
        <v>16</v>
      </c>
      <c r="J9" s="10">
        <f>_xlfn.XLOOKUP(JunSumm[[#This Row],[Category]],JunTable[Category],JunTable[Amount Budgeted])</f>
        <v>4500</v>
      </c>
      <c r="K9" s="10">
        <f>_xlfn.XLOOKUP(JunSumm[[#This Row],[Category]],JunTable[Category],JunTable[Actual Spending])</f>
        <v>4500</v>
      </c>
      <c r="L9" s="5">
        <f>_xlfn.XLOOKUP(JunSumm[[#This Row],[Category]],JunTable[Category],JunTable[Difference])</f>
        <v>0</v>
      </c>
    </row>
    <row r="10" spans="1:12" x14ac:dyDescent="0.2">
      <c r="C10" s="16" t="s">
        <v>7</v>
      </c>
      <c r="D10" s="17">
        <f>SUBTOTAL(9,D11:D13)</f>
        <v>11450</v>
      </c>
      <c r="E10" s="18">
        <f>SUBTOTAL(9,E11:E13)</f>
        <v>11250</v>
      </c>
      <c r="F10" s="18">
        <f>JunTable[[#This Row],[Actual Spending]]-JunTable[[#This Row],[Amount Budgeted]]</f>
        <v>-200</v>
      </c>
      <c r="I10" s="5" t="s">
        <v>14</v>
      </c>
      <c r="J10" s="10">
        <f>_xlfn.XLOOKUP(JunSumm[[#This Row],[Category]],JunTable[Category],JunTable[Amount Budgeted])</f>
        <v>6000</v>
      </c>
      <c r="K10" s="10">
        <f>_xlfn.XLOOKUP(JunSumm[[#This Row],[Category]],JunTable[Category],JunTable[Actual Spending])</f>
        <v>6130</v>
      </c>
      <c r="L10" s="5">
        <f>_xlfn.XLOOKUP(JunSumm[[#This Row],[Category]],JunTable[Category],JunTable[Difference])</f>
        <v>130</v>
      </c>
    </row>
    <row r="11" spans="1:12" x14ac:dyDescent="0.2">
      <c r="C11" s="12" t="s">
        <v>8</v>
      </c>
      <c r="D11" s="13">
        <v>10200</v>
      </c>
      <c r="E11" s="14">
        <v>10000</v>
      </c>
      <c r="F11" s="14">
        <f>JunTable[[#This Row],[Actual Spending]]-JunTable[[#This Row],[Amount Budgeted]]</f>
        <v>-200</v>
      </c>
      <c r="I11" s="5" t="s">
        <v>29</v>
      </c>
      <c r="J11" s="10">
        <f>_xlfn.XLOOKUP(JunSumm[[#This Row],[Category]],JunTable[Category],JunTable[Amount Budgeted])</f>
        <v>8500</v>
      </c>
      <c r="K11" s="10">
        <f>_xlfn.XLOOKUP(JunSumm[[#This Row],[Category]],JunTable[Category],JunTable[Actual Spending])</f>
        <v>8165</v>
      </c>
      <c r="L11" s="5">
        <f>_xlfn.XLOOKUP(JunSumm[[#This Row],[Category]],JunTable[Category],JunTable[Difference])</f>
        <v>-335</v>
      </c>
    </row>
    <row r="12" spans="1:12" x14ac:dyDescent="0.2">
      <c r="C12" s="12" t="s">
        <v>9</v>
      </c>
      <c r="D12" s="13">
        <v>500</v>
      </c>
      <c r="E12" s="14">
        <v>500</v>
      </c>
      <c r="F12" s="14"/>
      <c r="I12" s="5" t="s">
        <v>7</v>
      </c>
      <c r="J12" s="10">
        <f>_xlfn.XLOOKUP(JunSumm[[#This Row],[Category]],JunTable[Category],JunTable[Amount Budgeted])</f>
        <v>11450</v>
      </c>
      <c r="K12" s="10">
        <f>_xlfn.XLOOKUP(JunSumm[[#This Row],[Category]],JunTable[Category],JunTable[Actual Spending])</f>
        <v>11250</v>
      </c>
      <c r="L12" s="5">
        <f>_xlfn.XLOOKUP(JunSumm[[#This Row],[Category]],JunTable[Category],JunTable[Difference])</f>
        <v>-200</v>
      </c>
    </row>
    <row r="13" spans="1:12" x14ac:dyDescent="0.2">
      <c r="C13" s="12" t="s">
        <v>10</v>
      </c>
      <c r="D13" s="13">
        <v>750</v>
      </c>
      <c r="E13" s="14">
        <v>750</v>
      </c>
      <c r="F13" s="14"/>
    </row>
    <row r="14" spans="1:12" x14ac:dyDescent="0.2">
      <c r="C14" s="12"/>
      <c r="D14" s="13"/>
      <c r="E14" s="14"/>
      <c r="F14" s="14"/>
    </row>
    <row r="15" spans="1:12" x14ac:dyDescent="0.2">
      <c r="C15" s="16" t="s">
        <v>11</v>
      </c>
      <c r="D15" s="18">
        <f>SUBTOTAL(9,D16:D18)</f>
        <v>2800</v>
      </c>
      <c r="E15" s="18">
        <f>SUBTOTAL(9,E16:E18)</f>
        <v>3230</v>
      </c>
      <c r="F15" s="18">
        <f>JunTable[[#This Row],[Actual Spending]]-JunTable[[#This Row],[Amount Budgeted]]</f>
        <v>430</v>
      </c>
      <c r="I15" s="40" t="s">
        <v>41</v>
      </c>
      <c r="J15" s="40" t="s">
        <v>39</v>
      </c>
      <c r="K15" s="41" t="s">
        <v>43</v>
      </c>
    </row>
    <row r="16" spans="1:12" x14ac:dyDescent="0.2">
      <c r="C16" s="12" t="s">
        <v>12</v>
      </c>
      <c r="D16" s="13">
        <v>800</v>
      </c>
      <c r="E16" s="14">
        <v>800</v>
      </c>
      <c r="F16" s="14">
        <f>JunTable[[#This Row],[Actual Spending]]-JunTable[[#This Row],[Amount Budgeted]]</f>
        <v>0</v>
      </c>
      <c r="I16" s="42" t="s">
        <v>23</v>
      </c>
      <c r="J16" s="43">
        <v>2000</v>
      </c>
      <c r="K16" s="44">
        <v>2500</v>
      </c>
    </row>
    <row r="17" spans="3:11" x14ac:dyDescent="0.2">
      <c r="C17" s="12" t="s">
        <v>13</v>
      </c>
      <c r="D17" s="13">
        <v>500</v>
      </c>
      <c r="E17" s="14">
        <v>500</v>
      </c>
      <c r="F17" s="14"/>
      <c r="I17" s="45" t="s">
        <v>14</v>
      </c>
      <c r="J17" s="46">
        <v>6000</v>
      </c>
      <c r="K17" s="47">
        <v>6130</v>
      </c>
    </row>
    <row r="18" spans="3:11" x14ac:dyDescent="0.2">
      <c r="C18" s="12" t="s">
        <v>32</v>
      </c>
      <c r="D18" s="13">
        <v>1500</v>
      </c>
      <c r="E18" s="14">
        <v>1930</v>
      </c>
      <c r="F18" s="14">
        <f>JunTable[[#This Row],[Actual Spending]]-JunTable[[#This Row],[Amount Budgeted]]</f>
        <v>430</v>
      </c>
      <c r="I18" s="45" t="s">
        <v>7</v>
      </c>
      <c r="J18" s="46">
        <v>11450</v>
      </c>
      <c r="K18" s="47">
        <v>11250</v>
      </c>
    </row>
    <row r="19" spans="3:11" x14ac:dyDescent="0.2">
      <c r="C19" s="12"/>
      <c r="D19" s="13"/>
      <c r="E19" s="14"/>
      <c r="F19" s="14"/>
      <c r="I19" s="45" t="s">
        <v>20</v>
      </c>
      <c r="J19" s="46">
        <v>2000</v>
      </c>
      <c r="K19" s="47">
        <v>2000</v>
      </c>
    </row>
    <row r="20" spans="3:11" x14ac:dyDescent="0.2">
      <c r="C20" s="16" t="s">
        <v>14</v>
      </c>
      <c r="D20" s="18">
        <f>SUBTOTAL(9,D21:D22)</f>
        <v>6000</v>
      </c>
      <c r="E20" s="18">
        <f>SUBTOTAL(9,E21:E22)</f>
        <v>6130</v>
      </c>
      <c r="F20" s="18">
        <f>JunTable[[#This Row],[Actual Spending]]-JunTable[[#This Row],[Amount Budgeted]]</f>
        <v>130</v>
      </c>
      <c r="I20" s="45" t="s">
        <v>29</v>
      </c>
      <c r="J20" s="46">
        <v>8500</v>
      </c>
      <c r="K20" s="47">
        <v>8165</v>
      </c>
    </row>
    <row r="21" spans="3:11" x14ac:dyDescent="0.2">
      <c r="C21" s="12" t="s">
        <v>34</v>
      </c>
      <c r="D21" s="13">
        <v>4500</v>
      </c>
      <c r="E21" s="14">
        <v>5000</v>
      </c>
      <c r="F21" s="14">
        <f>JunTable[[#This Row],[Actual Spending]]-JunTable[[#This Row],[Amount Budgeted]]</f>
        <v>500</v>
      </c>
      <c r="I21" s="45" t="s">
        <v>25</v>
      </c>
      <c r="J21" s="46">
        <v>3000</v>
      </c>
      <c r="K21" s="47">
        <v>3000</v>
      </c>
    </row>
    <row r="22" spans="3:11" x14ac:dyDescent="0.2">
      <c r="C22" s="12" t="s">
        <v>15</v>
      </c>
      <c r="D22" s="13">
        <v>1500</v>
      </c>
      <c r="E22" s="14">
        <v>1130</v>
      </c>
      <c r="F22" s="14">
        <f>JunTable[[#This Row],[Actual Spending]]-JunTable[[#This Row],[Amount Budgeted]]</f>
        <v>-370</v>
      </c>
      <c r="I22" s="45" t="s">
        <v>16</v>
      </c>
      <c r="J22" s="46">
        <v>4500</v>
      </c>
      <c r="K22" s="47">
        <v>4500</v>
      </c>
    </row>
    <row r="23" spans="3:11" x14ac:dyDescent="0.2">
      <c r="C23" s="12"/>
      <c r="D23" s="13"/>
      <c r="E23" s="14"/>
      <c r="F23" s="14"/>
      <c r="I23" s="45" t="s">
        <v>11</v>
      </c>
      <c r="J23" s="46">
        <v>2800</v>
      </c>
      <c r="K23" s="47">
        <v>3230</v>
      </c>
    </row>
    <row r="24" spans="3:11" x14ac:dyDescent="0.2">
      <c r="C24" s="16" t="s">
        <v>16</v>
      </c>
      <c r="D24" s="18">
        <f>SUBTOTAL(9,D25:D27)</f>
        <v>4500</v>
      </c>
      <c r="E24" s="18">
        <f>SUBTOTAL(9,E25:E27)</f>
        <v>4500</v>
      </c>
      <c r="F24" s="18">
        <f>JunTable[[#This Row],[Actual Spending]]-JunTable[[#This Row],[Amount Budgeted]]</f>
        <v>0</v>
      </c>
      <c r="I24" s="48" t="s">
        <v>42</v>
      </c>
      <c r="J24" s="49">
        <v>40250</v>
      </c>
      <c r="K24" s="50">
        <v>40775</v>
      </c>
    </row>
    <row r="25" spans="3:11" x14ac:dyDescent="0.2">
      <c r="C25" s="12" t="s">
        <v>17</v>
      </c>
      <c r="D25" s="13">
        <v>2000</v>
      </c>
      <c r="E25" s="14">
        <v>2000</v>
      </c>
      <c r="F25" s="14">
        <f>JunTable[[#This Row],[Actual Spending]]-JunTable[[#This Row],[Amount Budgeted]]</f>
        <v>0</v>
      </c>
    </row>
    <row r="26" spans="3:11" x14ac:dyDescent="0.2">
      <c r="C26" s="12" t="s">
        <v>18</v>
      </c>
      <c r="D26" s="13">
        <v>2000</v>
      </c>
      <c r="E26" s="14">
        <v>1500</v>
      </c>
      <c r="F26" s="14">
        <f>JunTable[[#This Row],[Actual Spending]]-JunTable[[#This Row],[Amount Budgeted]]</f>
        <v>-500</v>
      </c>
    </row>
    <row r="27" spans="3:11" x14ac:dyDescent="0.2">
      <c r="C27" s="12" t="s">
        <v>19</v>
      </c>
      <c r="D27" s="13">
        <v>500</v>
      </c>
      <c r="E27" s="14">
        <v>1000</v>
      </c>
      <c r="F27" s="14">
        <f>JunTable[[#This Row],[Actual Spending]]-JunTable[[#This Row],[Amount Budgeted]]</f>
        <v>500</v>
      </c>
    </row>
    <row r="28" spans="3:11" x14ac:dyDescent="0.2">
      <c r="C28" s="12"/>
      <c r="D28" s="13"/>
      <c r="E28" s="14"/>
      <c r="F28" s="14"/>
    </row>
    <row r="29" spans="3:11" x14ac:dyDescent="0.2">
      <c r="C29" s="16" t="s">
        <v>20</v>
      </c>
      <c r="D29" s="18">
        <f>SUBTOTAL(9, D30:D31)</f>
        <v>2000</v>
      </c>
      <c r="E29" s="18">
        <f>SUBTOTAL(9,E30:E31)</f>
        <v>2000</v>
      </c>
      <c r="F29" s="18">
        <f>JunTable[[#This Row],[Actual Spending]]-JunTable[[#This Row],[Amount Budgeted]]</f>
        <v>0</v>
      </c>
    </row>
    <row r="30" spans="3:11" x14ac:dyDescent="0.2">
      <c r="C30" s="12" t="s">
        <v>21</v>
      </c>
      <c r="D30" s="13">
        <v>500</v>
      </c>
      <c r="E30" s="14">
        <v>500</v>
      </c>
      <c r="F30" s="14">
        <f>JunTable[[#This Row],[Actual Spending]]-JunTable[[#This Row],[Amount Budgeted]]</f>
        <v>0</v>
      </c>
    </row>
    <row r="31" spans="3:11" x14ac:dyDescent="0.2">
      <c r="C31" s="12" t="s">
        <v>22</v>
      </c>
      <c r="D31" s="13">
        <v>1500</v>
      </c>
      <c r="E31" s="14">
        <v>1500</v>
      </c>
      <c r="F31" s="14">
        <f>JunTable[[#This Row],[Actual Spending]]-JunTable[[#This Row],[Amount Budgeted]]</f>
        <v>0</v>
      </c>
    </row>
    <row r="32" spans="3:11" x14ac:dyDescent="0.2">
      <c r="C32" s="12"/>
      <c r="D32" s="13"/>
      <c r="E32" s="14"/>
      <c r="F32" s="14"/>
    </row>
    <row r="33" spans="3:6" x14ac:dyDescent="0.2">
      <c r="C33" s="16" t="s">
        <v>23</v>
      </c>
      <c r="D33" s="18">
        <f>SUBTOTAL(9,D34)</f>
        <v>2000</v>
      </c>
      <c r="E33" s="18">
        <f>SUBTOTAL(9,E34)</f>
        <v>2500</v>
      </c>
      <c r="F33" s="18">
        <f>JunTable[[#This Row],[Actual Spending]]-JunTable[[#This Row],[Amount Budgeted]]</f>
        <v>500</v>
      </c>
    </row>
    <row r="34" spans="3:6" x14ac:dyDescent="0.2">
      <c r="C34" s="12" t="s">
        <v>24</v>
      </c>
      <c r="D34" s="13">
        <v>2000</v>
      </c>
      <c r="E34" s="14">
        <v>2500</v>
      </c>
      <c r="F34" s="14">
        <f>JunTable[[#This Row],[Actual Spending]]-JunTable[[#This Row],[Amount Budgeted]]</f>
        <v>500</v>
      </c>
    </row>
    <row r="35" spans="3:6" x14ac:dyDescent="0.2">
      <c r="C35" s="12"/>
      <c r="D35" s="13"/>
      <c r="E35" s="14"/>
      <c r="F35" s="14"/>
    </row>
    <row r="36" spans="3:6" x14ac:dyDescent="0.2">
      <c r="C36" s="16" t="s">
        <v>29</v>
      </c>
      <c r="D36" s="18">
        <f>SUBTOTAL(9,D37:D39)</f>
        <v>8500</v>
      </c>
      <c r="E36" s="18">
        <f>SUBTOTAL(9,E37:E39)</f>
        <v>8165</v>
      </c>
      <c r="F36" s="18">
        <f>JunTable[[#This Row],[Actual Spending]]-JunTable[[#This Row],[Amount Budgeted]]</f>
        <v>-335</v>
      </c>
    </row>
    <row r="37" spans="3:6" x14ac:dyDescent="0.2">
      <c r="C37" s="12" t="s">
        <v>30</v>
      </c>
      <c r="D37" s="13">
        <v>500</v>
      </c>
      <c r="E37" s="14">
        <v>0</v>
      </c>
      <c r="F37" s="14">
        <f>JunTable[[#This Row],[Actual Spending]]-JunTable[[#This Row],[Amount Budgeted]]</f>
        <v>-500</v>
      </c>
    </row>
    <row r="38" spans="3:6" x14ac:dyDescent="0.2">
      <c r="C38" s="24" t="s">
        <v>31</v>
      </c>
      <c r="D38" s="25">
        <v>4000</v>
      </c>
      <c r="E38" s="26">
        <v>3565</v>
      </c>
      <c r="F38" s="14">
        <f>JunTable[[#This Row],[Actual Spending]]-JunTable[[#This Row],[Amount Budgeted]]</f>
        <v>-435</v>
      </c>
    </row>
    <row r="39" spans="3:6" x14ac:dyDescent="0.2">
      <c r="C39" s="24" t="s">
        <v>33</v>
      </c>
      <c r="D39" s="25">
        <v>4000</v>
      </c>
      <c r="E39" s="26">
        <v>4600</v>
      </c>
      <c r="F39" s="14">
        <f>JunTable[[#This Row],[Actual Spending]]-JunTable[[#This Row],[Amount Budgeted]]</f>
        <v>600</v>
      </c>
    </row>
    <row r="40" spans="3:6" x14ac:dyDescent="0.2">
      <c r="C40" s="12"/>
      <c r="D40" s="13"/>
      <c r="E40" s="14"/>
      <c r="F40" s="14"/>
    </row>
    <row r="41" spans="3:6" x14ac:dyDescent="0.2">
      <c r="C41" s="16" t="s">
        <v>25</v>
      </c>
      <c r="D41" s="17">
        <f>SUBTOTAL(9,D42:D44)</f>
        <v>3000</v>
      </c>
      <c r="E41" s="18">
        <f>SUBTOTAL(9,E42:E44)</f>
        <v>3000</v>
      </c>
      <c r="F41" s="18">
        <f>JunTable[[#This Row],[Actual Spending]]-JunTable[[#This Row],[Amount Budgeted]]</f>
        <v>0</v>
      </c>
    </row>
    <row r="42" spans="3:6" x14ac:dyDescent="0.2">
      <c r="C42" s="12" t="s">
        <v>26</v>
      </c>
      <c r="D42" s="13">
        <v>500</v>
      </c>
      <c r="E42" s="14">
        <v>0</v>
      </c>
      <c r="F42" s="14">
        <f>JunTable[[#This Row],[Actual Spending]]-JunTable[[#This Row],[Amount Budgeted]]</f>
        <v>-500</v>
      </c>
    </row>
    <row r="43" spans="3:6" x14ac:dyDescent="0.2">
      <c r="C43" s="12" t="s">
        <v>27</v>
      </c>
      <c r="D43" s="13">
        <v>500</v>
      </c>
      <c r="E43" s="14">
        <v>1000</v>
      </c>
      <c r="F43" s="14">
        <f>JunTable[[#This Row],[Actual Spending]]-JunTable[[#This Row],[Amount Budgeted]]</f>
        <v>500</v>
      </c>
    </row>
    <row r="44" spans="3:6" x14ac:dyDescent="0.2">
      <c r="C44" s="12" t="s">
        <v>28</v>
      </c>
      <c r="D44" s="13">
        <v>2000</v>
      </c>
      <c r="E44" s="14">
        <v>2000</v>
      </c>
      <c r="F44" s="14">
        <f>JunTable[[#This Row],[Actual Spending]]-JunTable[[#This Row],[Amount Budgeted]]</f>
        <v>0</v>
      </c>
    </row>
  </sheetData>
  <mergeCells count="1">
    <mergeCell ref="A1:XFD2"/>
  </mergeCells>
  <conditionalFormatting sqref="L5:L12">
    <cfRule type="dataBar" priority="15">
      <dataBar showValue="0">
        <cfvo type="min"/>
        <cfvo type="max"/>
        <color rgb="FF638EC6"/>
      </dataBar>
      <extLst>
        <ext xmlns:x14="http://schemas.microsoft.com/office/spreadsheetml/2009/9/main" uri="{B025F937-C7B1-47D3-B67F-A62EFF666E3E}">
          <x14:id>{A2643737-21C1-4EE7-B24A-506D65F6C58B}</x14:id>
        </ext>
      </extLst>
    </cfRule>
    <cfRule type="dataBar" priority="16">
      <dataBar>
        <cfvo type="min"/>
        <cfvo type="max"/>
        <color rgb="FF638EC6"/>
      </dataBar>
      <extLst>
        <ext xmlns:x14="http://schemas.microsoft.com/office/spreadsheetml/2009/9/main" uri="{B025F937-C7B1-47D3-B67F-A62EFF666E3E}">
          <x14:id>{6FE92BA4-2F07-425B-990B-5C0999826FD6}</x14:id>
        </ext>
      </extLst>
    </cfRule>
  </conditionalFormatting>
  <pageMargins left="0.7" right="0.7" top="0.75" bottom="0.75" header="0.3" footer="0.3"/>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A2643737-21C1-4EE7-B24A-506D65F6C58B}">
            <x14:dataBar minLength="0" maxLength="100" gradient="0">
              <x14:cfvo type="autoMin"/>
              <x14:cfvo type="autoMax"/>
              <x14:negativeFillColor rgb="FFFF0000"/>
              <x14:axisColor rgb="FF000000"/>
            </x14:dataBar>
          </x14:cfRule>
          <x14:cfRule type="dataBar" id="{6FE92BA4-2F07-425B-990B-5C0999826FD6}">
            <x14:dataBar minLength="0" maxLength="100" border="1" negativeBarBorderColorSameAsPositive="0">
              <x14:cfvo type="autoMin"/>
              <x14:cfvo type="autoMax"/>
              <x14:borderColor rgb="FF638EC6"/>
              <x14:negativeFillColor rgb="FFFF0000"/>
              <x14:negativeBorderColor rgb="FFFF0000"/>
              <x14:axisColor rgb="FF000000"/>
            </x14:dataBar>
          </x14:cfRule>
          <xm:sqref>L5:L12</xm:sqref>
        </x14:conditionalFormatting>
      </x14:conditionalFormattings>
    </ext>
    <ext xmlns:x14="http://schemas.microsoft.com/office/spreadsheetml/2009/9/main" uri="{A8765BA9-456A-4dab-B4F3-ACF838C121DE}">
      <x14:slicerList>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8631C-9BD2-4A76-8C6F-41FD61E6E9A1}">
  <dimension ref="A1:L44"/>
  <sheetViews>
    <sheetView topLeftCell="A26" workbookViewId="0">
      <selection activeCell="B49" sqref="A1:XFD1048576"/>
    </sheetView>
  </sheetViews>
  <sheetFormatPr defaultRowHeight="12.75" x14ac:dyDescent="0.2"/>
  <cols>
    <col min="1" max="2" width="9.140625" style="5"/>
    <col min="3" max="3" width="24.85546875" style="5" bestFit="1" customWidth="1"/>
    <col min="4" max="4" width="30.42578125" style="5" bestFit="1" customWidth="1"/>
    <col min="5" max="5" width="27.7109375" style="5" bestFit="1" customWidth="1"/>
    <col min="6" max="6" width="18.42578125" style="5" bestFit="1" customWidth="1"/>
    <col min="7" max="8" width="9.140625" style="5"/>
    <col min="9" max="9" width="18.85546875" style="5" bestFit="1" customWidth="1"/>
    <col min="10" max="10" width="12.42578125" style="5" bestFit="1" customWidth="1"/>
    <col min="11" max="11" width="11.7109375" style="5" bestFit="1" customWidth="1"/>
    <col min="12" max="12" width="16.140625" style="5" bestFit="1" customWidth="1"/>
    <col min="13" max="16384" width="9.140625" style="5"/>
  </cols>
  <sheetData>
    <row r="1" spans="1:12" s="27" customFormat="1" ht="24" customHeight="1" x14ac:dyDescent="0.2">
      <c r="A1" s="27" t="s">
        <v>57</v>
      </c>
    </row>
    <row r="2" spans="1:12" s="27" customFormat="1" ht="24" customHeight="1" x14ac:dyDescent="0.2"/>
    <row r="4" spans="1:12" x14ac:dyDescent="0.2">
      <c r="C4" s="28" t="s">
        <v>0</v>
      </c>
      <c r="D4" s="29" t="s">
        <v>1</v>
      </c>
      <c r="E4" s="29" t="s">
        <v>2</v>
      </c>
      <c r="F4" s="29" t="s">
        <v>3</v>
      </c>
      <c r="I4" s="30" t="s">
        <v>0</v>
      </c>
      <c r="J4" s="30" t="s">
        <v>35</v>
      </c>
      <c r="K4" s="30" t="s">
        <v>36</v>
      </c>
      <c r="L4" s="30" t="s">
        <v>3</v>
      </c>
    </row>
    <row r="5" spans="1:12" x14ac:dyDescent="0.2">
      <c r="C5" s="15" t="s">
        <v>4</v>
      </c>
      <c r="D5" s="14">
        <f>SUBTOTAL(9,D6:D7)</f>
        <v>48000</v>
      </c>
      <c r="E5" s="14"/>
      <c r="F5" s="14"/>
      <c r="I5" s="5" t="s">
        <v>23</v>
      </c>
      <c r="J5" s="10">
        <f>_xlfn.XLOOKUP(JulSumm[[#This Row],[Category]],JulTable[Category],JulTable[Amount Budgeted])</f>
        <v>2000</v>
      </c>
      <c r="K5" s="10">
        <f>_xlfn.XLOOKUP(JulSumm[[#This Row],[Category]],JulTable[Category],JulTable[Actual Spending])</f>
        <v>2500</v>
      </c>
      <c r="L5" s="5">
        <f>_xlfn.XLOOKUP(JulSumm[[#This Row],[Category]],JulTable[Category],JulTable[Difference])</f>
        <v>500</v>
      </c>
    </row>
    <row r="6" spans="1:12" x14ac:dyDescent="0.2">
      <c r="C6" s="12" t="s">
        <v>5</v>
      </c>
      <c r="D6" s="13">
        <v>40000</v>
      </c>
      <c r="E6" s="14"/>
      <c r="F6" s="14"/>
      <c r="I6" s="5" t="s">
        <v>20</v>
      </c>
      <c r="J6" s="10">
        <f>_xlfn.XLOOKUP(JulSumm[[#This Row],[Category]],JulTable[Category],JulTable[Amount Budgeted])</f>
        <v>2000</v>
      </c>
      <c r="K6" s="10">
        <f>_xlfn.XLOOKUP(JulSumm[[#This Row],[Category]],JulTable[Category],JulTable[Actual Spending])</f>
        <v>2000</v>
      </c>
      <c r="L6" s="5">
        <f>_xlfn.XLOOKUP(JulSumm[[#This Row],[Category]],JanTable[Category],JanTable[Difference])</f>
        <v>0</v>
      </c>
    </row>
    <row r="7" spans="1:12" x14ac:dyDescent="0.2">
      <c r="C7" s="12" t="s">
        <v>37</v>
      </c>
      <c r="D7" s="13">
        <v>8000</v>
      </c>
      <c r="E7" s="14"/>
      <c r="F7" s="14"/>
      <c r="I7" s="5" t="s">
        <v>25</v>
      </c>
      <c r="J7" s="10">
        <f>_xlfn.XLOOKUP(JulSumm[[#This Row],[Category]],JulTable[Category],JulTable[Amount Budgeted])</f>
        <v>2000</v>
      </c>
      <c r="K7" s="10">
        <f>_xlfn.XLOOKUP(JulSumm[[#This Row],[Category]],JulTable[Category],JulTable[Actual Spending])</f>
        <v>3000</v>
      </c>
      <c r="L7" s="5">
        <f>_xlfn.XLOOKUP(JulSumm[[#This Row],[Category]],JanTable[Category],JanTable[Difference])</f>
        <v>1000</v>
      </c>
    </row>
    <row r="8" spans="1:12" x14ac:dyDescent="0.2">
      <c r="C8" s="12"/>
      <c r="D8" s="13"/>
      <c r="E8" s="14"/>
      <c r="F8" s="14"/>
      <c r="I8" s="5" t="s">
        <v>11</v>
      </c>
      <c r="J8" s="10">
        <f>_xlfn.XLOOKUP(JulSumm[[#This Row],[Category]],JulTable[Category],JulTable[Amount Budgeted])</f>
        <v>3300</v>
      </c>
      <c r="K8" s="10">
        <f>_xlfn.XLOOKUP(JulSumm[[#This Row],[Category]],JulTable[Category],JulTable[Actual Spending])</f>
        <v>3230</v>
      </c>
      <c r="L8" s="5">
        <f>_xlfn.XLOOKUP(JulSumm[[#This Row],[Category]],JanTable[Category],JanTable[Difference])</f>
        <v>480</v>
      </c>
    </row>
    <row r="9" spans="1:12" x14ac:dyDescent="0.2">
      <c r="C9" s="15" t="s">
        <v>6</v>
      </c>
      <c r="D9" s="14"/>
      <c r="E9" s="14"/>
      <c r="F9" s="14"/>
      <c r="I9" s="5" t="s">
        <v>16</v>
      </c>
      <c r="J9" s="10">
        <f>_xlfn.XLOOKUP(JulSumm[[#This Row],[Category]],JulTable[Category],JulTable[Amount Budgeted])</f>
        <v>4500</v>
      </c>
      <c r="K9" s="10">
        <f>_xlfn.XLOOKUP(JulSumm[[#This Row],[Category]],JulTable[Category],JulTable[Actual Spending])</f>
        <v>5000</v>
      </c>
      <c r="L9" s="5">
        <f>_xlfn.XLOOKUP(JulSumm[[#This Row],[Category]],JanTable[Category],JanTable[Difference])</f>
        <v>400</v>
      </c>
    </row>
    <row r="10" spans="1:12" x14ac:dyDescent="0.2">
      <c r="C10" s="16" t="s">
        <v>7</v>
      </c>
      <c r="D10" s="17">
        <f>SUBTOTAL(9,D11:D13)</f>
        <v>11450</v>
      </c>
      <c r="E10" s="18">
        <f>SUBTOTAL(9,E11:E13)</f>
        <v>11250</v>
      </c>
      <c r="F10" s="18">
        <f>JulTable[[#This Row],[Actual Spending]]-JulTable[[#This Row],[Amount Budgeted]]</f>
        <v>-200</v>
      </c>
      <c r="I10" s="5" t="s">
        <v>14</v>
      </c>
      <c r="J10" s="10">
        <f>_xlfn.XLOOKUP(JulSumm[[#This Row],[Category]],JulTable[Category],JulTable[Amount Budgeted])</f>
        <v>5500</v>
      </c>
      <c r="K10" s="10">
        <f>_xlfn.XLOOKUP(JulSumm[[#This Row],[Category]],JulTable[Category],JulTable[Actual Spending])</f>
        <v>5967</v>
      </c>
      <c r="L10" s="5">
        <f>_xlfn.XLOOKUP(JulSumm[[#This Row],[Category]],JanTable[Category],JanTable[Difference])</f>
        <v>1216</v>
      </c>
    </row>
    <row r="11" spans="1:12" x14ac:dyDescent="0.2">
      <c r="C11" s="12" t="s">
        <v>8</v>
      </c>
      <c r="D11" s="13">
        <v>10200</v>
      </c>
      <c r="E11" s="14">
        <v>10000</v>
      </c>
      <c r="F11" s="14">
        <f>JulTable[[#This Row],[Actual Spending]]-JulTable[[#This Row],[Amount Budgeted]]</f>
        <v>-200</v>
      </c>
      <c r="I11" s="5" t="s">
        <v>29</v>
      </c>
      <c r="J11" s="10">
        <f>_xlfn.XLOOKUP(JulSumm[[#This Row],[Category]],JulTable[Category],JulTable[Amount Budgeted])</f>
        <v>6500</v>
      </c>
      <c r="K11" s="10">
        <f>_xlfn.XLOOKUP(JulSumm[[#This Row],[Category]],JulTable[Category],JulTable[Actual Spending])</f>
        <v>10554</v>
      </c>
      <c r="L11" s="5">
        <f>_xlfn.XLOOKUP(JulSumm[[#This Row],[Category]],JanTable[Category],JanTable[Difference])</f>
        <v>1635</v>
      </c>
    </row>
    <row r="12" spans="1:12" x14ac:dyDescent="0.2">
      <c r="C12" s="12" t="s">
        <v>9</v>
      </c>
      <c r="D12" s="13">
        <v>500</v>
      </c>
      <c r="E12" s="14">
        <v>500</v>
      </c>
      <c r="F12" s="14"/>
      <c r="I12" s="5" t="s">
        <v>7</v>
      </c>
      <c r="J12" s="10">
        <f>_xlfn.XLOOKUP(JulSumm[[#This Row],[Category]],JulTable[Category],JulTable[Amount Budgeted])</f>
        <v>11450</v>
      </c>
      <c r="K12" s="10">
        <f>_xlfn.XLOOKUP(JulSumm[[#This Row],[Category]],JulTable[Category],JulTable[Actual Spending])</f>
        <v>11250</v>
      </c>
      <c r="L12" s="5">
        <f>_xlfn.XLOOKUP(JulSumm[[#This Row],[Category]],JanTable[Category],JanTable[Difference])</f>
        <v>201</v>
      </c>
    </row>
    <row r="13" spans="1:12" x14ac:dyDescent="0.2">
      <c r="C13" s="12" t="s">
        <v>10</v>
      </c>
      <c r="D13" s="13">
        <v>750</v>
      </c>
      <c r="E13" s="14">
        <v>750</v>
      </c>
      <c r="F13" s="14"/>
    </row>
    <row r="14" spans="1:12" x14ac:dyDescent="0.2">
      <c r="C14" s="12"/>
      <c r="D14" s="13"/>
      <c r="E14" s="14"/>
      <c r="F14" s="14"/>
    </row>
    <row r="15" spans="1:12" x14ac:dyDescent="0.2">
      <c r="C15" s="16" t="s">
        <v>11</v>
      </c>
      <c r="D15" s="18">
        <f>SUBTOTAL(9,D16:D18)</f>
        <v>3300</v>
      </c>
      <c r="E15" s="18">
        <f>SUBTOTAL(9,E16:E18)</f>
        <v>3230</v>
      </c>
      <c r="F15" s="18">
        <f>JulTable[[#This Row],[Actual Spending]]-JulTable[[#This Row],[Amount Budgeted]]</f>
        <v>-70</v>
      </c>
    </row>
    <row r="16" spans="1:12" x14ac:dyDescent="0.2">
      <c r="C16" s="12" t="s">
        <v>12</v>
      </c>
      <c r="D16" s="13">
        <v>800</v>
      </c>
      <c r="E16" s="14">
        <v>800</v>
      </c>
      <c r="F16" s="14">
        <f>JulTable[[#This Row],[Actual Spending]]-JulTable[[#This Row],[Amount Budgeted]]</f>
        <v>0</v>
      </c>
      <c r="I16" s="40" t="s">
        <v>41</v>
      </c>
      <c r="J16" s="40" t="s">
        <v>39</v>
      </c>
      <c r="K16" s="41" t="s">
        <v>43</v>
      </c>
    </row>
    <row r="17" spans="3:11" x14ac:dyDescent="0.2">
      <c r="C17" s="12" t="s">
        <v>13</v>
      </c>
      <c r="D17" s="13">
        <v>500</v>
      </c>
      <c r="E17" s="14">
        <v>500</v>
      </c>
      <c r="F17" s="14"/>
      <c r="I17" s="42" t="s">
        <v>23</v>
      </c>
      <c r="J17" s="43">
        <v>2000</v>
      </c>
      <c r="K17" s="44">
        <v>2500</v>
      </c>
    </row>
    <row r="18" spans="3:11" x14ac:dyDescent="0.2">
      <c r="C18" s="12" t="s">
        <v>32</v>
      </c>
      <c r="D18" s="13">
        <v>2000</v>
      </c>
      <c r="E18" s="14">
        <v>1930</v>
      </c>
      <c r="F18" s="14">
        <f>JulTable[[#This Row],[Actual Spending]]-JulTable[[#This Row],[Amount Budgeted]]</f>
        <v>-70</v>
      </c>
      <c r="I18" s="45" t="s">
        <v>14</v>
      </c>
      <c r="J18" s="46">
        <v>5500</v>
      </c>
      <c r="K18" s="47">
        <v>5967</v>
      </c>
    </row>
    <row r="19" spans="3:11" x14ac:dyDescent="0.2">
      <c r="C19" s="12"/>
      <c r="D19" s="13"/>
      <c r="E19" s="14"/>
      <c r="F19" s="14"/>
      <c r="I19" s="45" t="s">
        <v>7</v>
      </c>
      <c r="J19" s="46">
        <v>11450</v>
      </c>
      <c r="K19" s="47">
        <v>11250</v>
      </c>
    </row>
    <row r="20" spans="3:11" x14ac:dyDescent="0.2">
      <c r="C20" s="16" t="s">
        <v>14</v>
      </c>
      <c r="D20" s="18">
        <f>SUBTOTAL(9,D21:D22)</f>
        <v>5500</v>
      </c>
      <c r="E20" s="18">
        <f>SUBTOTAL(9,E21:E22)</f>
        <v>5967</v>
      </c>
      <c r="F20" s="18">
        <f>JulTable[[#This Row],[Actual Spending]]-JulTable[[#This Row],[Amount Budgeted]]</f>
        <v>467</v>
      </c>
      <c r="I20" s="45" t="s">
        <v>20</v>
      </c>
      <c r="J20" s="46">
        <v>2000</v>
      </c>
      <c r="K20" s="47">
        <v>2000</v>
      </c>
    </row>
    <row r="21" spans="3:11" x14ac:dyDescent="0.2">
      <c r="C21" s="12" t="s">
        <v>34</v>
      </c>
      <c r="D21" s="13">
        <v>4000</v>
      </c>
      <c r="E21" s="14">
        <v>4677</v>
      </c>
      <c r="F21" s="14">
        <f>JulTable[[#This Row],[Actual Spending]]-JulTable[[#This Row],[Amount Budgeted]]</f>
        <v>677</v>
      </c>
      <c r="I21" s="45" t="s">
        <v>29</v>
      </c>
      <c r="J21" s="46">
        <v>6500</v>
      </c>
      <c r="K21" s="47">
        <v>10554</v>
      </c>
    </row>
    <row r="22" spans="3:11" x14ac:dyDescent="0.2">
      <c r="C22" s="12" t="s">
        <v>15</v>
      </c>
      <c r="D22" s="13">
        <v>1500</v>
      </c>
      <c r="E22" s="14">
        <v>1290</v>
      </c>
      <c r="F22" s="14">
        <f>JulTable[[#This Row],[Actual Spending]]-JulTable[[#This Row],[Amount Budgeted]]</f>
        <v>-210</v>
      </c>
      <c r="I22" s="45" t="s">
        <v>25</v>
      </c>
      <c r="J22" s="46">
        <v>2000</v>
      </c>
      <c r="K22" s="47">
        <v>3000</v>
      </c>
    </row>
    <row r="23" spans="3:11" x14ac:dyDescent="0.2">
      <c r="C23" s="12"/>
      <c r="D23" s="13"/>
      <c r="E23" s="14"/>
      <c r="F23" s="14"/>
      <c r="I23" s="45" t="s">
        <v>16</v>
      </c>
      <c r="J23" s="46">
        <v>4500</v>
      </c>
      <c r="K23" s="47">
        <v>5000</v>
      </c>
    </row>
    <row r="24" spans="3:11" x14ac:dyDescent="0.2">
      <c r="C24" s="16" t="s">
        <v>16</v>
      </c>
      <c r="D24" s="18">
        <f>SUBTOTAL(9,D25:D27)</f>
        <v>4500</v>
      </c>
      <c r="E24" s="18">
        <f>SUBTOTAL(9,E25:E27)</f>
        <v>5000</v>
      </c>
      <c r="F24" s="18">
        <f>JulTable[[#This Row],[Actual Spending]]-JulTable[[#This Row],[Amount Budgeted]]</f>
        <v>500</v>
      </c>
      <c r="I24" s="45" t="s">
        <v>11</v>
      </c>
      <c r="J24" s="46">
        <v>3300</v>
      </c>
      <c r="K24" s="47">
        <v>3230</v>
      </c>
    </row>
    <row r="25" spans="3:11" x14ac:dyDescent="0.2">
      <c r="C25" s="12" t="s">
        <v>17</v>
      </c>
      <c r="D25" s="13">
        <v>2000</v>
      </c>
      <c r="E25" s="14">
        <v>2000</v>
      </c>
      <c r="F25" s="14">
        <f>JulTable[[#This Row],[Actual Spending]]-JulTable[[#This Row],[Amount Budgeted]]</f>
        <v>0</v>
      </c>
      <c r="I25" s="48" t="s">
        <v>42</v>
      </c>
      <c r="J25" s="49">
        <v>37250</v>
      </c>
      <c r="K25" s="50">
        <v>43501</v>
      </c>
    </row>
    <row r="26" spans="3:11" x14ac:dyDescent="0.2">
      <c r="C26" s="12" t="s">
        <v>18</v>
      </c>
      <c r="D26" s="13">
        <v>1000</v>
      </c>
      <c r="E26" s="14">
        <v>3000</v>
      </c>
      <c r="F26" s="14">
        <f>JulTable[[#This Row],[Actual Spending]]-JulTable[[#This Row],[Amount Budgeted]]</f>
        <v>2000</v>
      </c>
    </row>
    <row r="27" spans="3:11" x14ac:dyDescent="0.2">
      <c r="C27" s="12" t="s">
        <v>19</v>
      </c>
      <c r="D27" s="13">
        <v>1500</v>
      </c>
      <c r="E27" s="14">
        <v>0</v>
      </c>
      <c r="F27" s="14">
        <f>JulTable[[#This Row],[Actual Spending]]-JulTable[[#This Row],[Amount Budgeted]]</f>
        <v>-1500</v>
      </c>
    </row>
    <row r="28" spans="3:11" x14ac:dyDescent="0.2">
      <c r="C28" s="12"/>
      <c r="D28" s="13"/>
      <c r="E28" s="14"/>
      <c r="F28" s="14"/>
    </row>
    <row r="29" spans="3:11" x14ac:dyDescent="0.2">
      <c r="C29" s="16" t="s">
        <v>20</v>
      </c>
      <c r="D29" s="18">
        <f>SUBTOTAL(9, D30:D31)</f>
        <v>2000</v>
      </c>
      <c r="E29" s="18">
        <f>SUBTOTAL(9,E30:E31)</f>
        <v>2000</v>
      </c>
      <c r="F29" s="18">
        <f>JulTable[[#This Row],[Actual Spending]]-JulTable[[#This Row],[Amount Budgeted]]</f>
        <v>0</v>
      </c>
    </row>
    <row r="30" spans="3:11" x14ac:dyDescent="0.2">
      <c r="C30" s="12" t="s">
        <v>21</v>
      </c>
      <c r="D30" s="13">
        <v>500</v>
      </c>
      <c r="E30" s="14">
        <v>500</v>
      </c>
      <c r="F30" s="14">
        <f>JulTable[[#This Row],[Actual Spending]]-JulTable[[#This Row],[Amount Budgeted]]</f>
        <v>0</v>
      </c>
    </row>
    <row r="31" spans="3:11" x14ac:dyDescent="0.2">
      <c r="C31" s="12" t="s">
        <v>22</v>
      </c>
      <c r="D31" s="13">
        <v>1500</v>
      </c>
      <c r="E31" s="14">
        <v>1500</v>
      </c>
      <c r="F31" s="14">
        <f>JulTable[[#This Row],[Actual Spending]]-JulTable[[#This Row],[Amount Budgeted]]</f>
        <v>0</v>
      </c>
    </row>
    <row r="32" spans="3:11" x14ac:dyDescent="0.2">
      <c r="C32" s="12"/>
      <c r="D32" s="13"/>
      <c r="E32" s="14"/>
      <c r="F32" s="14"/>
    </row>
    <row r="33" spans="3:6" x14ac:dyDescent="0.2">
      <c r="C33" s="16" t="s">
        <v>23</v>
      </c>
      <c r="D33" s="18">
        <f>SUBTOTAL(9,D34)</f>
        <v>2000</v>
      </c>
      <c r="E33" s="18">
        <f>SUBTOTAL(9,E34)</f>
        <v>2500</v>
      </c>
      <c r="F33" s="18">
        <f>JulTable[[#This Row],[Actual Spending]]-JulTable[[#This Row],[Amount Budgeted]]</f>
        <v>500</v>
      </c>
    </row>
    <row r="34" spans="3:6" x14ac:dyDescent="0.2">
      <c r="C34" s="12" t="s">
        <v>24</v>
      </c>
      <c r="D34" s="13">
        <v>2000</v>
      </c>
      <c r="E34" s="14">
        <v>2500</v>
      </c>
      <c r="F34" s="14">
        <f>JulTable[[#This Row],[Actual Spending]]-JulTable[[#This Row],[Amount Budgeted]]</f>
        <v>500</v>
      </c>
    </row>
    <row r="35" spans="3:6" x14ac:dyDescent="0.2">
      <c r="C35" s="12"/>
      <c r="D35" s="13"/>
      <c r="E35" s="14"/>
      <c r="F35" s="14"/>
    </row>
    <row r="36" spans="3:6" x14ac:dyDescent="0.2">
      <c r="C36" s="16" t="s">
        <v>29</v>
      </c>
      <c r="D36" s="18">
        <f>SUBTOTAL(9,D37:D39)</f>
        <v>6500</v>
      </c>
      <c r="E36" s="18">
        <f>SUBTOTAL(9,E37:E39)</f>
        <v>10554</v>
      </c>
      <c r="F36" s="18">
        <f>JulTable[[#This Row],[Actual Spending]]-JulTable[[#This Row],[Amount Budgeted]]</f>
        <v>4054</v>
      </c>
    </row>
    <row r="37" spans="3:6" x14ac:dyDescent="0.2">
      <c r="C37" s="12" t="s">
        <v>30</v>
      </c>
      <c r="D37" s="13">
        <v>500</v>
      </c>
      <c r="E37" s="14">
        <v>554</v>
      </c>
      <c r="F37" s="14">
        <f>JulTable[[#This Row],[Actual Spending]]-JulTable[[#This Row],[Amount Budgeted]]</f>
        <v>54</v>
      </c>
    </row>
    <row r="38" spans="3:6" x14ac:dyDescent="0.2">
      <c r="C38" s="24" t="s">
        <v>31</v>
      </c>
      <c r="D38" s="25">
        <v>3000</v>
      </c>
      <c r="E38" s="26">
        <v>5000</v>
      </c>
      <c r="F38" s="14">
        <f>JulTable[[#This Row],[Actual Spending]]-JulTable[[#This Row],[Amount Budgeted]]</f>
        <v>2000</v>
      </c>
    </row>
    <row r="39" spans="3:6" x14ac:dyDescent="0.2">
      <c r="C39" s="24" t="s">
        <v>33</v>
      </c>
      <c r="D39" s="25">
        <v>3000</v>
      </c>
      <c r="E39" s="26">
        <v>5000</v>
      </c>
      <c r="F39" s="14">
        <f>JulTable[[#This Row],[Actual Spending]]-JulTable[[#This Row],[Amount Budgeted]]</f>
        <v>2000</v>
      </c>
    </row>
    <row r="40" spans="3:6" x14ac:dyDescent="0.2">
      <c r="C40" s="12"/>
      <c r="D40" s="13"/>
      <c r="E40" s="14"/>
      <c r="F40" s="14"/>
    </row>
    <row r="41" spans="3:6" x14ac:dyDescent="0.2">
      <c r="C41" s="16" t="s">
        <v>25</v>
      </c>
      <c r="D41" s="17">
        <f>SUBTOTAL(9,D42:D44)</f>
        <v>2000</v>
      </c>
      <c r="E41" s="18">
        <f>SUBTOTAL(9,E42:E44)</f>
        <v>3000</v>
      </c>
      <c r="F41" s="18">
        <f>JulTable[[#This Row],[Actual Spending]]-JulTable[[#This Row],[Amount Budgeted]]</f>
        <v>1000</v>
      </c>
    </row>
    <row r="42" spans="3:6" x14ac:dyDescent="0.2">
      <c r="C42" s="12" t="s">
        <v>26</v>
      </c>
      <c r="D42" s="13">
        <v>500</v>
      </c>
      <c r="E42" s="14">
        <v>0</v>
      </c>
      <c r="F42" s="14">
        <f>JulTable[[#This Row],[Actual Spending]]-JulTable[[#This Row],[Amount Budgeted]]</f>
        <v>-500</v>
      </c>
    </row>
    <row r="43" spans="3:6" x14ac:dyDescent="0.2">
      <c r="C43" s="12" t="s">
        <v>27</v>
      </c>
      <c r="D43" s="13">
        <v>500</v>
      </c>
      <c r="E43" s="14">
        <v>1000</v>
      </c>
      <c r="F43" s="14">
        <f>JulTable[[#This Row],[Actual Spending]]-JulTable[[#This Row],[Amount Budgeted]]</f>
        <v>500</v>
      </c>
    </row>
    <row r="44" spans="3:6" x14ac:dyDescent="0.2">
      <c r="C44" s="12" t="s">
        <v>28</v>
      </c>
      <c r="D44" s="13">
        <v>1000</v>
      </c>
      <c r="E44" s="14">
        <v>2000</v>
      </c>
      <c r="F44" s="14">
        <f>JulTable[[#This Row],[Actual Spending]]-JulTable[[#This Row],[Amount Budgeted]]</f>
        <v>1000</v>
      </c>
    </row>
  </sheetData>
  <mergeCells count="1">
    <mergeCell ref="A1:XFD2"/>
  </mergeCells>
  <conditionalFormatting sqref="L5:L12">
    <cfRule type="dataBar" priority="13">
      <dataBar showValue="0">
        <cfvo type="min"/>
        <cfvo type="max"/>
        <color rgb="FF638EC6"/>
      </dataBar>
      <extLst>
        <ext xmlns:x14="http://schemas.microsoft.com/office/spreadsheetml/2009/9/main" uri="{B025F937-C7B1-47D3-B67F-A62EFF666E3E}">
          <x14:id>{A93B6E85-D3D3-49E5-AB5C-86C24113D766}</x14:id>
        </ext>
      </extLst>
    </cfRule>
    <cfRule type="dataBar" priority="14">
      <dataBar>
        <cfvo type="min"/>
        <cfvo type="max"/>
        <color rgb="FF638EC6"/>
      </dataBar>
      <extLst>
        <ext xmlns:x14="http://schemas.microsoft.com/office/spreadsheetml/2009/9/main" uri="{B025F937-C7B1-47D3-B67F-A62EFF666E3E}">
          <x14:id>{DEB28803-A636-478D-A3FA-E49FC37ED50D}</x14:id>
        </ext>
      </extLst>
    </cfRule>
  </conditionalFormatting>
  <pageMargins left="0.7" right="0.7" top="0.75" bottom="0.75" header="0.3" footer="0.3"/>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A93B6E85-D3D3-49E5-AB5C-86C24113D766}">
            <x14:dataBar minLength="0" maxLength="100" gradient="0">
              <x14:cfvo type="autoMin"/>
              <x14:cfvo type="autoMax"/>
              <x14:negativeFillColor rgb="FFFF0000"/>
              <x14:axisColor rgb="FF000000"/>
            </x14:dataBar>
          </x14:cfRule>
          <x14:cfRule type="dataBar" id="{DEB28803-A636-478D-A3FA-E49FC37ED50D}">
            <x14:dataBar minLength="0" maxLength="100" border="1" negativeBarBorderColorSameAsPositive="0">
              <x14:cfvo type="autoMin"/>
              <x14:cfvo type="autoMax"/>
              <x14:borderColor rgb="FF638EC6"/>
              <x14:negativeFillColor rgb="FFFF0000"/>
              <x14:negativeBorderColor rgb="FFFF0000"/>
              <x14:axisColor rgb="FF000000"/>
            </x14:dataBar>
          </x14:cfRule>
          <xm:sqref>L5:L12</xm:sqref>
        </x14:conditionalFormatting>
      </x14:conditionalFormattings>
    </ext>
    <ext xmlns:x14="http://schemas.microsoft.com/office/spreadsheetml/2009/9/main" uri="{A8765BA9-456A-4dab-B4F3-ACF838C121DE}">
      <x14:slicerList>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5A576-561F-4237-B98F-966487250BF1}">
  <dimension ref="A1:L44"/>
  <sheetViews>
    <sheetView topLeftCell="A26" workbookViewId="0">
      <selection activeCell="E50" sqref="A1:XFD1048576"/>
    </sheetView>
  </sheetViews>
  <sheetFormatPr defaultRowHeight="12.75" x14ac:dyDescent="0.2"/>
  <cols>
    <col min="1" max="2" width="9.140625" style="5"/>
    <col min="3" max="3" width="24.85546875" style="5" bestFit="1" customWidth="1"/>
    <col min="4" max="4" width="30.42578125" style="5" bestFit="1" customWidth="1"/>
    <col min="5" max="5" width="27.7109375" style="5" bestFit="1" customWidth="1"/>
    <col min="6" max="6" width="18.42578125" style="5" bestFit="1" customWidth="1"/>
    <col min="7" max="8" width="9.140625" style="5"/>
    <col min="9" max="9" width="12" style="5" bestFit="1" customWidth="1"/>
    <col min="10" max="10" width="12.42578125" style="5" bestFit="1" customWidth="1"/>
    <col min="11" max="11" width="11.7109375" style="5" bestFit="1" customWidth="1"/>
    <col min="12" max="12" width="16.140625" style="5" bestFit="1" customWidth="1"/>
    <col min="13" max="16384" width="9.140625" style="5"/>
  </cols>
  <sheetData>
    <row r="1" spans="1:12" s="27" customFormat="1" ht="24" customHeight="1" x14ac:dyDescent="0.2">
      <c r="A1" s="27" t="s">
        <v>57</v>
      </c>
    </row>
    <row r="2" spans="1:12" s="27" customFormat="1" ht="24" customHeight="1" x14ac:dyDescent="0.2"/>
    <row r="4" spans="1:12" x14ac:dyDescent="0.2">
      <c r="C4" s="28" t="s">
        <v>0</v>
      </c>
      <c r="D4" s="29" t="s">
        <v>1</v>
      </c>
      <c r="E4" s="29" t="s">
        <v>2</v>
      </c>
      <c r="F4" s="29" t="s">
        <v>3</v>
      </c>
      <c r="I4" s="30" t="s">
        <v>0</v>
      </c>
      <c r="J4" s="30" t="s">
        <v>35</v>
      </c>
      <c r="K4" s="30" t="s">
        <v>36</v>
      </c>
      <c r="L4" s="30" t="s">
        <v>3</v>
      </c>
    </row>
    <row r="5" spans="1:12" x14ac:dyDescent="0.2">
      <c r="C5" s="15" t="s">
        <v>4</v>
      </c>
      <c r="D5" s="14">
        <f>SUBTOTAL(9,D6:D7)</f>
        <v>51000</v>
      </c>
      <c r="E5" s="14"/>
      <c r="F5" s="14"/>
      <c r="I5" s="5" t="s">
        <v>23</v>
      </c>
      <c r="J5" s="10">
        <f>_xlfn.XLOOKUP(AugSumm[[#This Row],[Category]],AugTable[Category],AugTable[Amount Budgeted])</f>
        <v>2000</v>
      </c>
      <c r="K5" s="10">
        <f>_xlfn.XLOOKUP(AugSumm[[#This Row],[Category]],AugTable[Category],AugTable[Actual Spending])</f>
        <v>1760</v>
      </c>
      <c r="L5" s="5">
        <f>_xlfn.XLOOKUP(AugSumm[[#This Row],[Category]],AugTable[Category],AugTable[Difference])</f>
        <v>-240</v>
      </c>
    </row>
    <row r="6" spans="1:12" x14ac:dyDescent="0.2">
      <c r="C6" s="12" t="s">
        <v>5</v>
      </c>
      <c r="D6" s="13">
        <v>40000</v>
      </c>
      <c r="E6" s="14"/>
      <c r="F6" s="14"/>
      <c r="I6" s="5" t="s">
        <v>20</v>
      </c>
      <c r="J6" s="10">
        <f>_xlfn.XLOOKUP(AugSumm[[#This Row],[Category]],AugTable[Category],AugTable[Amount Budgeted])</f>
        <v>2000</v>
      </c>
      <c r="K6" s="10">
        <f>_xlfn.XLOOKUP(AugSumm[[#This Row],[Category]],AugTable[Category],AugTable[Actual Spending])</f>
        <v>2000</v>
      </c>
      <c r="L6" s="5">
        <f>_xlfn.XLOOKUP(AugSumm[[#This Row],[Category]],AugTable[Category],AugTable[Difference])</f>
        <v>0</v>
      </c>
    </row>
    <row r="7" spans="1:12" x14ac:dyDescent="0.2">
      <c r="C7" s="12" t="s">
        <v>37</v>
      </c>
      <c r="D7" s="13">
        <v>11000</v>
      </c>
      <c r="E7" s="14"/>
      <c r="F7" s="14"/>
      <c r="I7" s="5" t="s">
        <v>25</v>
      </c>
      <c r="J7" s="10">
        <f>_xlfn.XLOOKUP(AugSumm[[#This Row],[Category]],AugTable[Category],AugTable[Amount Budgeted])</f>
        <v>2000</v>
      </c>
      <c r="K7" s="10">
        <f>_xlfn.XLOOKUP(AugSumm[[#This Row],[Category]],AugTable[Category],AugTable[Actual Spending])</f>
        <v>4000</v>
      </c>
      <c r="L7" s="5">
        <f>_xlfn.XLOOKUP(AugSumm[[#This Row],[Category]],AugTable[Category],AugTable[Difference])</f>
        <v>2000</v>
      </c>
    </row>
    <row r="8" spans="1:12" x14ac:dyDescent="0.2">
      <c r="C8" s="12"/>
      <c r="D8" s="13"/>
      <c r="E8" s="14"/>
      <c r="F8" s="14"/>
      <c r="I8" s="5" t="s">
        <v>11</v>
      </c>
      <c r="J8" s="10">
        <f>_xlfn.XLOOKUP(AugSumm[[#This Row],[Category]],AugTable[Category],AugTable[Amount Budgeted])</f>
        <v>2800</v>
      </c>
      <c r="K8" s="10">
        <f>_xlfn.XLOOKUP(AugSumm[[#This Row],[Category]],AugTable[Category],AugTable[Actual Spending])</f>
        <v>2950</v>
      </c>
      <c r="L8" s="5">
        <f>_xlfn.XLOOKUP(AugSumm[[#This Row],[Category]],AugTable[Category],AugTable[Difference])</f>
        <v>150</v>
      </c>
    </row>
    <row r="9" spans="1:12" x14ac:dyDescent="0.2">
      <c r="C9" s="15" t="s">
        <v>6</v>
      </c>
      <c r="D9" s="14"/>
      <c r="E9" s="14"/>
      <c r="F9" s="14"/>
      <c r="I9" s="5" t="s">
        <v>16</v>
      </c>
      <c r="J9" s="10">
        <f>_xlfn.XLOOKUP(AugSumm[[#This Row],[Category]],AugTable[Category],AugTable[Amount Budgeted])</f>
        <v>6000</v>
      </c>
      <c r="K9" s="10">
        <f>_xlfn.XLOOKUP(AugSumm[[#This Row],[Category]],AugTable[Category],AugTable[Actual Spending])</f>
        <v>5600</v>
      </c>
      <c r="L9" s="5">
        <f>_xlfn.XLOOKUP(AugSumm[[#This Row],[Category]],AugTable[Category],AugTable[Difference])</f>
        <v>-400</v>
      </c>
    </row>
    <row r="10" spans="1:12" x14ac:dyDescent="0.2">
      <c r="C10" s="16" t="s">
        <v>7</v>
      </c>
      <c r="D10" s="17">
        <f>SUBTOTAL(9,D11:D13)</f>
        <v>11250</v>
      </c>
      <c r="E10" s="18">
        <f>SUBTOTAL(9,E11:E13)</f>
        <v>11250</v>
      </c>
      <c r="F10" s="18">
        <f>AugTable[[#This Row],[Actual Spending]]-AugTable[[#This Row],[Amount Budgeted]]</f>
        <v>0</v>
      </c>
      <c r="I10" s="5" t="s">
        <v>14</v>
      </c>
      <c r="J10" s="10">
        <f>_xlfn.XLOOKUP(AugSumm[[#This Row],[Category]],AugTable[Category],AugTable[Amount Budgeted])</f>
        <v>5000</v>
      </c>
      <c r="K10" s="10">
        <f>_xlfn.XLOOKUP(AugSumm[[#This Row],[Category]],AugTable[Category],AugTable[Actual Spending])</f>
        <v>5450</v>
      </c>
      <c r="L10" s="5">
        <f>_xlfn.XLOOKUP(AugSumm[[#This Row],[Category]],AugTable[Category],AugTable[Difference])</f>
        <v>450</v>
      </c>
    </row>
    <row r="11" spans="1:12" x14ac:dyDescent="0.2">
      <c r="C11" s="12" t="s">
        <v>8</v>
      </c>
      <c r="D11" s="13">
        <v>10000</v>
      </c>
      <c r="E11" s="14">
        <v>10000</v>
      </c>
      <c r="F11" s="14">
        <f>AugTable[[#This Row],[Actual Spending]]-AugTable[[#This Row],[Amount Budgeted]]</f>
        <v>0</v>
      </c>
      <c r="I11" s="5" t="s">
        <v>29</v>
      </c>
      <c r="J11" s="10">
        <f>_xlfn.XLOOKUP(AugSumm[[#This Row],[Category]],AugTable[Category],AugTable[Amount Budgeted])</f>
        <v>7500</v>
      </c>
      <c r="K11" s="10">
        <f>_xlfn.XLOOKUP(AugSumm[[#This Row],[Category]],AugTable[Category],AugTable[Actual Spending])</f>
        <v>7200</v>
      </c>
      <c r="L11" s="5">
        <f>_xlfn.XLOOKUP(AugSumm[[#This Row],[Category]],AugTable[Category],AugTable[Difference])</f>
        <v>-300</v>
      </c>
    </row>
    <row r="12" spans="1:12" x14ac:dyDescent="0.2">
      <c r="C12" s="12" t="s">
        <v>9</v>
      </c>
      <c r="D12" s="13">
        <v>500</v>
      </c>
      <c r="E12" s="14">
        <v>500</v>
      </c>
      <c r="F12" s="14"/>
      <c r="I12" s="5" t="s">
        <v>7</v>
      </c>
      <c r="J12" s="10">
        <f>_xlfn.XLOOKUP(AugSumm[[#This Row],[Category]],AugTable[Category],AugTable[Amount Budgeted])</f>
        <v>11250</v>
      </c>
      <c r="K12" s="10">
        <f>_xlfn.XLOOKUP(AugSumm[[#This Row],[Category]],AugTable[Category],AugTable[Actual Spending])</f>
        <v>11250</v>
      </c>
      <c r="L12" s="5">
        <f>_xlfn.XLOOKUP(AugSumm[[#This Row],[Category]],AugTable[Category],AugTable[Difference])</f>
        <v>0</v>
      </c>
    </row>
    <row r="13" spans="1:12" x14ac:dyDescent="0.2">
      <c r="C13" s="12" t="s">
        <v>10</v>
      </c>
      <c r="D13" s="13">
        <v>750</v>
      </c>
      <c r="E13" s="14">
        <v>750</v>
      </c>
      <c r="F13" s="14"/>
    </row>
    <row r="14" spans="1:12" x14ac:dyDescent="0.2">
      <c r="C14" s="12"/>
      <c r="D14" s="13"/>
      <c r="E14" s="14"/>
      <c r="F14" s="14"/>
    </row>
    <row r="15" spans="1:12" x14ac:dyDescent="0.2">
      <c r="C15" s="16" t="s">
        <v>11</v>
      </c>
      <c r="D15" s="18">
        <f>SUBTOTAL(9,D16:D18)</f>
        <v>2800</v>
      </c>
      <c r="E15" s="18">
        <f>SUBTOTAL(9,E16:E18)</f>
        <v>2950</v>
      </c>
      <c r="F15" s="18">
        <f>AugTable[[#This Row],[Actual Spending]]-AugTable[[#This Row],[Amount Budgeted]]</f>
        <v>150</v>
      </c>
    </row>
    <row r="16" spans="1:12" x14ac:dyDescent="0.2">
      <c r="C16" s="12" t="s">
        <v>12</v>
      </c>
      <c r="D16" s="13">
        <v>800</v>
      </c>
      <c r="E16" s="14">
        <v>850</v>
      </c>
      <c r="F16" s="14">
        <f>AugTable[[#This Row],[Actual Spending]]-AugTable[[#This Row],[Amount Budgeted]]</f>
        <v>50</v>
      </c>
      <c r="I16" s="40" t="s">
        <v>41</v>
      </c>
      <c r="J16" s="40" t="s">
        <v>39</v>
      </c>
      <c r="K16" s="41" t="s">
        <v>43</v>
      </c>
    </row>
    <row r="17" spans="3:11" x14ac:dyDescent="0.2">
      <c r="C17" s="12" t="s">
        <v>13</v>
      </c>
      <c r="D17" s="13">
        <v>500</v>
      </c>
      <c r="E17" s="14">
        <v>500</v>
      </c>
      <c r="F17" s="14"/>
      <c r="I17" s="42" t="s">
        <v>7</v>
      </c>
      <c r="J17" s="43">
        <v>11250</v>
      </c>
      <c r="K17" s="44">
        <v>11250</v>
      </c>
    </row>
    <row r="18" spans="3:11" x14ac:dyDescent="0.2">
      <c r="C18" s="12" t="s">
        <v>32</v>
      </c>
      <c r="D18" s="13">
        <v>1500</v>
      </c>
      <c r="E18" s="14">
        <v>1600</v>
      </c>
      <c r="F18" s="14">
        <f>AugTable[[#This Row],[Actual Spending]]-AugTable[[#This Row],[Amount Budgeted]]</f>
        <v>100</v>
      </c>
      <c r="I18" s="48" t="s">
        <v>42</v>
      </c>
      <c r="J18" s="49">
        <v>11250</v>
      </c>
      <c r="K18" s="50">
        <v>11250</v>
      </c>
    </row>
    <row r="19" spans="3:11" x14ac:dyDescent="0.2">
      <c r="C19" s="12"/>
      <c r="D19" s="13"/>
      <c r="E19" s="14"/>
      <c r="F19" s="14"/>
    </row>
    <row r="20" spans="3:11" x14ac:dyDescent="0.2">
      <c r="C20" s="16" t="s">
        <v>14</v>
      </c>
      <c r="D20" s="18">
        <f>SUBTOTAL(9,D21:D22)</f>
        <v>5000</v>
      </c>
      <c r="E20" s="18">
        <f>SUBTOTAL(9,E21:E22)</f>
        <v>5450</v>
      </c>
      <c r="F20" s="18">
        <f>AugTable[[#This Row],[Actual Spending]]-AugTable[[#This Row],[Amount Budgeted]]</f>
        <v>450</v>
      </c>
    </row>
    <row r="21" spans="3:11" x14ac:dyDescent="0.2">
      <c r="C21" s="12" t="s">
        <v>34</v>
      </c>
      <c r="D21" s="13">
        <v>4000</v>
      </c>
      <c r="E21" s="14">
        <v>4150</v>
      </c>
      <c r="F21" s="14">
        <f>AugTable[[#This Row],[Actual Spending]]-AugTable[[#This Row],[Amount Budgeted]]</f>
        <v>150</v>
      </c>
    </row>
    <row r="22" spans="3:11" x14ac:dyDescent="0.2">
      <c r="C22" s="12" t="s">
        <v>15</v>
      </c>
      <c r="D22" s="13">
        <v>1000</v>
      </c>
      <c r="E22" s="14">
        <v>1300</v>
      </c>
      <c r="F22" s="14">
        <f>AugTable[[#This Row],[Actual Spending]]-AugTable[[#This Row],[Amount Budgeted]]</f>
        <v>300</v>
      </c>
    </row>
    <row r="23" spans="3:11" x14ac:dyDescent="0.2">
      <c r="C23" s="12"/>
      <c r="D23" s="13"/>
      <c r="E23" s="14"/>
      <c r="F23" s="14"/>
    </row>
    <row r="24" spans="3:11" x14ac:dyDescent="0.2">
      <c r="C24" s="16" t="s">
        <v>16</v>
      </c>
      <c r="D24" s="18">
        <f>SUBTOTAL(9,D25:D27)</f>
        <v>6000</v>
      </c>
      <c r="E24" s="18">
        <f>SUBTOTAL(9,E25:E27)</f>
        <v>5600</v>
      </c>
      <c r="F24" s="18">
        <f>AugTable[[#This Row],[Actual Spending]]-AugTable[[#This Row],[Amount Budgeted]]</f>
        <v>-400</v>
      </c>
    </row>
    <row r="25" spans="3:11" x14ac:dyDescent="0.2">
      <c r="C25" s="12" t="s">
        <v>17</v>
      </c>
      <c r="D25" s="13">
        <v>2000</v>
      </c>
      <c r="E25" s="14">
        <v>2000</v>
      </c>
      <c r="F25" s="14">
        <f>AugTable[[#This Row],[Actual Spending]]-AugTable[[#This Row],[Amount Budgeted]]</f>
        <v>0</v>
      </c>
    </row>
    <row r="26" spans="3:11" x14ac:dyDescent="0.2">
      <c r="C26" s="12" t="s">
        <v>18</v>
      </c>
      <c r="D26" s="13">
        <v>4000</v>
      </c>
      <c r="E26" s="14">
        <v>3500</v>
      </c>
      <c r="F26" s="14">
        <f>AugTable[[#This Row],[Actual Spending]]-AugTable[[#This Row],[Amount Budgeted]]</f>
        <v>-500</v>
      </c>
    </row>
    <row r="27" spans="3:11" x14ac:dyDescent="0.2">
      <c r="C27" s="12" t="s">
        <v>19</v>
      </c>
      <c r="D27" s="13">
        <v>0</v>
      </c>
      <c r="E27" s="14">
        <v>100</v>
      </c>
      <c r="F27" s="14">
        <f>AugTable[[#This Row],[Actual Spending]]-AugTable[[#This Row],[Amount Budgeted]]</f>
        <v>100</v>
      </c>
    </row>
    <row r="28" spans="3:11" x14ac:dyDescent="0.2">
      <c r="C28" s="12"/>
      <c r="D28" s="13"/>
      <c r="E28" s="14"/>
      <c r="F28" s="14"/>
    </row>
    <row r="29" spans="3:11" x14ac:dyDescent="0.2">
      <c r="C29" s="16" t="s">
        <v>20</v>
      </c>
      <c r="D29" s="18">
        <f>SUBTOTAL(9, D30:D31)</f>
        <v>2000</v>
      </c>
      <c r="E29" s="18">
        <f>SUBTOTAL(9,E30:E31)</f>
        <v>2000</v>
      </c>
      <c r="F29" s="18">
        <f>AugTable[[#This Row],[Actual Spending]]-AugTable[[#This Row],[Amount Budgeted]]</f>
        <v>0</v>
      </c>
    </row>
    <row r="30" spans="3:11" x14ac:dyDescent="0.2">
      <c r="C30" s="12" t="s">
        <v>21</v>
      </c>
      <c r="D30" s="13">
        <v>500</v>
      </c>
      <c r="E30" s="14">
        <v>500</v>
      </c>
      <c r="F30" s="14">
        <f>AugTable[[#This Row],[Actual Spending]]-AugTable[[#This Row],[Amount Budgeted]]</f>
        <v>0</v>
      </c>
    </row>
    <row r="31" spans="3:11" x14ac:dyDescent="0.2">
      <c r="C31" s="12" t="s">
        <v>22</v>
      </c>
      <c r="D31" s="13">
        <v>1500</v>
      </c>
      <c r="E31" s="14">
        <v>1500</v>
      </c>
      <c r="F31" s="14">
        <f>AugTable[[#This Row],[Actual Spending]]-AugTable[[#This Row],[Amount Budgeted]]</f>
        <v>0</v>
      </c>
    </row>
    <row r="32" spans="3:11" x14ac:dyDescent="0.2">
      <c r="C32" s="12"/>
      <c r="D32" s="13"/>
      <c r="E32" s="14"/>
      <c r="F32" s="14"/>
    </row>
    <row r="33" spans="3:6" x14ac:dyDescent="0.2">
      <c r="C33" s="16" t="s">
        <v>23</v>
      </c>
      <c r="D33" s="18">
        <f>SUBTOTAL(9,D34)</f>
        <v>2000</v>
      </c>
      <c r="E33" s="18">
        <f>SUBTOTAL(9,E34)</f>
        <v>1760</v>
      </c>
      <c r="F33" s="18">
        <f>AugTable[[#This Row],[Actual Spending]]-AugTable[[#This Row],[Amount Budgeted]]</f>
        <v>-240</v>
      </c>
    </row>
    <row r="34" spans="3:6" x14ac:dyDescent="0.2">
      <c r="C34" s="12" t="s">
        <v>24</v>
      </c>
      <c r="D34" s="13">
        <v>2000</v>
      </c>
      <c r="E34" s="14">
        <v>1760</v>
      </c>
      <c r="F34" s="14">
        <f>AugTable[[#This Row],[Actual Spending]]-AugTable[[#This Row],[Amount Budgeted]]</f>
        <v>-240</v>
      </c>
    </row>
    <row r="35" spans="3:6" x14ac:dyDescent="0.2">
      <c r="C35" s="12"/>
      <c r="D35" s="13"/>
      <c r="E35" s="14"/>
      <c r="F35" s="14"/>
    </row>
    <row r="36" spans="3:6" x14ac:dyDescent="0.2">
      <c r="C36" s="16" t="s">
        <v>29</v>
      </c>
      <c r="D36" s="18">
        <f>SUBTOTAL(9,D37:D39)</f>
        <v>7500</v>
      </c>
      <c r="E36" s="18">
        <f>SUBTOTAL(9,E37:E39)</f>
        <v>7200</v>
      </c>
      <c r="F36" s="18">
        <f>AugTable[[#This Row],[Actual Spending]]-AugTable[[#This Row],[Amount Budgeted]]</f>
        <v>-300</v>
      </c>
    </row>
    <row r="37" spans="3:6" x14ac:dyDescent="0.2">
      <c r="C37" s="12" t="s">
        <v>30</v>
      </c>
      <c r="D37" s="13">
        <v>500</v>
      </c>
      <c r="E37" s="14">
        <v>700</v>
      </c>
      <c r="F37" s="14">
        <f>AugTable[[#This Row],[Actual Spending]]-AugTable[[#This Row],[Amount Budgeted]]</f>
        <v>200</v>
      </c>
    </row>
    <row r="38" spans="3:6" x14ac:dyDescent="0.2">
      <c r="C38" s="24" t="s">
        <v>31</v>
      </c>
      <c r="D38" s="25">
        <v>4000</v>
      </c>
      <c r="E38" s="26">
        <v>4200</v>
      </c>
      <c r="F38" s="14">
        <f>AugTable[[#This Row],[Actual Spending]]-AugTable[[#This Row],[Amount Budgeted]]</f>
        <v>200</v>
      </c>
    </row>
    <row r="39" spans="3:6" x14ac:dyDescent="0.2">
      <c r="C39" s="24" t="s">
        <v>33</v>
      </c>
      <c r="D39" s="25">
        <v>3000</v>
      </c>
      <c r="E39" s="26">
        <v>2300</v>
      </c>
      <c r="F39" s="14">
        <f>AugTable[[#This Row],[Actual Spending]]-AugTable[[#This Row],[Amount Budgeted]]</f>
        <v>-700</v>
      </c>
    </row>
    <row r="40" spans="3:6" x14ac:dyDescent="0.2">
      <c r="C40" s="12"/>
      <c r="D40" s="13"/>
      <c r="E40" s="14"/>
      <c r="F40" s="14"/>
    </row>
    <row r="41" spans="3:6" x14ac:dyDescent="0.2">
      <c r="C41" s="16" t="s">
        <v>25</v>
      </c>
      <c r="D41" s="17">
        <f>SUBTOTAL(9,D42:D44)</f>
        <v>2000</v>
      </c>
      <c r="E41" s="18">
        <f>SUBTOTAL(9,E42:E44)</f>
        <v>4000</v>
      </c>
      <c r="F41" s="18">
        <f>AugTable[[#This Row],[Actual Spending]]-AugTable[[#This Row],[Amount Budgeted]]</f>
        <v>2000</v>
      </c>
    </row>
    <row r="42" spans="3:6" x14ac:dyDescent="0.2">
      <c r="C42" s="12" t="s">
        <v>26</v>
      </c>
      <c r="D42" s="13">
        <v>500</v>
      </c>
      <c r="E42" s="14">
        <v>1000</v>
      </c>
      <c r="F42" s="14">
        <f>AugTable[[#This Row],[Actual Spending]]-AugTable[[#This Row],[Amount Budgeted]]</f>
        <v>500</v>
      </c>
    </row>
    <row r="43" spans="3:6" x14ac:dyDescent="0.2">
      <c r="C43" s="12" t="s">
        <v>27</v>
      </c>
      <c r="D43" s="13">
        <v>500</v>
      </c>
      <c r="E43" s="14">
        <v>1000</v>
      </c>
      <c r="F43" s="14">
        <f>AugTable[[#This Row],[Actual Spending]]-AugTable[[#This Row],[Amount Budgeted]]</f>
        <v>500</v>
      </c>
    </row>
    <row r="44" spans="3:6" x14ac:dyDescent="0.2">
      <c r="C44" s="12" t="s">
        <v>28</v>
      </c>
      <c r="D44" s="13">
        <v>1000</v>
      </c>
      <c r="E44" s="14">
        <v>2000</v>
      </c>
      <c r="F44" s="14">
        <f>AugTable[[#This Row],[Actual Spending]]-AugTable[[#This Row],[Amount Budgeted]]</f>
        <v>1000</v>
      </c>
    </row>
  </sheetData>
  <mergeCells count="1">
    <mergeCell ref="A1:XFD2"/>
  </mergeCells>
  <conditionalFormatting sqref="L5:L12">
    <cfRule type="dataBar" priority="11">
      <dataBar showValue="0">
        <cfvo type="min"/>
        <cfvo type="max"/>
        <color rgb="FF638EC6"/>
      </dataBar>
      <extLst>
        <ext xmlns:x14="http://schemas.microsoft.com/office/spreadsheetml/2009/9/main" uri="{B025F937-C7B1-47D3-B67F-A62EFF666E3E}">
          <x14:id>{B90871AF-085C-415C-B372-AFB8370029E0}</x14:id>
        </ext>
      </extLst>
    </cfRule>
    <cfRule type="dataBar" priority="12">
      <dataBar>
        <cfvo type="min"/>
        <cfvo type="max"/>
        <color rgb="FF638EC6"/>
      </dataBar>
      <extLst>
        <ext xmlns:x14="http://schemas.microsoft.com/office/spreadsheetml/2009/9/main" uri="{B025F937-C7B1-47D3-B67F-A62EFF666E3E}">
          <x14:id>{32BA0FA8-744D-4EB5-AD17-E012601C6EAF}</x14:id>
        </ext>
      </extLst>
    </cfRule>
  </conditionalFormatting>
  <pageMargins left="0.7" right="0.7" top="0.75" bottom="0.75" header="0.3" footer="0.3"/>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B90871AF-085C-415C-B372-AFB8370029E0}">
            <x14:dataBar minLength="0" maxLength="100" gradient="0">
              <x14:cfvo type="autoMin"/>
              <x14:cfvo type="autoMax"/>
              <x14:negativeFillColor rgb="FFFF0000"/>
              <x14:axisColor rgb="FF000000"/>
            </x14:dataBar>
          </x14:cfRule>
          <x14:cfRule type="dataBar" id="{32BA0FA8-744D-4EB5-AD17-E012601C6EAF}">
            <x14:dataBar minLength="0" maxLength="100" border="1" negativeBarBorderColorSameAsPositive="0">
              <x14:cfvo type="autoMin"/>
              <x14:cfvo type="autoMax"/>
              <x14:borderColor rgb="FF638EC6"/>
              <x14:negativeFillColor rgb="FFFF0000"/>
              <x14:negativeBorderColor rgb="FFFF0000"/>
              <x14:axisColor rgb="FF000000"/>
            </x14:dataBar>
          </x14:cfRule>
          <xm:sqref>L5:L12</xm:sqref>
        </x14:conditionalFormatting>
      </x14:conditionalFormattings>
    </ext>
    <ext xmlns:x14="http://schemas.microsoft.com/office/spreadsheetml/2009/9/main" uri="{A8765BA9-456A-4dab-B4F3-ACF838C121DE}">
      <x14:slicerList>
        <x14:slicer r:id="rId5"/>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2DC10-F0EA-4F05-AAE2-B03AD8C57599}">
  <dimension ref="A1:L44"/>
  <sheetViews>
    <sheetView topLeftCell="A26" workbookViewId="0">
      <selection activeCell="H45" sqref="H45"/>
    </sheetView>
  </sheetViews>
  <sheetFormatPr defaultRowHeight="12.75" x14ac:dyDescent="0.2"/>
  <cols>
    <col min="1" max="2" width="9.140625" style="5"/>
    <col min="3" max="3" width="24.85546875" style="5" bestFit="1" customWidth="1"/>
    <col min="4" max="4" width="30.42578125" style="5" bestFit="1" customWidth="1"/>
    <col min="5" max="5" width="27.7109375" style="5" bestFit="1" customWidth="1"/>
    <col min="6" max="6" width="18.42578125" style="5" bestFit="1" customWidth="1"/>
    <col min="7" max="8" width="9.140625" style="5"/>
    <col min="9" max="9" width="18.85546875" style="5" bestFit="1" customWidth="1"/>
    <col min="10" max="10" width="12.42578125" style="5" bestFit="1" customWidth="1"/>
    <col min="11" max="11" width="11.7109375" style="5" bestFit="1" customWidth="1"/>
    <col min="12" max="12" width="16.140625" style="5" bestFit="1" customWidth="1"/>
    <col min="13" max="16384" width="9.140625" style="5"/>
  </cols>
  <sheetData>
    <row r="1" spans="1:12" s="27" customFormat="1" ht="24" customHeight="1" x14ac:dyDescent="0.2">
      <c r="A1" s="27" t="s">
        <v>57</v>
      </c>
    </row>
    <row r="2" spans="1:12" s="27" customFormat="1" ht="24" customHeight="1" x14ac:dyDescent="0.2"/>
    <row r="4" spans="1:12" x14ac:dyDescent="0.2">
      <c r="C4" s="28" t="s">
        <v>0</v>
      </c>
      <c r="D4" s="29" t="s">
        <v>1</v>
      </c>
      <c r="E4" s="29" t="s">
        <v>2</v>
      </c>
      <c r="F4" s="29" t="s">
        <v>3</v>
      </c>
      <c r="I4" s="30" t="s">
        <v>0</v>
      </c>
      <c r="J4" s="30" t="s">
        <v>35</v>
      </c>
      <c r="K4" s="30" t="s">
        <v>36</v>
      </c>
      <c r="L4" s="30" t="s">
        <v>3</v>
      </c>
    </row>
    <row r="5" spans="1:12" x14ac:dyDescent="0.2">
      <c r="C5" s="15" t="s">
        <v>4</v>
      </c>
      <c r="D5" s="14">
        <f>SUBTOTAL(9,D6:D7)</f>
        <v>54000</v>
      </c>
      <c r="E5" s="14"/>
      <c r="F5" s="14"/>
      <c r="I5" s="5" t="s">
        <v>23</v>
      </c>
      <c r="J5" s="10">
        <f>_xlfn.XLOOKUP(SepSumm[[#This Row],[Category]],SepTable[Category],SepTable[Amount Budgeted])</f>
        <v>2000</v>
      </c>
      <c r="K5" s="10">
        <f>_xlfn.XLOOKUP(SepSumm[[#This Row],[Category]],SepTable[Category],SepTable[Actual Spending])</f>
        <v>2500</v>
      </c>
      <c r="L5" s="5">
        <f>_xlfn.XLOOKUP(SepSumm[[#This Row],[Category]],SepTable[Category],SepTable[Difference])</f>
        <v>500</v>
      </c>
    </row>
    <row r="6" spans="1:12" x14ac:dyDescent="0.2">
      <c r="C6" s="12" t="s">
        <v>5</v>
      </c>
      <c r="D6" s="13">
        <v>40000</v>
      </c>
      <c r="E6" s="14"/>
      <c r="F6" s="14"/>
      <c r="I6" s="5" t="s">
        <v>20</v>
      </c>
      <c r="J6" s="10">
        <f>_xlfn.XLOOKUP(SepSumm[[#This Row],[Category]],SepTable[Category],SepTable[Amount Budgeted])</f>
        <v>2000</v>
      </c>
      <c r="K6" s="10">
        <f>_xlfn.XLOOKUP(SepSumm[[#This Row],[Category]],SepTable[Category],SepTable[Actual Spending])</f>
        <v>2000</v>
      </c>
      <c r="L6" s="5">
        <f>_xlfn.XLOOKUP(SepSumm[[#This Row],[Category]],JanTable[Category],JanTable[Difference])</f>
        <v>0</v>
      </c>
    </row>
    <row r="7" spans="1:12" x14ac:dyDescent="0.2">
      <c r="C7" s="12" t="s">
        <v>37</v>
      </c>
      <c r="D7" s="13">
        <v>14000</v>
      </c>
      <c r="E7" s="14"/>
      <c r="F7" s="14"/>
      <c r="I7" s="5" t="s">
        <v>25</v>
      </c>
      <c r="J7" s="10">
        <f>_xlfn.XLOOKUP(SepSumm[[#This Row],[Category]],SepTable[Category],SepTable[Amount Budgeted])</f>
        <v>3000</v>
      </c>
      <c r="K7" s="10">
        <f>_xlfn.XLOOKUP(SepSumm[[#This Row],[Category]],SepTable[Category],SepTable[Actual Spending])</f>
        <v>3000</v>
      </c>
      <c r="L7" s="5">
        <f>_xlfn.XLOOKUP(SepSumm[[#This Row],[Category]],JanTable[Category],JanTable[Difference])</f>
        <v>1000</v>
      </c>
    </row>
    <row r="8" spans="1:12" x14ac:dyDescent="0.2">
      <c r="C8" s="12"/>
      <c r="D8" s="13"/>
      <c r="E8" s="14"/>
      <c r="F8" s="14"/>
      <c r="I8" s="5" t="s">
        <v>11</v>
      </c>
      <c r="J8" s="10">
        <f>_xlfn.XLOOKUP(SepSumm[[#This Row],[Category]],SepTable[Category],SepTable[Amount Budgeted])</f>
        <v>3500</v>
      </c>
      <c r="K8" s="10">
        <f>_xlfn.XLOOKUP(SepSumm[[#This Row],[Category]],SepTable[Category],SepTable[Actual Spending])</f>
        <v>3230</v>
      </c>
      <c r="L8" s="5">
        <f>_xlfn.XLOOKUP(SepSumm[[#This Row],[Category]],JanTable[Category],JanTable[Difference])</f>
        <v>480</v>
      </c>
    </row>
    <row r="9" spans="1:12" x14ac:dyDescent="0.2">
      <c r="C9" s="15" t="s">
        <v>6</v>
      </c>
      <c r="D9" s="14"/>
      <c r="E9" s="14"/>
      <c r="F9" s="14"/>
      <c r="I9" s="5" t="s">
        <v>16</v>
      </c>
      <c r="J9" s="10">
        <f>_xlfn.XLOOKUP(SepSumm[[#This Row],[Category]],SepTable[Category],SepTable[Amount Budgeted])</f>
        <v>4500</v>
      </c>
      <c r="K9" s="10">
        <f>_xlfn.XLOOKUP(SepSumm[[#This Row],[Category]],SepTable[Category],SepTable[Actual Spending])</f>
        <v>5000</v>
      </c>
      <c r="L9" s="5">
        <f>_xlfn.XLOOKUP(SepSumm[[#This Row],[Category]],JanTable[Category],JanTable[Difference])</f>
        <v>400</v>
      </c>
    </row>
    <row r="10" spans="1:12" x14ac:dyDescent="0.2">
      <c r="C10" s="16" t="s">
        <v>7</v>
      </c>
      <c r="D10" s="17">
        <f>SUBTOTAL(9,D11:D13)</f>
        <v>11450</v>
      </c>
      <c r="E10" s="18">
        <f>SUBTOTAL(9,E11:E13)</f>
        <v>11250</v>
      </c>
      <c r="F10" s="18">
        <f>SepTable[[#This Row],[Actual Spending]]-SepTable[[#This Row],[Amount Budgeted]]</f>
        <v>-200</v>
      </c>
      <c r="I10" s="5" t="s">
        <v>14</v>
      </c>
      <c r="J10" s="10">
        <f>_xlfn.XLOOKUP(SepSumm[[#This Row],[Category]],SepTable[Category],SepTable[Amount Budgeted])</f>
        <v>6000</v>
      </c>
      <c r="K10" s="10">
        <f>_xlfn.XLOOKUP(SepSumm[[#This Row],[Category]],SepTable[Category],SepTable[Actual Spending])</f>
        <v>5967</v>
      </c>
      <c r="L10" s="5">
        <f>_xlfn.XLOOKUP(SepSumm[[#This Row],[Category]],JanTable[Category],JanTable[Difference])</f>
        <v>1216</v>
      </c>
    </row>
    <row r="11" spans="1:12" x14ac:dyDescent="0.2">
      <c r="C11" s="12" t="s">
        <v>8</v>
      </c>
      <c r="D11" s="13">
        <v>10200</v>
      </c>
      <c r="E11" s="14">
        <v>10000</v>
      </c>
      <c r="F11" s="14">
        <f>SepTable[[#This Row],[Actual Spending]]-SepTable[[#This Row],[Amount Budgeted]]</f>
        <v>-200</v>
      </c>
      <c r="I11" s="5" t="s">
        <v>29</v>
      </c>
      <c r="J11" s="10">
        <f>_xlfn.XLOOKUP(SepSumm[[#This Row],[Category]],SepTable[Category],SepTable[Amount Budgeted])</f>
        <v>8500</v>
      </c>
      <c r="K11" s="10">
        <f>_xlfn.XLOOKUP(SepSumm[[#This Row],[Category]],SepTable[Category],SepTable[Actual Spending])</f>
        <v>10554</v>
      </c>
      <c r="L11" s="5">
        <f>_xlfn.XLOOKUP(SepSumm[[#This Row],[Category]],JanTable[Category],JanTable[Difference])</f>
        <v>1635</v>
      </c>
    </row>
    <row r="12" spans="1:12" x14ac:dyDescent="0.2">
      <c r="C12" s="12" t="s">
        <v>9</v>
      </c>
      <c r="D12" s="13">
        <v>500</v>
      </c>
      <c r="E12" s="14">
        <v>500</v>
      </c>
      <c r="F12" s="14"/>
      <c r="I12" s="5" t="s">
        <v>7</v>
      </c>
      <c r="J12" s="10">
        <f>_xlfn.XLOOKUP(SepSumm[[#This Row],[Category]],SepTable[Category],SepTable[Amount Budgeted])</f>
        <v>11450</v>
      </c>
      <c r="K12" s="10">
        <f>_xlfn.XLOOKUP(SepSumm[[#This Row],[Category]],SepTable[Category],SepTable[Actual Spending])</f>
        <v>11250</v>
      </c>
      <c r="L12" s="5">
        <f>_xlfn.XLOOKUP(SepSumm[[#This Row],[Category]],JanTable[Category],JanTable[Difference])</f>
        <v>201</v>
      </c>
    </row>
    <row r="13" spans="1:12" x14ac:dyDescent="0.2">
      <c r="C13" s="12" t="s">
        <v>10</v>
      </c>
      <c r="D13" s="13">
        <v>750</v>
      </c>
      <c r="E13" s="14">
        <v>750</v>
      </c>
      <c r="F13" s="14"/>
    </row>
    <row r="14" spans="1:12" x14ac:dyDescent="0.2">
      <c r="C14" s="12"/>
      <c r="D14" s="13"/>
      <c r="E14" s="14"/>
      <c r="F14" s="14"/>
    </row>
    <row r="15" spans="1:12" x14ac:dyDescent="0.2">
      <c r="C15" s="16" t="s">
        <v>11</v>
      </c>
      <c r="D15" s="18">
        <f>SUBTOTAL(9,D16:D18)</f>
        <v>3500</v>
      </c>
      <c r="E15" s="18">
        <f>SUBTOTAL(9,E16:E18)</f>
        <v>3230</v>
      </c>
      <c r="F15" s="18">
        <f>SepTable[[#This Row],[Actual Spending]]-SepTable[[#This Row],[Amount Budgeted]]</f>
        <v>-270</v>
      </c>
      <c r="I15" s="40" t="s">
        <v>41</v>
      </c>
      <c r="J15" s="40" t="s">
        <v>39</v>
      </c>
      <c r="K15" s="41" t="s">
        <v>43</v>
      </c>
    </row>
    <row r="16" spans="1:12" x14ac:dyDescent="0.2">
      <c r="C16" s="12" t="s">
        <v>12</v>
      </c>
      <c r="D16" s="13">
        <v>1000</v>
      </c>
      <c r="E16" s="14">
        <v>800</v>
      </c>
      <c r="F16" s="14">
        <f>SepTable[[#This Row],[Actual Spending]]-SepTable[[#This Row],[Amount Budgeted]]</f>
        <v>-200</v>
      </c>
      <c r="I16" s="42" t="s">
        <v>23</v>
      </c>
      <c r="J16" s="43">
        <v>2000</v>
      </c>
      <c r="K16" s="44">
        <v>2500</v>
      </c>
    </row>
    <row r="17" spans="3:11" x14ac:dyDescent="0.2">
      <c r="C17" s="12" t="s">
        <v>13</v>
      </c>
      <c r="D17" s="13">
        <v>500</v>
      </c>
      <c r="E17" s="14">
        <v>500</v>
      </c>
      <c r="F17" s="14"/>
      <c r="I17" s="45" t="s">
        <v>14</v>
      </c>
      <c r="J17" s="46">
        <v>6000</v>
      </c>
      <c r="K17" s="47">
        <v>5967</v>
      </c>
    </row>
    <row r="18" spans="3:11" x14ac:dyDescent="0.2">
      <c r="C18" s="12" t="s">
        <v>32</v>
      </c>
      <c r="D18" s="13">
        <v>2000</v>
      </c>
      <c r="E18" s="14">
        <v>1930</v>
      </c>
      <c r="F18" s="14">
        <f>SepTable[[#This Row],[Actual Spending]]-SepTable[[#This Row],[Amount Budgeted]]</f>
        <v>-70</v>
      </c>
      <c r="I18" s="45" t="s">
        <v>7</v>
      </c>
      <c r="J18" s="46">
        <v>11450</v>
      </c>
      <c r="K18" s="47">
        <v>11250</v>
      </c>
    </row>
    <row r="19" spans="3:11" x14ac:dyDescent="0.2">
      <c r="C19" s="12"/>
      <c r="D19" s="13"/>
      <c r="E19" s="14"/>
      <c r="F19" s="14"/>
      <c r="I19" s="45" t="s">
        <v>20</v>
      </c>
      <c r="J19" s="46">
        <v>2000</v>
      </c>
      <c r="K19" s="47">
        <v>2000</v>
      </c>
    </row>
    <row r="20" spans="3:11" x14ac:dyDescent="0.2">
      <c r="C20" s="16" t="s">
        <v>14</v>
      </c>
      <c r="D20" s="18">
        <f>SUBTOTAL(9,D21:D22)</f>
        <v>6000</v>
      </c>
      <c r="E20" s="18">
        <f>SUBTOTAL(9,E21:E22)</f>
        <v>5967</v>
      </c>
      <c r="F20" s="18">
        <f>SepTable[[#This Row],[Actual Spending]]-SepTable[[#This Row],[Amount Budgeted]]</f>
        <v>-33</v>
      </c>
      <c r="I20" s="45" t="s">
        <v>29</v>
      </c>
      <c r="J20" s="46">
        <v>8500</v>
      </c>
      <c r="K20" s="47">
        <v>10554</v>
      </c>
    </row>
    <row r="21" spans="3:11" x14ac:dyDescent="0.2">
      <c r="C21" s="12" t="s">
        <v>34</v>
      </c>
      <c r="D21" s="13">
        <v>4500</v>
      </c>
      <c r="E21" s="14">
        <v>4677</v>
      </c>
      <c r="F21" s="14">
        <f>SepTable[[#This Row],[Actual Spending]]-SepTable[[#This Row],[Amount Budgeted]]</f>
        <v>177</v>
      </c>
      <c r="I21" s="45" t="s">
        <v>25</v>
      </c>
      <c r="J21" s="46">
        <v>3000</v>
      </c>
      <c r="K21" s="47">
        <v>3000</v>
      </c>
    </row>
    <row r="22" spans="3:11" x14ac:dyDescent="0.2">
      <c r="C22" s="12" t="s">
        <v>15</v>
      </c>
      <c r="D22" s="13">
        <v>1500</v>
      </c>
      <c r="E22" s="14">
        <v>1290</v>
      </c>
      <c r="F22" s="14">
        <f>SepTable[[#This Row],[Actual Spending]]-SepTable[[#This Row],[Amount Budgeted]]</f>
        <v>-210</v>
      </c>
      <c r="I22" s="45" t="s">
        <v>16</v>
      </c>
      <c r="J22" s="46">
        <v>4500</v>
      </c>
      <c r="K22" s="47">
        <v>5000</v>
      </c>
    </row>
    <row r="23" spans="3:11" x14ac:dyDescent="0.2">
      <c r="C23" s="12"/>
      <c r="D23" s="13"/>
      <c r="E23" s="14"/>
      <c r="F23" s="14"/>
      <c r="I23" s="45" t="s">
        <v>11</v>
      </c>
      <c r="J23" s="46">
        <v>3500</v>
      </c>
      <c r="K23" s="47">
        <v>3230</v>
      </c>
    </row>
    <row r="24" spans="3:11" x14ac:dyDescent="0.2">
      <c r="C24" s="16" t="s">
        <v>16</v>
      </c>
      <c r="D24" s="18">
        <f>SUBTOTAL(9,D25:D27)</f>
        <v>4500</v>
      </c>
      <c r="E24" s="18">
        <f>SUBTOTAL(9,E25:E27)</f>
        <v>5000</v>
      </c>
      <c r="F24" s="18">
        <f>SepTable[[#This Row],[Actual Spending]]-SepTable[[#This Row],[Amount Budgeted]]</f>
        <v>500</v>
      </c>
      <c r="I24" s="48" t="s">
        <v>42</v>
      </c>
      <c r="J24" s="49">
        <v>40950</v>
      </c>
      <c r="K24" s="50">
        <v>43501</v>
      </c>
    </row>
    <row r="25" spans="3:11" x14ac:dyDescent="0.2">
      <c r="C25" s="12" t="s">
        <v>17</v>
      </c>
      <c r="D25" s="13">
        <v>2000</v>
      </c>
      <c r="E25" s="14">
        <v>2000</v>
      </c>
      <c r="F25" s="14">
        <f>SepTable[[#This Row],[Actual Spending]]-SepTable[[#This Row],[Amount Budgeted]]</f>
        <v>0</v>
      </c>
    </row>
    <row r="26" spans="3:11" x14ac:dyDescent="0.2">
      <c r="C26" s="12" t="s">
        <v>18</v>
      </c>
      <c r="D26" s="13">
        <v>2000</v>
      </c>
      <c r="E26" s="14">
        <v>3000</v>
      </c>
      <c r="F26" s="14">
        <f>SepTable[[#This Row],[Actual Spending]]-SepTable[[#This Row],[Amount Budgeted]]</f>
        <v>1000</v>
      </c>
    </row>
    <row r="27" spans="3:11" x14ac:dyDescent="0.2">
      <c r="C27" s="12" t="s">
        <v>19</v>
      </c>
      <c r="D27" s="13">
        <v>500</v>
      </c>
      <c r="E27" s="14">
        <v>0</v>
      </c>
      <c r="F27" s="14">
        <f>SepTable[[#This Row],[Actual Spending]]-SepTable[[#This Row],[Amount Budgeted]]</f>
        <v>-500</v>
      </c>
    </row>
    <row r="28" spans="3:11" x14ac:dyDescent="0.2">
      <c r="C28" s="12"/>
      <c r="D28" s="13"/>
      <c r="E28" s="14"/>
      <c r="F28" s="14"/>
    </row>
    <row r="29" spans="3:11" x14ac:dyDescent="0.2">
      <c r="C29" s="16" t="s">
        <v>20</v>
      </c>
      <c r="D29" s="18">
        <f>SUBTOTAL(9, D30:D31)</f>
        <v>2000</v>
      </c>
      <c r="E29" s="18">
        <f>SUBTOTAL(9,E30:E31)</f>
        <v>2000</v>
      </c>
      <c r="F29" s="18">
        <f>SepTable[[#This Row],[Actual Spending]]-SepTable[[#This Row],[Amount Budgeted]]</f>
        <v>0</v>
      </c>
    </row>
    <row r="30" spans="3:11" x14ac:dyDescent="0.2">
      <c r="C30" s="12" t="s">
        <v>21</v>
      </c>
      <c r="D30" s="13">
        <v>500</v>
      </c>
      <c r="E30" s="14">
        <v>500</v>
      </c>
      <c r="F30" s="14">
        <f>SepTable[[#This Row],[Actual Spending]]-SepTable[[#This Row],[Amount Budgeted]]</f>
        <v>0</v>
      </c>
    </row>
    <row r="31" spans="3:11" x14ac:dyDescent="0.2">
      <c r="C31" s="12" t="s">
        <v>22</v>
      </c>
      <c r="D31" s="13">
        <v>1500</v>
      </c>
      <c r="E31" s="14">
        <v>1500</v>
      </c>
      <c r="F31" s="14">
        <f>SepTable[[#This Row],[Actual Spending]]-SepTable[[#This Row],[Amount Budgeted]]</f>
        <v>0</v>
      </c>
    </row>
    <row r="32" spans="3:11" x14ac:dyDescent="0.2">
      <c r="C32" s="12"/>
      <c r="D32" s="13"/>
      <c r="E32" s="14"/>
      <c r="F32" s="14"/>
    </row>
    <row r="33" spans="3:6" x14ac:dyDescent="0.2">
      <c r="C33" s="16" t="s">
        <v>23</v>
      </c>
      <c r="D33" s="18">
        <f>SUBTOTAL(9,D34)</f>
        <v>2000</v>
      </c>
      <c r="E33" s="18">
        <f>SUBTOTAL(9,E34)</f>
        <v>2500</v>
      </c>
      <c r="F33" s="18">
        <f>SepTable[[#This Row],[Actual Spending]]-SepTable[[#This Row],[Amount Budgeted]]</f>
        <v>500</v>
      </c>
    </row>
    <row r="34" spans="3:6" x14ac:dyDescent="0.2">
      <c r="C34" s="12" t="s">
        <v>24</v>
      </c>
      <c r="D34" s="13">
        <v>2000</v>
      </c>
      <c r="E34" s="14">
        <v>2500</v>
      </c>
      <c r="F34" s="14">
        <f>SepTable[[#This Row],[Actual Spending]]-SepTable[[#This Row],[Amount Budgeted]]</f>
        <v>500</v>
      </c>
    </row>
    <row r="35" spans="3:6" x14ac:dyDescent="0.2">
      <c r="C35" s="12"/>
      <c r="D35" s="13"/>
      <c r="E35" s="14"/>
      <c r="F35" s="14"/>
    </row>
    <row r="36" spans="3:6" x14ac:dyDescent="0.2">
      <c r="C36" s="16" t="s">
        <v>29</v>
      </c>
      <c r="D36" s="18">
        <f>SUBTOTAL(9,D37:D39)</f>
        <v>8500</v>
      </c>
      <c r="E36" s="18">
        <f>SUBTOTAL(9,E37:E39)</f>
        <v>10554</v>
      </c>
      <c r="F36" s="18">
        <f>SepTable[[#This Row],[Actual Spending]]-SepTable[[#This Row],[Amount Budgeted]]</f>
        <v>2054</v>
      </c>
    </row>
    <row r="37" spans="3:6" x14ac:dyDescent="0.2">
      <c r="C37" s="12" t="s">
        <v>30</v>
      </c>
      <c r="D37" s="13">
        <v>500</v>
      </c>
      <c r="E37" s="14">
        <v>554</v>
      </c>
      <c r="F37" s="14">
        <f>SepTable[[#This Row],[Actual Spending]]-SepTable[[#This Row],[Amount Budgeted]]</f>
        <v>54</v>
      </c>
    </row>
    <row r="38" spans="3:6" x14ac:dyDescent="0.2">
      <c r="C38" s="24" t="s">
        <v>31</v>
      </c>
      <c r="D38" s="25">
        <v>4000</v>
      </c>
      <c r="E38" s="26">
        <v>5000</v>
      </c>
      <c r="F38" s="14">
        <f>SepTable[[#This Row],[Actual Spending]]-SepTable[[#This Row],[Amount Budgeted]]</f>
        <v>1000</v>
      </c>
    </row>
    <row r="39" spans="3:6" x14ac:dyDescent="0.2">
      <c r="C39" s="24" t="s">
        <v>33</v>
      </c>
      <c r="D39" s="25">
        <v>4000</v>
      </c>
      <c r="E39" s="26">
        <v>5000</v>
      </c>
      <c r="F39" s="14">
        <f>SepTable[[#This Row],[Actual Spending]]-SepTable[[#This Row],[Amount Budgeted]]</f>
        <v>1000</v>
      </c>
    </row>
    <row r="40" spans="3:6" x14ac:dyDescent="0.2">
      <c r="C40" s="12"/>
      <c r="D40" s="13"/>
      <c r="E40" s="14"/>
      <c r="F40" s="14"/>
    </row>
    <row r="41" spans="3:6" x14ac:dyDescent="0.2">
      <c r="C41" s="16" t="s">
        <v>25</v>
      </c>
      <c r="D41" s="17">
        <f>SUBTOTAL(9,D42:D44)</f>
        <v>3000</v>
      </c>
      <c r="E41" s="18">
        <f>SUBTOTAL(9,E42:E44)</f>
        <v>3000</v>
      </c>
      <c r="F41" s="18">
        <f>SepTable[[#This Row],[Actual Spending]]-SepTable[[#This Row],[Amount Budgeted]]</f>
        <v>0</v>
      </c>
    </row>
    <row r="42" spans="3:6" x14ac:dyDescent="0.2">
      <c r="C42" s="12" t="s">
        <v>26</v>
      </c>
      <c r="D42" s="13">
        <v>500</v>
      </c>
      <c r="E42" s="14">
        <v>0</v>
      </c>
      <c r="F42" s="14">
        <f>SepTable[[#This Row],[Actual Spending]]-SepTable[[#This Row],[Amount Budgeted]]</f>
        <v>-500</v>
      </c>
    </row>
    <row r="43" spans="3:6" x14ac:dyDescent="0.2">
      <c r="C43" s="12" t="s">
        <v>27</v>
      </c>
      <c r="D43" s="13">
        <v>500</v>
      </c>
      <c r="E43" s="14">
        <v>1000</v>
      </c>
      <c r="F43" s="14">
        <f>SepTable[[#This Row],[Actual Spending]]-SepTable[[#This Row],[Amount Budgeted]]</f>
        <v>500</v>
      </c>
    </row>
    <row r="44" spans="3:6" x14ac:dyDescent="0.2">
      <c r="C44" s="12" t="s">
        <v>28</v>
      </c>
      <c r="D44" s="13">
        <v>2000</v>
      </c>
      <c r="E44" s="14">
        <v>2000</v>
      </c>
      <c r="F44" s="14">
        <f>SepTable[[#This Row],[Actual Spending]]-SepTable[[#This Row],[Amount Budgeted]]</f>
        <v>0</v>
      </c>
    </row>
  </sheetData>
  <mergeCells count="1">
    <mergeCell ref="A1:XFD2"/>
  </mergeCells>
  <phoneticPr fontId="5" type="noConversion"/>
  <conditionalFormatting sqref="L5:L12">
    <cfRule type="dataBar" priority="9">
      <dataBar showValue="0">
        <cfvo type="min"/>
        <cfvo type="max"/>
        <color rgb="FF638EC6"/>
      </dataBar>
      <extLst>
        <ext xmlns:x14="http://schemas.microsoft.com/office/spreadsheetml/2009/9/main" uri="{B025F937-C7B1-47D3-B67F-A62EFF666E3E}">
          <x14:id>{8609151A-5576-4EF7-9933-19BFD3CB47FF}</x14:id>
        </ext>
      </extLst>
    </cfRule>
    <cfRule type="dataBar" priority="10">
      <dataBar>
        <cfvo type="min"/>
        <cfvo type="max"/>
        <color rgb="FF638EC6"/>
      </dataBar>
      <extLst>
        <ext xmlns:x14="http://schemas.microsoft.com/office/spreadsheetml/2009/9/main" uri="{B025F937-C7B1-47D3-B67F-A62EFF666E3E}">
          <x14:id>{6C8BA132-BE79-49AB-947A-0C523FF8A928}</x14:id>
        </ext>
      </extLst>
    </cfRule>
  </conditionalFormatting>
  <pageMargins left="0.7" right="0.7" top="0.75" bottom="0.75" header="0.3" footer="0.3"/>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8609151A-5576-4EF7-9933-19BFD3CB47FF}">
            <x14:dataBar minLength="0" maxLength="100" gradient="0">
              <x14:cfvo type="autoMin"/>
              <x14:cfvo type="autoMax"/>
              <x14:negativeFillColor rgb="FFFF0000"/>
              <x14:axisColor rgb="FF000000"/>
            </x14:dataBar>
          </x14:cfRule>
          <x14:cfRule type="dataBar" id="{6C8BA132-BE79-49AB-947A-0C523FF8A928}">
            <x14:dataBar minLength="0" maxLength="100" border="1" negativeBarBorderColorSameAsPositive="0">
              <x14:cfvo type="autoMin"/>
              <x14:cfvo type="autoMax"/>
              <x14:borderColor rgb="FF638EC6"/>
              <x14:negativeFillColor rgb="FFFF0000"/>
              <x14:negativeBorderColor rgb="FFFF0000"/>
              <x14:axisColor rgb="FF000000"/>
            </x14:dataBar>
          </x14:cfRule>
          <xm:sqref>L5:L12</xm:sqref>
        </x14:conditionalFormatting>
      </x14:conditionalFormattings>
    </ext>
    <ext xmlns:x14="http://schemas.microsoft.com/office/spreadsheetml/2009/9/main" uri="{A8765BA9-456A-4dab-B4F3-ACF838C121DE}">
      <x14:slicerList>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9C0F0-FA19-4C4E-9BF3-776B498BECC1}">
  <dimension ref="A1:L44"/>
  <sheetViews>
    <sheetView topLeftCell="A26" workbookViewId="0">
      <selection activeCell="D47" sqref="A1:XFD1048576"/>
    </sheetView>
  </sheetViews>
  <sheetFormatPr defaultRowHeight="12.75" x14ac:dyDescent="0.2"/>
  <cols>
    <col min="1" max="2" width="9.140625" style="5"/>
    <col min="3" max="3" width="24.85546875" style="5" bestFit="1" customWidth="1"/>
    <col min="4" max="4" width="30.42578125" style="5" bestFit="1" customWidth="1"/>
    <col min="5" max="5" width="27.7109375" style="5" bestFit="1" customWidth="1"/>
    <col min="6" max="6" width="18.42578125" style="5" bestFit="1" customWidth="1"/>
    <col min="7" max="8" width="9.140625" style="5"/>
    <col min="9" max="9" width="18.85546875" style="5" bestFit="1" customWidth="1"/>
    <col min="10" max="10" width="12.42578125" style="5" bestFit="1" customWidth="1"/>
    <col min="11" max="11" width="11.7109375" style="5" bestFit="1" customWidth="1"/>
    <col min="12" max="12" width="16.140625" style="5" bestFit="1" customWidth="1"/>
    <col min="13" max="16384" width="9.140625" style="5"/>
  </cols>
  <sheetData>
    <row r="1" spans="1:12" s="27" customFormat="1" ht="24" customHeight="1" x14ac:dyDescent="0.2">
      <c r="A1" s="27" t="s">
        <v>57</v>
      </c>
    </row>
    <row r="2" spans="1:12" s="27" customFormat="1" ht="24" customHeight="1" x14ac:dyDescent="0.2"/>
    <row r="4" spans="1:12" x14ac:dyDescent="0.2">
      <c r="C4" s="28" t="s">
        <v>0</v>
      </c>
      <c r="D4" s="29" t="s">
        <v>1</v>
      </c>
      <c r="E4" s="29" t="s">
        <v>2</v>
      </c>
      <c r="F4" s="29" t="s">
        <v>3</v>
      </c>
      <c r="I4" s="30" t="s">
        <v>0</v>
      </c>
      <c r="J4" s="30" t="s">
        <v>35</v>
      </c>
      <c r="K4" s="30" t="s">
        <v>36</v>
      </c>
      <c r="L4" s="30" t="s">
        <v>3</v>
      </c>
    </row>
    <row r="5" spans="1:12" x14ac:dyDescent="0.2">
      <c r="C5" s="15" t="s">
        <v>4</v>
      </c>
      <c r="D5" s="14">
        <f>SUBTOTAL(9,D6:D7)</f>
        <v>54000</v>
      </c>
      <c r="E5" s="14"/>
      <c r="F5" s="14"/>
      <c r="I5" s="5" t="s">
        <v>23</v>
      </c>
      <c r="J5" s="10">
        <f>_xlfn.XLOOKUP(OctSumm[[#This Row],[Category]],OctTable[Category],OctTable[Amount Budgeted])</f>
        <v>2000</v>
      </c>
      <c r="K5" s="10">
        <f>_xlfn.XLOOKUP(OctSumm[[#This Row],[Category]],OctTable[Category],OctTable[Actual Spending])</f>
        <v>2500</v>
      </c>
      <c r="L5" s="5">
        <f>_xlfn.XLOOKUP(OctSumm[[#This Row],[Category]],OctTable[Category],OctTable[Difference])</f>
        <v>500</v>
      </c>
    </row>
    <row r="6" spans="1:12" x14ac:dyDescent="0.2">
      <c r="C6" s="12" t="s">
        <v>5</v>
      </c>
      <c r="D6" s="13">
        <v>40000</v>
      </c>
      <c r="E6" s="14"/>
      <c r="F6" s="14"/>
      <c r="I6" s="5" t="s">
        <v>20</v>
      </c>
      <c r="J6" s="10">
        <f>_xlfn.XLOOKUP(OctSumm[[#This Row],[Category]],OctTable[Category],OctTable[Amount Budgeted])</f>
        <v>2000</v>
      </c>
      <c r="K6" s="10">
        <f>_xlfn.XLOOKUP(OctSumm[[#This Row],[Category]],OctTable[Category],OctTable[Actual Spending])</f>
        <v>2000</v>
      </c>
      <c r="L6" s="5">
        <f>_xlfn.XLOOKUP(OctSumm[[#This Row],[Category]],JanTable[Category],JanTable[Difference])</f>
        <v>0</v>
      </c>
    </row>
    <row r="7" spans="1:12" x14ac:dyDescent="0.2">
      <c r="C7" s="12" t="s">
        <v>37</v>
      </c>
      <c r="D7" s="13">
        <v>14000</v>
      </c>
      <c r="E7" s="14"/>
      <c r="F7" s="14"/>
      <c r="I7" s="5" t="s">
        <v>25</v>
      </c>
      <c r="J7" s="10">
        <f>_xlfn.XLOOKUP(OctSumm[[#This Row],[Category]],OctTable[Category],OctTable[Amount Budgeted])</f>
        <v>3000</v>
      </c>
      <c r="K7" s="10">
        <f>_xlfn.XLOOKUP(OctSumm[[#This Row],[Category]],OctTable[Category],OctTable[Actual Spending])</f>
        <v>3000</v>
      </c>
      <c r="L7" s="5">
        <f>_xlfn.XLOOKUP(OctSumm[[#This Row],[Category]],JanTable[Category],JanTable[Difference])</f>
        <v>1000</v>
      </c>
    </row>
    <row r="8" spans="1:12" x14ac:dyDescent="0.2">
      <c r="C8" s="12"/>
      <c r="D8" s="13"/>
      <c r="E8" s="14"/>
      <c r="F8" s="14"/>
      <c r="I8" s="5" t="s">
        <v>11</v>
      </c>
      <c r="J8" s="10">
        <f>_xlfn.XLOOKUP(OctSumm[[#This Row],[Category]],OctTable[Category],OctTable[Amount Budgeted])</f>
        <v>3500</v>
      </c>
      <c r="K8" s="10">
        <f>_xlfn.XLOOKUP(OctSumm[[#This Row],[Category]],OctTable[Category],OctTable[Actual Spending])</f>
        <v>3230</v>
      </c>
      <c r="L8" s="5">
        <f>_xlfn.XLOOKUP(OctSumm[[#This Row],[Category]],JanTable[Category],JanTable[Difference])</f>
        <v>480</v>
      </c>
    </row>
    <row r="9" spans="1:12" x14ac:dyDescent="0.2">
      <c r="C9" s="15" t="s">
        <v>6</v>
      </c>
      <c r="D9" s="14"/>
      <c r="E9" s="14"/>
      <c r="F9" s="14"/>
      <c r="I9" s="5" t="s">
        <v>16</v>
      </c>
      <c r="J9" s="10">
        <f>_xlfn.XLOOKUP(OctSumm[[#This Row],[Category]],OctTable[Category],OctTable[Amount Budgeted])</f>
        <v>4500</v>
      </c>
      <c r="K9" s="10">
        <f>_xlfn.XLOOKUP(OctSumm[[#This Row],[Category]],OctTable[Category],OctTable[Actual Spending])</f>
        <v>5000</v>
      </c>
      <c r="L9" s="5">
        <f>_xlfn.XLOOKUP(OctSumm[[#This Row],[Category]],JanTable[Category],JanTable[Difference])</f>
        <v>400</v>
      </c>
    </row>
    <row r="10" spans="1:12" x14ac:dyDescent="0.2">
      <c r="C10" s="16" t="s">
        <v>7</v>
      </c>
      <c r="D10" s="17">
        <f>SUBTOTAL(9,D11:D13)</f>
        <v>11450</v>
      </c>
      <c r="E10" s="18">
        <f>SUBTOTAL(9,E11:E13)</f>
        <v>11250</v>
      </c>
      <c r="F10" s="18">
        <f>OctTable[[#This Row],[Actual Spending]]-OctTable[[#This Row],[Amount Budgeted]]</f>
        <v>-200</v>
      </c>
      <c r="I10" s="5" t="s">
        <v>14</v>
      </c>
      <c r="J10" s="10">
        <f>_xlfn.XLOOKUP(OctSumm[[#This Row],[Category]],OctTable[Category],OctTable[Amount Budgeted])</f>
        <v>6000</v>
      </c>
      <c r="K10" s="10">
        <f>_xlfn.XLOOKUP(OctSumm[[#This Row],[Category]],OctTable[Category],OctTable[Actual Spending])</f>
        <v>5967</v>
      </c>
      <c r="L10" s="5">
        <f>_xlfn.XLOOKUP(OctSumm[[#This Row],[Category]],JanTable[Category],JanTable[Difference])</f>
        <v>1216</v>
      </c>
    </row>
    <row r="11" spans="1:12" x14ac:dyDescent="0.2">
      <c r="C11" s="12" t="s">
        <v>8</v>
      </c>
      <c r="D11" s="13">
        <v>10200</v>
      </c>
      <c r="E11" s="14">
        <v>10000</v>
      </c>
      <c r="F11" s="14">
        <f>OctTable[[#This Row],[Actual Spending]]-OctTable[[#This Row],[Amount Budgeted]]</f>
        <v>-200</v>
      </c>
      <c r="I11" s="5" t="s">
        <v>29</v>
      </c>
      <c r="J11" s="10">
        <f>_xlfn.XLOOKUP(OctSumm[[#This Row],[Category]],OctTable[Category],OctTable[Amount Budgeted])</f>
        <v>8500</v>
      </c>
      <c r="K11" s="10">
        <f>_xlfn.XLOOKUP(OctSumm[[#This Row],[Category]],OctTable[Category],OctTable[Actual Spending])</f>
        <v>10554</v>
      </c>
      <c r="L11" s="5">
        <f>_xlfn.XLOOKUP(OctSumm[[#This Row],[Category]],JanTable[Category],JanTable[Difference])</f>
        <v>1635</v>
      </c>
    </row>
    <row r="12" spans="1:12" x14ac:dyDescent="0.2">
      <c r="C12" s="12" t="s">
        <v>9</v>
      </c>
      <c r="D12" s="13">
        <v>500</v>
      </c>
      <c r="E12" s="14">
        <v>500</v>
      </c>
      <c r="F12" s="14"/>
      <c r="I12" s="5" t="s">
        <v>7</v>
      </c>
      <c r="J12" s="10">
        <f>_xlfn.XLOOKUP(OctSumm[[#This Row],[Category]],OctTable[Category],OctTable[Amount Budgeted])</f>
        <v>11450</v>
      </c>
      <c r="K12" s="10">
        <f>_xlfn.XLOOKUP(OctSumm[[#This Row],[Category]],OctTable[Category],OctTable[Actual Spending])</f>
        <v>11250</v>
      </c>
      <c r="L12" s="5">
        <f>_xlfn.XLOOKUP(OctSumm[[#This Row],[Category]],JanTable[Category],JanTable[Difference])</f>
        <v>201</v>
      </c>
    </row>
    <row r="13" spans="1:12" x14ac:dyDescent="0.2">
      <c r="C13" s="12" t="s">
        <v>10</v>
      </c>
      <c r="D13" s="13">
        <v>750</v>
      </c>
      <c r="E13" s="14">
        <v>750</v>
      </c>
      <c r="F13" s="14"/>
    </row>
    <row r="14" spans="1:12" x14ac:dyDescent="0.2">
      <c r="C14" s="12"/>
      <c r="D14" s="13"/>
      <c r="E14" s="14"/>
      <c r="F14" s="14"/>
    </row>
    <row r="15" spans="1:12" x14ac:dyDescent="0.2">
      <c r="C15" s="16" t="s">
        <v>11</v>
      </c>
      <c r="D15" s="18">
        <f>SUBTOTAL(9,D16:D18)</f>
        <v>3500</v>
      </c>
      <c r="E15" s="18">
        <f>SUBTOTAL(9,E16:E18)</f>
        <v>3230</v>
      </c>
      <c r="F15" s="18">
        <f>OctTable[[#This Row],[Actual Spending]]-OctTable[[#This Row],[Amount Budgeted]]</f>
        <v>-270</v>
      </c>
      <c r="I15" s="40" t="s">
        <v>41</v>
      </c>
      <c r="J15" s="40" t="s">
        <v>39</v>
      </c>
      <c r="K15" s="41" t="s">
        <v>43</v>
      </c>
    </row>
    <row r="16" spans="1:12" x14ac:dyDescent="0.2">
      <c r="C16" s="12" t="s">
        <v>12</v>
      </c>
      <c r="D16" s="13">
        <v>1000</v>
      </c>
      <c r="E16" s="14">
        <v>800</v>
      </c>
      <c r="F16" s="14">
        <f>OctTable[[#This Row],[Actual Spending]]-OctTable[[#This Row],[Amount Budgeted]]</f>
        <v>-200</v>
      </c>
      <c r="I16" s="42" t="s">
        <v>23</v>
      </c>
      <c r="J16" s="43">
        <v>2000</v>
      </c>
      <c r="K16" s="44">
        <v>2500</v>
      </c>
    </row>
    <row r="17" spans="3:11" x14ac:dyDescent="0.2">
      <c r="C17" s="12" t="s">
        <v>13</v>
      </c>
      <c r="D17" s="13">
        <v>500</v>
      </c>
      <c r="E17" s="14">
        <v>500</v>
      </c>
      <c r="F17" s="14"/>
      <c r="I17" s="45" t="s">
        <v>14</v>
      </c>
      <c r="J17" s="46">
        <v>6000</v>
      </c>
      <c r="K17" s="47">
        <v>5967</v>
      </c>
    </row>
    <row r="18" spans="3:11" x14ac:dyDescent="0.2">
      <c r="C18" s="12" t="s">
        <v>32</v>
      </c>
      <c r="D18" s="13">
        <v>2000</v>
      </c>
      <c r="E18" s="14">
        <v>1930</v>
      </c>
      <c r="F18" s="14">
        <f>OctTable[[#This Row],[Actual Spending]]-OctTable[[#This Row],[Amount Budgeted]]</f>
        <v>-70</v>
      </c>
      <c r="I18" s="45" t="s">
        <v>7</v>
      </c>
      <c r="J18" s="46">
        <v>11450</v>
      </c>
      <c r="K18" s="47">
        <v>11250</v>
      </c>
    </row>
    <row r="19" spans="3:11" x14ac:dyDescent="0.2">
      <c r="C19" s="12"/>
      <c r="D19" s="13"/>
      <c r="E19" s="14"/>
      <c r="F19" s="14"/>
      <c r="I19" s="45" t="s">
        <v>20</v>
      </c>
      <c r="J19" s="46">
        <v>2000</v>
      </c>
      <c r="K19" s="47">
        <v>2000</v>
      </c>
    </row>
    <row r="20" spans="3:11" x14ac:dyDescent="0.2">
      <c r="C20" s="16" t="s">
        <v>14</v>
      </c>
      <c r="D20" s="18">
        <f>SUBTOTAL(9,D21:D22)</f>
        <v>6000</v>
      </c>
      <c r="E20" s="18">
        <f>SUBTOTAL(9,E21:E22)</f>
        <v>5967</v>
      </c>
      <c r="F20" s="18">
        <f>OctTable[[#This Row],[Actual Spending]]-OctTable[[#This Row],[Amount Budgeted]]</f>
        <v>-33</v>
      </c>
      <c r="I20" s="45" t="s">
        <v>29</v>
      </c>
      <c r="J20" s="46">
        <v>8500</v>
      </c>
      <c r="K20" s="47">
        <v>10554</v>
      </c>
    </row>
    <row r="21" spans="3:11" x14ac:dyDescent="0.2">
      <c r="C21" s="12" t="s">
        <v>34</v>
      </c>
      <c r="D21" s="13">
        <v>4500</v>
      </c>
      <c r="E21" s="14">
        <v>4677</v>
      </c>
      <c r="F21" s="14">
        <f>OctTable[[#This Row],[Actual Spending]]-OctTable[[#This Row],[Amount Budgeted]]</f>
        <v>177</v>
      </c>
      <c r="I21" s="45" t="s">
        <v>25</v>
      </c>
      <c r="J21" s="46">
        <v>3000</v>
      </c>
      <c r="K21" s="47">
        <v>3000</v>
      </c>
    </row>
    <row r="22" spans="3:11" x14ac:dyDescent="0.2">
      <c r="C22" s="12" t="s">
        <v>15</v>
      </c>
      <c r="D22" s="13">
        <v>1500</v>
      </c>
      <c r="E22" s="14">
        <v>1290</v>
      </c>
      <c r="F22" s="14">
        <f>OctTable[[#This Row],[Actual Spending]]-OctTable[[#This Row],[Amount Budgeted]]</f>
        <v>-210</v>
      </c>
      <c r="I22" s="45" t="s">
        <v>16</v>
      </c>
      <c r="J22" s="46">
        <v>4500</v>
      </c>
      <c r="K22" s="47">
        <v>5000</v>
      </c>
    </row>
    <row r="23" spans="3:11" x14ac:dyDescent="0.2">
      <c r="C23" s="12"/>
      <c r="D23" s="13"/>
      <c r="E23" s="14"/>
      <c r="F23" s="14"/>
      <c r="I23" s="45" t="s">
        <v>11</v>
      </c>
      <c r="J23" s="46">
        <v>3500</v>
      </c>
      <c r="K23" s="47">
        <v>3230</v>
      </c>
    </row>
    <row r="24" spans="3:11" x14ac:dyDescent="0.2">
      <c r="C24" s="16" t="s">
        <v>16</v>
      </c>
      <c r="D24" s="18">
        <f>SUBTOTAL(9,D25:D27)</f>
        <v>4500</v>
      </c>
      <c r="E24" s="18">
        <f>SUBTOTAL(9,E25:E27)</f>
        <v>5000</v>
      </c>
      <c r="F24" s="18">
        <f>OctTable[[#This Row],[Actual Spending]]-OctTable[[#This Row],[Amount Budgeted]]</f>
        <v>500</v>
      </c>
      <c r="I24" s="48" t="s">
        <v>42</v>
      </c>
      <c r="J24" s="49">
        <v>40950</v>
      </c>
      <c r="K24" s="50">
        <v>43501</v>
      </c>
    </row>
    <row r="25" spans="3:11" x14ac:dyDescent="0.2">
      <c r="C25" s="12" t="s">
        <v>17</v>
      </c>
      <c r="D25" s="13">
        <v>2000</v>
      </c>
      <c r="E25" s="14">
        <v>2000</v>
      </c>
      <c r="F25" s="14">
        <f>OctTable[[#This Row],[Actual Spending]]-OctTable[[#This Row],[Amount Budgeted]]</f>
        <v>0</v>
      </c>
    </row>
    <row r="26" spans="3:11" x14ac:dyDescent="0.2">
      <c r="C26" s="12" t="s">
        <v>18</v>
      </c>
      <c r="D26" s="13">
        <v>2000</v>
      </c>
      <c r="E26" s="14">
        <v>3000</v>
      </c>
      <c r="F26" s="14">
        <f>OctTable[[#This Row],[Actual Spending]]-OctTable[[#This Row],[Amount Budgeted]]</f>
        <v>1000</v>
      </c>
    </row>
    <row r="27" spans="3:11" x14ac:dyDescent="0.2">
      <c r="C27" s="12" t="s">
        <v>19</v>
      </c>
      <c r="D27" s="13">
        <v>500</v>
      </c>
      <c r="E27" s="14">
        <v>0</v>
      </c>
      <c r="F27" s="14">
        <f>OctTable[[#This Row],[Actual Spending]]-OctTable[[#This Row],[Amount Budgeted]]</f>
        <v>-500</v>
      </c>
    </row>
    <row r="28" spans="3:11" x14ac:dyDescent="0.2">
      <c r="C28" s="12"/>
      <c r="D28" s="13"/>
      <c r="E28" s="14"/>
      <c r="F28" s="14"/>
    </row>
    <row r="29" spans="3:11" x14ac:dyDescent="0.2">
      <c r="C29" s="16" t="s">
        <v>20</v>
      </c>
      <c r="D29" s="18">
        <f>SUBTOTAL(9, D30:D31)</f>
        <v>2000</v>
      </c>
      <c r="E29" s="18">
        <f>SUBTOTAL(9,E30:E31)</f>
        <v>2000</v>
      </c>
      <c r="F29" s="18">
        <f>OctTable[[#This Row],[Actual Spending]]-OctTable[[#This Row],[Amount Budgeted]]</f>
        <v>0</v>
      </c>
    </row>
    <row r="30" spans="3:11" x14ac:dyDescent="0.2">
      <c r="C30" s="12" t="s">
        <v>21</v>
      </c>
      <c r="D30" s="13">
        <v>500</v>
      </c>
      <c r="E30" s="14">
        <v>500</v>
      </c>
      <c r="F30" s="14">
        <f>OctTable[[#This Row],[Actual Spending]]-OctTable[[#This Row],[Amount Budgeted]]</f>
        <v>0</v>
      </c>
    </row>
    <row r="31" spans="3:11" x14ac:dyDescent="0.2">
      <c r="C31" s="12" t="s">
        <v>22</v>
      </c>
      <c r="D31" s="13">
        <v>1500</v>
      </c>
      <c r="E31" s="14">
        <v>1500</v>
      </c>
      <c r="F31" s="14">
        <f>OctTable[[#This Row],[Actual Spending]]-OctTable[[#This Row],[Amount Budgeted]]</f>
        <v>0</v>
      </c>
    </row>
    <row r="32" spans="3:11" x14ac:dyDescent="0.2">
      <c r="C32" s="12"/>
      <c r="D32" s="13"/>
      <c r="E32" s="14"/>
      <c r="F32" s="14"/>
    </row>
    <row r="33" spans="3:6" x14ac:dyDescent="0.2">
      <c r="C33" s="16" t="s">
        <v>23</v>
      </c>
      <c r="D33" s="18">
        <f>SUBTOTAL(9,D34)</f>
        <v>2000</v>
      </c>
      <c r="E33" s="18">
        <f>SUBTOTAL(9,E34)</f>
        <v>2500</v>
      </c>
      <c r="F33" s="18">
        <f>OctTable[[#This Row],[Actual Spending]]-OctTable[[#This Row],[Amount Budgeted]]</f>
        <v>500</v>
      </c>
    </row>
    <row r="34" spans="3:6" x14ac:dyDescent="0.2">
      <c r="C34" s="12" t="s">
        <v>24</v>
      </c>
      <c r="D34" s="13">
        <v>2000</v>
      </c>
      <c r="E34" s="14">
        <v>2500</v>
      </c>
      <c r="F34" s="14">
        <f>OctTable[[#This Row],[Actual Spending]]-OctTable[[#This Row],[Amount Budgeted]]</f>
        <v>500</v>
      </c>
    </row>
    <row r="35" spans="3:6" x14ac:dyDescent="0.2">
      <c r="C35" s="12"/>
      <c r="D35" s="13"/>
      <c r="E35" s="14"/>
      <c r="F35" s="14"/>
    </row>
    <row r="36" spans="3:6" x14ac:dyDescent="0.2">
      <c r="C36" s="16" t="s">
        <v>29</v>
      </c>
      <c r="D36" s="18">
        <f>SUBTOTAL(9,D37:D39)</f>
        <v>8500</v>
      </c>
      <c r="E36" s="18">
        <f>SUBTOTAL(9,E37:E39)</f>
        <v>10554</v>
      </c>
      <c r="F36" s="18">
        <f>OctTable[[#This Row],[Actual Spending]]-OctTable[[#This Row],[Amount Budgeted]]</f>
        <v>2054</v>
      </c>
    </row>
    <row r="37" spans="3:6" x14ac:dyDescent="0.2">
      <c r="C37" s="12" t="s">
        <v>30</v>
      </c>
      <c r="D37" s="13">
        <v>500</v>
      </c>
      <c r="E37" s="14">
        <v>554</v>
      </c>
      <c r="F37" s="14">
        <f>OctTable[[#This Row],[Actual Spending]]-OctTable[[#This Row],[Amount Budgeted]]</f>
        <v>54</v>
      </c>
    </row>
    <row r="38" spans="3:6" x14ac:dyDescent="0.2">
      <c r="C38" s="24" t="s">
        <v>31</v>
      </c>
      <c r="D38" s="25">
        <v>4000</v>
      </c>
      <c r="E38" s="26">
        <v>5000</v>
      </c>
      <c r="F38" s="14">
        <f>OctTable[[#This Row],[Actual Spending]]-OctTable[[#This Row],[Amount Budgeted]]</f>
        <v>1000</v>
      </c>
    </row>
    <row r="39" spans="3:6" x14ac:dyDescent="0.2">
      <c r="C39" s="24" t="s">
        <v>33</v>
      </c>
      <c r="D39" s="25">
        <v>4000</v>
      </c>
      <c r="E39" s="26">
        <v>5000</v>
      </c>
      <c r="F39" s="14">
        <f>OctTable[[#This Row],[Actual Spending]]-OctTable[[#This Row],[Amount Budgeted]]</f>
        <v>1000</v>
      </c>
    </row>
    <row r="40" spans="3:6" x14ac:dyDescent="0.2">
      <c r="C40" s="12"/>
      <c r="D40" s="13"/>
      <c r="E40" s="14"/>
      <c r="F40" s="14"/>
    </row>
    <row r="41" spans="3:6" x14ac:dyDescent="0.2">
      <c r="C41" s="16" t="s">
        <v>25</v>
      </c>
      <c r="D41" s="17">
        <f>SUBTOTAL(9,D42:D44)</f>
        <v>3000</v>
      </c>
      <c r="E41" s="18">
        <f>SUBTOTAL(9,E42:E44)</f>
        <v>3000</v>
      </c>
      <c r="F41" s="18">
        <f>OctTable[[#This Row],[Actual Spending]]-OctTable[[#This Row],[Amount Budgeted]]</f>
        <v>0</v>
      </c>
    </row>
    <row r="42" spans="3:6" x14ac:dyDescent="0.2">
      <c r="C42" s="12" t="s">
        <v>26</v>
      </c>
      <c r="D42" s="13">
        <v>500</v>
      </c>
      <c r="E42" s="14">
        <v>0</v>
      </c>
      <c r="F42" s="14">
        <f>OctTable[[#This Row],[Actual Spending]]-OctTable[[#This Row],[Amount Budgeted]]</f>
        <v>-500</v>
      </c>
    </row>
    <row r="43" spans="3:6" x14ac:dyDescent="0.2">
      <c r="C43" s="12" t="s">
        <v>27</v>
      </c>
      <c r="D43" s="13">
        <v>500</v>
      </c>
      <c r="E43" s="14">
        <v>1000</v>
      </c>
      <c r="F43" s="14">
        <f>OctTable[[#This Row],[Actual Spending]]-OctTable[[#This Row],[Amount Budgeted]]</f>
        <v>500</v>
      </c>
    </row>
    <row r="44" spans="3:6" x14ac:dyDescent="0.2">
      <c r="C44" s="12" t="s">
        <v>28</v>
      </c>
      <c r="D44" s="13">
        <v>2000</v>
      </c>
      <c r="E44" s="14">
        <v>2000</v>
      </c>
      <c r="F44" s="14">
        <f>OctTable[[#This Row],[Actual Spending]]-OctTable[[#This Row],[Amount Budgeted]]</f>
        <v>0</v>
      </c>
    </row>
  </sheetData>
  <mergeCells count="1">
    <mergeCell ref="A1:XFD2"/>
  </mergeCells>
  <conditionalFormatting sqref="L5:L12">
    <cfRule type="dataBar" priority="7">
      <dataBar showValue="0">
        <cfvo type="min"/>
        <cfvo type="max"/>
        <color rgb="FF638EC6"/>
      </dataBar>
      <extLst>
        <ext xmlns:x14="http://schemas.microsoft.com/office/spreadsheetml/2009/9/main" uri="{B025F937-C7B1-47D3-B67F-A62EFF666E3E}">
          <x14:id>{1506FE3C-41AB-450C-AAE6-6575C35235F2}</x14:id>
        </ext>
      </extLst>
    </cfRule>
    <cfRule type="dataBar" priority="8">
      <dataBar>
        <cfvo type="min"/>
        <cfvo type="max"/>
        <color rgb="FF638EC6"/>
      </dataBar>
      <extLst>
        <ext xmlns:x14="http://schemas.microsoft.com/office/spreadsheetml/2009/9/main" uri="{B025F937-C7B1-47D3-B67F-A62EFF666E3E}">
          <x14:id>{7BD6072E-C096-4024-85BB-F092041E4920}</x14:id>
        </ext>
      </extLst>
    </cfRule>
  </conditionalFormatting>
  <pageMargins left="0.7" right="0.7" top="0.75" bottom="0.75" header="0.3" footer="0.3"/>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1506FE3C-41AB-450C-AAE6-6575C35235F2}">
            <x14:dataBar minLength="0" maxLength="100" gradient="0">
              <x14:cfvo type="autoMin"/>
              <x14:cfvo type="autoMax"/>
              <x14:negativeFillColor rgb="FFFF0000"/>
              <x14:axisColor rgb="FF000000"/>
            </x14:dataBar>
          </x14:cfRule>
          <x14:cfRule type="dataBar" id="{7BD6072E-C096-4024-85BB-F092041E4920}">
            <x14:dataBar minLength="0" maxLength="100" border="1" negativeBarBorderColorSameAsPositive="0">
              <x14:cfvo type="autoMin"/>
              <x14:cfvo type="autoMax"/>
              <x14:borderColor rgb="FF638EC6"/>
              <x14:negativeFillColor rgb="FFFF0000"/>
              <x14:negativeBorderColor rgb="FFFF0000"/>
              <x14:axisColor rgb="FF000000"/>
            </x14:dataBar>
          </x14:cfRule>
          <xm:sqref>L5:L12</xm:sqref>
        </x14:conditionalFormatting>
      </x14:conditionalFormattings>
    </ext>
    <ext xmlns:x14="http://schemas.microsoft.com/office/spreadsheetml/2009/9/main" uri="{A8765BA9-456A-4dab-B4F3-ACF838C121DE}">
      <x14:slicerList>
        <x14:slicer r:id="rId5"/>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C58F2-8B1B-49A2-A2E5-01BE93592BEB}">
  <dimension ref="A1:L44"/>
  <sheetViews>
    <sheetView topLeftCell="A26" workbookViewId="0">
      <selection activeCell="F47" sqref="A1:XFD1048576"/>
    </sheetView>
  </sheetViews>
  <sheetFormatPr defaultRowHeight="12.75" x14ac:dyDescent="0.2"/>
  <cols>
    <col min="1" max="2" width="9.140625" style="5"/>
    <col min="3" max="3" width="24.85546875" style="5" bestFit="1" customWidth="1"/>
    <col min="4" max="4" width="30.42578125" style="5" bestFit="1" customWidth="1"/>
    <col min="5" max="5" width="27.7109375" style="5" bestFit="1" customWidth="1"/>
    <col min="6" max="6" width="18.42578125" style="5" bestFit="1" customWidth="1"/>
    <col min="7" max="8" width="9.140625" style="5"/>
    <col min="9" max="9" width="18.85546875" style="5" bestFit="1" customWidth="1"/>
    <col min="10" max="10" width="12.42578125" style="5" bestFit="1" customWidth="1"/>
    <col min="11" max="11" width="11.7109375" style="5" bestFit="1" customWidth="1"/>
    <col min="12" max="12" width="16.140625" style="5" bestFit="1" customWidth="1"/>
    <col min="13" max="16384" width="9.140625" style="5"/>
  </cols>
  <sheetData>
    <row r="1" spans="1:12" s="27" customFormat="1" ht="24" customHeight="1" x14ac:dyDescent="0.2">
      <c r="A1" s="27" t="s">
        <v>57</v>
      </c>
    </row>
    <row r="2" spans="1:12" s="27" customFormat="1" ht="24" customHeight="1" x14ac:dyDescent="0.2"/>
    <row r="4" spans="1:12" x14ac:dyDescent="0.2">
      <c r="C4" s="28" t="s">
        <v>0</v>
      </c>
      <c r="D4" s="29" t="s">
        <v>1</v>
      </c>
      <c r="E4" s="29" t="s">
        <v>2</v>
      </c>
      <c r="F4" s="29" t="s">
        <v>3</v>
      </c>
      <c r="I4" s="30" t="s">
        <v>0</v>
      </c>
      <c r="J4" s="30" t="s">
        <v>35</v>
      </c>
      <c r="K4" s="30" t="s">
        <v>36</v>
      </c>
      <c r="L4" s="30" t="s">
        <v>3</v>
      </c>
    </row>
    <row r="5" spans="1:12" x14ac:dyDescent="0.2">
      <c r="C5" s="15" t="s">
        <v>4</v>
      </c>
      <c r="D5" s="14">
        <f>SUBTOTAL(9,D6:D7)</f>
        <v>50500</v>
      </c>
      <c r="E5" s="14"/>
      <c r="F5" s="14"/>
      <c r="I5" s="5" t="s">
        <v>23</v>
      </c>
      <c r="J5" s="10">
        <f>_xlfn.XLOOKUP(NovSumm[[#This Row],[Category]],NovTable[Category],NovTable[Amount Budgeted])</f>
        <v>1500</v>
      </c>
      <c r="K5" s="10">
        <f>_xlfn.XLOOKUP(NovSumm[[#This Row],[Category]],NovTable[Category],NovTable[Actual Spending])</f>
        <v>1800</v>
      </c>
      <c r="L5" s="5">
        <f>_xlfn.XLOOKUP(NovSumm[[#This Row],[Category]],NovTable[Category],NovTable[Difference])</f>
        <v>300</v>
      </c>
    </row>
    <row r="6" spans="1:12" x14ac:dyDescent="0.2">
      <c r="C6" s="12" t="s">
        <v>5</v>
      </c>
      <c r="D6" s="13">
        <v>40000</v>
      </c>
      <c r="E6" s="14"/>
      <c r="F6" s="14"/>
      <c r="I6" s="5" t="s">
        <v>20</v>
      </c>
      <c r="J6" s="10">
        <f>_xlfn.XLOOKUP(NovSumm[[#This Row],[Category]],NovTable[Category],NovTable[Amount Budgeted])</f>
        <v>2000</v>
      </c>
      <c r="K6" s="10">
        <f>_xlfn.XLOOKUP(NovSumm[[#This Row],[Category]],NovTable[Category],NovTable[Actual Spending])</f>
        <v>2000</v>
      </c>
      <c r="L6" s="5">
        <f>_xlfn.XLOOKUP(NovSumm[[#This Row],[Category]],NovTable[Category],NovTable[Difference])</f>
        <v>0</v>
      </c>
    </row>
    <row r="7" spans="1:12" x14ac:dyDescent="0.2">
      <c r="C7" s="12" t="s">
        <v>37</v>
      </c>
      <c r="D7" s="13">
        <v>10500</v>
      </c>
      <c r="E7" s="14"/>
      <c r="F7" s="14"/>
      <c r="I7" s="5" t="s">
        <v>25</v>
      </c>
      <c r="J7" s="10">
        <f>_xlfn.XLOOKUP(NovSumm[[#This Row],[Category]],NovTable[Category],NovTable[Amount Budgeted])</f>
        <v>2000</v>
      </c>
      <c r="K7" s="10">
        <f>_xlfn.XLOOKUP(NovSumm[[#This Row],[Category]],NovTable[Category],NovTable[Actual Spending])</f>
        <v>1500</v>
      </c>
      <c r="L7" s="5">
        <f>_xlfn.XLOOKUP(NovSumm[[#This Row],[Category]],NovTable[Category],NovTable[Difference])</f>
        <v>-500</v>
      </c>
    </row>
    <row r="8" spans="1:12" x14ac:dyDescent="0.2">
      <c r="C8" s="12"/>
      <c r="D8" s="13"/>
      <c r="E8" s="14"/>
      <c r="F8" s="14"/>
      <c r="I8" s="5" t="s">
        <v>11</v>
      </c>
      <c r="J8" s="10">
        <f>_xlfn.XLOOKUP(NovSumm[[#This Row],[Category]],NovTable[Category],NovTable[Amount Budgeted])</f>
        <v>2700</v>
      </c>
      <c r="K8" s="10">
        <f>_xlfn.XLOOKUP(NovSumm[[#This Row],[Category]],NovTable[Category],NovTable[Actual Spending])</f>
        <v>2770</v>
      </c>
      <c r="L8" s="5">
        <f>_xlfn.XLOOKUP(NovSumm[[#This Row],[Category]],NovTable[Category],NovTable[Difference])</f>
        <v>70</v>
      </c>
    </row>
    <row r="9" spans="1:12" x14ac:dyDescent="0.2">
      <c r="C9" s="15" t="s">
        <v>6</v>
      </c>
      <c r="D9" s="14"/>
      <c r="E9" s="14"/>
      <c r="F9" s="14"/>
      <c r="I9" s="5" t="s">
        <v>16</v>
      </c>
      <c r="J9" s="10">
        <f>_xlfn.XLOOKUP(NovSumm[[#This Row],[Category]],NovTable[Category],NovTable[Amount Budgeted])</f>
        <v>4000</v>
      </c>
      <c r="K9" s="10">
        <f>_xlfn.XLOOKUP(NovSumm[[#This Row],[Category]],NovTable[Category],NovTable[Actual Spending])</f>
        <v>4100</v>
      </c>
      <c r="L9" s="5">
        <f>_xlfn.XLOOKUP(NovSumm[[#This Row],[Category]],NovTable[Category],NovTable[Difference])</f>
        <v>100</v>
      </c>
    </row>
    <row r="10" spans="1:12" x14ac:dyDescent="0.2">
      <c r="C10" s="16" t="s">
        <v>7</v>
      </c>
      <c r="D10" s="17">
        <f>SUBTOTAL(9,D11:D13)</f>
        <v>11250</v>
      </c>
      <c r="E10" s="18">
        <f>SUBTOTAL(9,E11:E13)</f>
        <v>11450</v>
      </c>
      <c r="F10" s="18">
        <f>NovTable[[#This Row],[Actual Spending]]-NovTable[[#This Row],[Amount Budgeted]]</f>
        <v>200</v>
      </c>
      <c r="I10" s="5" t="s">
        <v>14</v>
      </c>
      <c r="J10" s="10">
        <f>_xlfn.XLOOKUP(NovSumm[[#This Row],[Category]],NovTable[Category],NovTable[Amount Budgeted])</f>
        <v>4500</v>
      </c>
      <c r="K10" s="10">
        <f>_xlfn.XLOOKUP(NovSumm[[#This Row],[Category]],NovTable[Category],NovTable[Actual Spending])</f>
        <v>4253</v>
      </c>
      <c r="L10" s="5">
        <f>_xlfn.XLOOKUP(NovSumm[[#This Row],[Category]],NovTable[Category],NovTable[Difference])</f>
        <v>-247</v>
      </c>
    </row>
    <row r="11" spans="1:12" x14ac:dyDescent="0.2">
      <c r="C11" s="12" t="s">
        <v>8</v>
      </c>
      <c r="D11" s="13">
        <v>10000</v>
      </c>
      <c r="E11" s="14">
        <v>10200</v>
      </c>
      <c r="F11" s="14">
        <f>NovTable[[#This Row],[Actual Spending]]-NovTable[[#This Row],[Amount Budgeted]]</f>
        <v>200</v>
      </c>
      <c r="I11" s="5" t="s">
        <v>29</v>
      </c>
      <c r="J11" s="10">
        <f>_xlfn.XLOOKUP(NovSumm[[#This Row],[Category]],NovTable[Category],NovTable[Amount Budgeted])</f>
        <v>6500</v>
      </c>
      <c r="K11" s="10">
        <f>_xlfn.XLOOKUP(NovSumm[[#This Row],[Category]],NovTable[Category],NovTable[Actual Spending])</f>
        <v>5750</v>
      </c>
      <c r="L11" s="5">
        <f>_xlfn.XLOOKUP(NovSumm[[#This Row],[Category]],NovTable[Category],NovTable[Difference])</f>
        <v>-750</v>
      </c>
    </row>
    <row r="12" spans="1:12" x14ac:dyDescent="0.2">
      <c r="C12" s="12" t="s">
        <v>9</v>
      </c>
      <c r="D12" s="13">
        <v>500</v>
      </c>
      <c r="E12" s="14">
        <v>500</v>
      </c>
      <c r="F12" s="14"/>
      <c r="I12" s="5" t="s">
        <v>7</v>
      </c>
      <c r="J12" s="10">
        <f>_xlfn.XLOOKUP(NovSumm[[#This Row],[Category]],NovTable[Category],NovTable[Amount Budgeted])</f>
        <v>11250</v>
      </c>
      <c r="K12" s="10">
        <f>_xlfn.XLOOKUP(NovSumm[[#This Row],[Category]],NovTable[Category],NovTable[Actual Spending])</f>
        <v>11450</v>
      </c>
      <c r="L12" s="5">
        <f>_xlfn.XLOOKUP(NovSumm[[#This Row],[Category]],NovTable[Category],NovTable[Difference])</f>
        <v>200</v>
      </c>
    </row>
    <row r="13" spans="1:12" x14ac:dyDescent="0.2">
      <c r="C13" s="12" t="s">
        <v>10</v>
      </c>
      <c r="D13" s="13">
        <v>750</v>
      </c>
      <c r="E13" s="14">
        <v>750</v>
      </c>
      <c r="F13" s="14"/>
    </row>
    <row r="14" spans="1:12" x14ac:dyDescent="0.2">
      <c r="C14" s="12"/>
      <c r="D14" s="13"/>
      <c r="E14" s="14"/>
      <c r="F14" s="14"/>
    </row>
    <row r="15" spans="1:12" x14ac:dyDescent="0.2">
      <c r="C15" s="16" t="s">
        <v>11</v>
      </c>
      <c r="D15" s="18">
        <f>SUBTOTAL(9,D16:D18)</f>
        <v>2700</v>
      </c>
      <c r="E15" s="18">
        <f>SUBTOTAL(9,E16:E18)</f>
        <v>2770</v>
      </c>
      <c r="F15" s="18">
        <f>NovTable[[#This Row],[Actual Spending]]-NovTable[[#This Row],[Amount Budgeted]]</f>
        <v>70</v>
      </c>
      <c r="I15" s="40" t="s">
        <v>41</v>
      </c>
      <c r="J15" s="40" t="s">
        <v>39</v>
      </c>
      <c r="K15" s="41" t="s">
        <v>43</v>
      </c>
    </row>
    <row r="16" spans="1:12" x14ac:dyDescent="0.2">
      <c r="C16" s="12" t="s">
        <v>12</v>
      </c>
      <c r="D16" s="13">
        <v>800</v>
      </c>
      <c r="E16" s="14">
        <v>770</v>
      </c>
      <c r="F16" s="14">
        <f>NovTable[[#This Row],[Actual Spending]]-NovTable[[#This Row],[Amount Budgeted]]</f>
        <v>-30</v>
      </c>
      <c r="I16" s="42" t="s">
        <v>23</v>
      </c>
      <c r="J16" s="43">
        <v>1500</v>
      </c>
      <c r="K16" s="44">
        <v>1800</v>
      </c>
    </row>
    <row r="17" spans="3:11" x14ac:dyDescent="0.2">
      <c r="C17" s="12" t="s">
        <v>13</v>
      </c>
      <c r="D17" s="13">
        <v>500</v>
      </c>
      <c r="E17" s="14">
        <v>500</v>
      </c>
      <c r="F17" s="14"/>
      <c r="I17" s="45" t="s">
        <v>14</v>
      </c>
      <c r="J17" s="46">
        <v>4500</v>
      </c>
      <c r="K17" s="47">
        <v>4253</v>
      </c>
    </row>
    <row r="18" spans="3:11" x14ac:dyDescent="0.2">
      <c r="C18" s="12" t="s">
        <v>32</v>
      </c>
      <c r="D18" s="13">
        <v>1400</v>
      </c>
      <c r="E18" s="14">
        <v>1500</v>
      </c>
      <c r="F18" s="14">
        <f>NovTable[[#This Row],[Actual Spending]]-NovTable[[#This Row],[Amount Budgeted]]</f>
        <v>100</v>
      </c>
      <c r="I18" s="45" t="s">
        <v>7</v>
      </c>
      <c r="J18" s="46">
        <v>11250</v>
      </c>
      <c r="K18" s="47">
        <v>11450</v>
      </c>
    </row>
    <row r="19" spans="3:11" x14ac:dyDescent="0.2">
      <c r="C19" s="12"/>
      <c r="D19" s="13"/>
      <c r="E19" s="14"/>
      <c r="F19" s="14"/>
      <c r="I19" s="45" t="s">
        <v>20</v>
      </c>
      <c r="J19" s="46">
        <v>2000</v>
      </c>
      <c r="K19" s="47">
        <v>2000</v>
      </c>
    </row>
    <row r="20" spans="3:11" x14ac:dyDescent="0.2">
      <c r="C20" s="16" t="s">
        <v>14</v>
      </c>
      <c r="D20" s="18">
        <f>SUBTOTAL(9,D21:D22)</f>
        <v>4500</v>
      </c>
      <c r="E20" s="18">
        <f>SUBTOTAL(9,E21:E22)</f>
        <v>4253</v>
      </c>
      <c r="F20" s="18">
        <f>NovTable[[#This Row],[Actual Spending]]-NovTable[[#This Row],[Amount Budgeted]]</f>
        <v>-247</v>
      </c>
      <c r="I20" s="45" t="s">
        <v>29</v>
      </c>
      <c r="J20" s="46">
        <v>6500</v>
      </c>
      <c r="K20" s="47">
        <v>5750</v>
      </c>
    </row>
    <row r="21" spans="3:11" x14ac:dyDescent="0.2">
      <c r="C21" s="12" t="s">
        <v>34</v>
      </c>
      <c r="D21" s="13">
        <v>3000</v>
      </c>
      <c r="E21" s="14">
        <v>3153</v>
      </c>
      <c r="F21" s="14">
        <f>NovTable[[#This Row],[Actual Spending]]-NovTable[[#This Row],[Amount Budgeted]]</f>
        <v>153</v>
      </c>
      <c r="I21" s="45" t="s">
        <v>25</v>
      </c>
      <c r="J21" s="46">
        <v>2000</v>
      </c>
      <c r="K21" s="47">
        <v>1500</v>
      </c>
    </row>
    <row r="22" spans="3:11" x14ac:dyDescent="0.2">
      <c r="C22" s="12" t="s">
        <v>15</v>
      </c>
      <c r="D22" s="13">
        <v>1500</v>
      </c>
      <c r="E22" s="14">
        <v>1100</v>
      </c>
      <c r="F22" s="14">
        <f>NovTable[[#This Row],[Actual Spending]]-NovTable[[#This Row],[Amount Budgeted]]</f>
        <v>-400</v>
      </c>
      <c r="I22" s="45" t="s">
        <v>16</v>
      </c>
      <c r="J22" s="46">
        <v>4000</v>
      </c>
      <c r="K22" s="47">
        <v>4100</v>
      </c>
    </row>
    <row r="23" spans="3:11" x14ac:dyDescent="0.2">
      <c r="C23" s="12"/>
      <c r="D23" s="13"/>
      <c r="E23" s="14"/>
      <c r="F23" s="14"/>
      <c r="I23" s="45" t="s">
        <v>11</v>
      </c>
      <c r="J23" s="46">
        <v>2700</v>
      </c>
      <c r="K23" s="47">
        <v>2770</v>
      </c>
    </row>
    <row r="24" spans="3:11" x14ac:dyDescent="0.2">
      <c r="C24" s="16" t="s">
        <v>16</v>
      </c>
      <c r="D24" s="18">
        <f>SUBTOTAL(9,D25:D27)</f>
        <v>4000</v>
      </c>
      <c r="E24" s="18">
        <f>SUBTOTAL(9,E25:E27)</f>
        <v>4100</v>
      </c>
      <c r="F24" s="18">
        <f>NovTable[[#This Row],[Actual Spending]]-NovTable[[#This Row],[Amount Budgeted]]</f>
        <v>100</v>
      </c>
      <c r="I24" s="48" t="s">
        <v>42</v>
      </c>
      <c r="J24" s="49">
        <v>34450</v>
      </c>
      <c r="K24" s="50">
        <v>33623</v>
      </c>
    </row>
    <row r="25" spans="3:11" x14ac:dyDescent="0.2">
      <c r="C25" s="12" t="s">
        <v>17</v>
      </c>
      <c r="D25" s="13">
        <v>2000</v>
      </c>
      <c r="E25" s="14">
        <v>2000</v>
      </c>
      <c r="F25" s="14">
        <f>NovTable[[#This Row],[Actual Spending]]-NovTable[[#This Row],[Amount Budgeted]]</f>
        <v>0</v>
      </c>
    </row>
    <row r="26" spans="3:11" x14ac:dyDescent="0.2">
      <c r="C26" s="12" t="s">
        <v>18</v>
      </c>
      <c r="D26" s="13">
        <v>1500</v>
      </c>
      <c r="E26" s="14">
        <v>1300</v>
      </c>
      <c r="F26" s="14">
        <f>NovTable[[#This Row],[Actual Spending]]-NovTable[[#This Row],[Amount Budgeted]]</f>
        <v>-200</v>
      </c>
    </row>
    <row r="27" spans="3:11" x14ac:dyDescent="0.2">
      <c r="C27" s="12" t="s">
        <v>19</v>
      </c>
      <c r="D27" s="13">
        <v>500</v>
      </c>
      <c r="E27" s="14">
        <v>800</v>
      </c>
      <c r="F27" s="14">
        <f>NovTable[[#This Row],[Actual Spending]]-NovTable[[#This Row],[Amount Budgeted]]</f>
        <v>300</v>
      </c>
    </row>
    <row r="28" spans="3:11" x14ac:dyDescent="0.2">
      <c r="C28" s="12"/>
      <c r="D28" s="13"/>
      <c r="E28" s="14"/>
      <c r="F28" s="14"/>
    </row>
    <row r="29" spans="3:11" x14ac:dyDescent="0.2">
      <c r="C29" s="16" t="s">
        <v>20</v>
      </c>
      <c r="D29" s="18">
        <f>SUBTOTAL(9, D30:D31)</f>
        <v>2000</v>
      </c>
      <c r="E29" s="18">
        <f>SUBTOTAL(9,E30:E31)</f>
        <v>2000</v>
      </c>
      <c r="F29" s="18">
        <f>NovTable[[#This Row],[Actual Spending]]-NovTable[[#This Row],[Amount Budgeted]]</f>
        <v>0</v>
      </c>
    </row>
    <row r="30" spans="3:11" x14ac:dyDescent="0.2">
      <c r="C30" s="12" t="s">
        <v>21</v>
      </c>
      <c r="D30" s="13">
        <v>500</v>
      </c>
      <c r="E30" s="14">
        <v>500</v>
      </c>
      <c r="F30" s="14">
        <f>NovTable[[#This Row],[Actual Spending]]-NovTable[[#This Row],[Amount Budgeted]]</f>
        <v>0</v>
      </c>
    </row>
    <row r="31" spans="3:11" x14ac:dyDescent="0.2">
      <c r="C31" s="12" t="s">
        <v>22</v>
      </c>
      <c r="D31" s="13">
        <v>1500</v>
      </c>
      <c r="E31" s="14">
        <v>1500</v>
      </c>
      <c r="F31" s="14">
        <f>NovTable[[#This Row],[Actual Spending]]-NovTable[[#This Row],[Amount Budgeted]]</f>
        <v>0</v>
      </c>
    </row>
    <row r="32" spans="3:11" x14ac:dyDescent="0.2">
      <c r="C32" s="12"/>
      <c r="D32" s="13"/>
      <c r="E32" s="14"/>
      <c r="F32" s="14"/>
    </row>
    <row r="33" spans="3:6" x14ac:dyDescent="0.2">
      <c r="C33" s="16" t="s">
        <v>23</v>
      </c>
      <c r="D33" s="18">
        <f>SUBTOTAL(9,D34)</f>
        <v>1500</v>
      </c>
      <c r="E33" s="18">
        <f>SUBTOTAL(9,E34)</f>
        <v>1800</v>
      </c>
      <c r="F33" s="18">
        <f>NovTable[[#This Row],[Actual Spending]]-NovTable[[#This Row],[Amount Budgeted]]</f>
        <v>300</v>
      </c>
    </row>
    <row r="34" spans="3:6" x14ac:dyDescent="0.2">
      <c r="C34" s="12" t="s">
        <v>24</v>
      </c>
      <c r="D34" s="13">
        <v>1500</v>
      </c>
      <c r="E34" s="14">
        <v>1800</v>
      </c>
      <c r="F34" s="14">
        <f>NovTable[[#This Row],[Actual Spending]]-NovTable[[#This Row],[Amount Budgeted]]</f>
        <v>300</v>
      </c>
    </row>
    <row r="35" spans="3:6" x14ac:dyDescent="0.2">
      <c r="C35" s="12"/>
      <c r="D35" s="13"/>
      <c r="E35" s="14"/>
      <c r="F35" s="14"/>
    </row>
    <row r="36" spans="3:6" x14ac:dyDescent="0.2">
      <c r="C36" s="16" t="s">
        <v>29</v>
      </c>
      <c r="D36" s="18">
        <f>SUBTOTAL(9,D37:D39)</f>
        <v>6500</v>
      </c>
      <c r="E36" s="18">
        <f>SUBTOTAL(9,E37:E39)</f>
        <v>5750</v>
      </c>
      <c r="F36" s="18">
        <f>NovTable[[#This Row],[Actual Spending]]-NovTable[[#This Row],[Amount Budgeted]]</f>
        <v>-750</v>
      </c>
    </row>
    <row r="37" spans="3:6" x14ac:dyDescent="0.2">
      <c r="C37" s="12" t="s">
        <v>30</v>
      </c>
      <c r="D37" s="13">
        <v>500</v>
      </c>
      <c r="E37" s="14">
        <v>0</v>
      </c>
      <c r="F37" s="14">
        <f>NovTable[[#This Row],[Actual Spending]]-NovTable[[#This Row],[Amount Budgeted]]</f>
        <v>-500</v>
      </c>
    </row>
    <row r="38" spans="3:6" x14ac:dyDescent="0.2">
      <c r="C38" s="24" t="s">
        <v>31</v>
      </c>
      <c r="D38" s="25">
        <v>3000</v>
      </c>
      <c r="E38" s="26">
        <v>3000</v>
      </c>
      <c r="F38" s="14">
        <f>NovTable[[#This Row],[Actual Spending]]-NovTable[[#This Row],[Amount Budgeted]]</f>
        <v>0</v>
      </c>
    </row>
    <row r="39" spans="3:6" x14ac:dyDescent="0.2">
      <c r="C39" s="24" t="s">
        <v>33</v>
      </c>
      <c r="D39" s="25">
        <v>3000</v>
      </c>
      <c r="E39" s="26">
        <v>2750</v>
      </c>
      <c r="F39" s="14">
        <f>NovTable[[#This Row],[Actual Spending]]-NovTable[[#This Row],[Amount Budgeted]]</f>
        <v>-250</v>
      </c>
    </row>
    <row r="40" spans="3:6" x14ac:dyDescent="0.2">
      <c r="C40" s="12"/>
      <c r="D40" s="13"/>
      <c r="E40" s="14"/>
      <c r="F40" s="14"/>
    </row>
    <row r="41" spans="3:6" x14ac:dyDescent="0.2">
      <c r="C41" s="16" t="s">
        <v>25</v>
      </c>
      <c r="D41" s="17">
        <f>SUBTOTAL(9,D42:D44)</f>
        <v>2000</v>
      </c>
      <c r="E41" s="18">
        <f>SUBTOTAL(9,E42:E44)</f>
        <v>1500</v>
      </c>
      <c r="F41" s="18">
        <f>NovTable[[#This Row],[Actual Spending]]-NovTable[[#This Row],[Amount Budgeted]]</f>
        <v>-500</v>
      </c>
    </row>
    <row r="42" spans="3:6" x14ac:dyDescent="0.2">
      <c r="C42" s="12" t="s">
        <v>26</v>
      </c>
      <c r="D42" s="13">
        <v>500</v>
      </c>
      <c r="E42" s="14">
        <v>500</v>
      </c>
      <c r="F42" s="14">
        <f>NovTable[[#This Row],[Actual Spending]]-NovTable[[#This Row],[Amount Budgeted]]</f>
        <v>0</v>
      </c>
    </row>
    <row r="43" spans="3:6" x14ac:dyDescent="0.2">
      <c r="C43" s="12" t="s">
        <v>27</v>
      </c>
      <c r="D43" s="13">
        <v>500</v>
      </c>
      <c r="E43" s="14">
        <v>0</v>
      </c>
      <c r="F43" s="14">
        <f>NovTable[[#This Row],[Actual Spending]]-NovTable[[#This Row],[Amount Budgeted]]</f>
        <v>-500</v>
      </c>
    </row>
    <row r="44" spans="3:6" x14ac:dyDescent="0.2">
      <c r="C44" s="12" t="s">
        <v>28</v>
      </c>
      <c r="D44" s="13">
        <v>1000</v>
      </c>
      <c r="E44" s="14">
        <v>1000</v>
      </c>
      <c r="F44" s="14">
        <f>NovTable[[#This Row],[Actual Spending]]-NovTable[[#This Row],[Amount Budgeted]]</f>
        <v>0</v>
      </c>
    </row>
  </sheetData>
  <mergeCells count="1">
    <mergeCell ref="A1:XFD2"/>
  </mergeCells>
  <conditionalFormatting sqref="L5:L12">
    <cfRule type="dataBar" priority="5">
      <dataBar showValue="0">
        <cfvo type="min"/>
        <cfvo type="max"/>
        <color rgb="FF638EC6"/>
      </dataBar>
      <extLst>
        <ext xmlns:x14="http://schemas.microsoft.com/office/spreadsheetml/2009/9/main" uri="{B025F937-C7B1-47D3-B67F-A62EFF666E3E}">
          <x14:id>{AF1D3F47-9C1A-4846-A6C9-1F3C1EEE686F}</x14:id>
        </ext>
      </extLst>
    </cfRule>
    <cfRule type="dataBar" priority="6">
      <dataBar>
        <cfvo type="min"/>
        <cfvo type="max"/>
        <color rgb="FF638EC6"/>
      </dataBar>
      <extLst>
        <ext xmlns:x14="http://schemas.microsoft.com/office/spreadsheetml/2009/9/main" uri="{B025F937-C7B1-47D3-B67F-A62EFF666E3E}">
          <x14:id>{9E52AC55-CE0D-4D54-8134-2EE2AE35BEDF}</x14:id>
        </ext>
      </extLst>
    </cfRule>
  </conditionalFormatting>
  <pageMargins left="0.7" right="0.7" top="0.75" bottom="0.75" header="0.3" footer="0.3"/>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AF1D3F47-9C1A-4846-A6C9-1F3C1EEE686F}">
            <x14:dataBar minLength="0" maxLength="100" gradient="0">
              <x14:cfvo type="autoMin"/>
              <x14:cfvo type="autoMax"/>
              <x14:negativeFillColor rgb="FFFF0000"/>
              <x14:axisColor rgb="FF000000"/>
            </x14:dataBar>
          </x14:cfRule>
          <x14:cfRule type="dataBar" id="{9E52AC55-CE0D-4D54-8134-2EE2AE35BEDF}">
            <x14:dataBar minLength="0" maxLength="100" border="1" negativeBarBorderColorSameAsPositive="0">
              <x14:cfvo type="autoMin"/>
              <x14:cfvo type="autoMax"/>
              <x14:borderColor rgb="FF638EC6"/>
              <x14:negativeFillColor rgb="FFFF0000"/>
              <x14:negativeBorderColor rgb="FFFF0000"/>
              <x14:axisColor rgb="FF000000"/>
            </x14:dataBar>
          </x14:cfRule>
          <xm:sqref>L5:L12</xm:sqref>
        </x14:conditionalFormatting>
      </x14:conditionalFormattings>
    </ext>
    <ext xmlns:x14="http://schemas.microsoft.com/office/spreadsheetml/2009/9/main" uri="{A8765BA9-456A-4dab-B4F3-ACF838C121DE}">
      <x14:slicerList>
        <x14:slicer r:id="rId5"/>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B531C-64B3-41A0-ACFE-E2242D6F76B7}">
  <dimension ref="A1:L45"/>
  <sheetViews>
    <sheetView topLeftCell="D20" workbookViewId="0">
      <selection activeCell="O29" sqref="O29"/>
    </sheetView>
  </sheetViews>
  <sheetFormatPr defaultRowHeight="12.75" x14ac:dyDescent="0.2"/>
  <cols>
    <col min="1" max="2" width="9.140625" style="5"/>
    <col min="3" max="3" width="24.85546875" style="5" bestFit="1" customWidth="1"/>
    <col min="4" max="4" width="30.42578125" style="5" bestFit="1" customWidth="1"/>
    <col min="5" max="5" width="27.7109375" style="5" bestFit="1" customWidth="1"/>
    <col min="6" max="6" width="18.42578125" style="5" bestFit="1" customWidth="1"/>
    <col min="7" max="8" width="9.140625" style="5"/>
    <col min="9" max="9" width="18.85546875" style="5" bestFit="1" customWidth="1"/>
    <col min="10" max="10" width="12.42578125" style="5" bestFit="1" customWidth="1"/>
    <col min="11" max="11" width="11.7109375" style="5" bestFit="1" customWidth="1"/>
    <col min="12" max="12" width="17.5703125" style="5" bestFit="1" customWidth="1"/>
    <col min="13" max="16384" width="9.140625" style="5"/>
  </cols>
  <sheetData>
    <row r="1" spans="1:12" s="27" customFormat="1" ht="24" customHeight="1" x14ac:dyDescent="0.2">
      <c r="A1" s="27" t="s">
        <v>57</v>
      </c>
    </row>
    <row r="2" spans="1:12" s="27" customFormat="1" ht="24" customHeight="1" x14ac:dyDescent="0.2"/>
    <row r="4" spans="1:12" x14ac:dyDescent="0.2">
      <c r="C4" s="28" t="s">
        <v>0</v>
      </c>
      <c r="D4" s="29" t="s">
        <v>1</v>
      </c>
      <c r="E4" s="29" t="s">
        <v>2</v>
      </c>
      <c r="F4" s="29" t="s">
        <v>3</v>
      </c>
      <c r="I4" s="30" t="s">
        <v>0</v>
      </c>
      <c r="J4" s="30" t="s">
        <v>35</v>
      </c>
      <c r="K4" s="30" t="s">
        <v>36</v>
      </c>
      <c r="L4" s="30" t="s">
        <v>3</v>
      </c>
    </row>
    <row r="5" spans="1:12" x14ac:dyDescent="0.2">
      <c r="C5" s="15" t="s">
        <v>4</v>
      </c>
      <c r="D5" s="14">
        <f>SUBTOTAL(9,D6:D7)</f>
        <v>50000</v>
      </c>
      <c r="E5" s="14"/>
      <c r="F5" s="14"/>
      <c r="I5" s="5" t="s">
        <v>23</v>
      </c>
      <c r="J5" s="10">
        <f>_xlfn.XLOOKUP(Decsumm[[#This Row],[Category]],Dectable[Category],Dectable[Amount Budgeted])</f>
        <v>2000</v>
      </c>
      <c r="K5" s="10">
        <f>_xlfn.XLOOKUP(Decsumm[[#This Row],[Category]],Dectable[Category],Dectable[Actual Spending])</f>
        <v>1760</v>
      </c>
      <c r="L5" s="5">
        <f>_xlfn.XLOOKUP(Decsumm[[#This Row],[Category]],Dectable[Category],Dectable[Difference])</f>
        <v>-240</v>
      </c>
    </row>
    <row r="6" spans="1:12" x14ac:dyDescent="0.2">
      <c r="C6" s="12" t="s">
        <v>5</v>
      </c>
      <c r="D6" s="13">
        <v>40000</v>
      </c>
      <c r="E6" s="14"/>
      <c r="F6" s="14"/>
      <c r="I6" s="5" t="s">
        <v>20</v>
      </c>
      <c r="J6" s="10">
        <f>_xlfn.XLOOKUP(Decsumm[[#This Row],[Category]],Dectable[Category],Dectable[Amount Budgeted])</f>
        <v>2000</v>
      </c>
      <c r="K6" s="10">
        <f>_xlfn.XLOOKUP(Decsumm[[#This Row],[Category]],Dectable[Category],Dectable[Actual Spending])</f>
        <v>2000</v>
      </c>
      <c r="L6" s="5">
        <f>_xlfn.XLOOKUP(Decsumm[[#This Row],[Category]],Dectable[Category],Dectable[Difference])</f>
        <v>0</v>
      </c>
    </row>
    <row r="7" spans="1:12" x14ac:dyDescent="0.2">
      <c r="C7" s="12" t="s">
        <v>37</v>
      </c>
      <c r="D7" s="13">
        <v>10000</v>
      </c>
      <c r="E7" s="14"/>
      <c r="F7" s="14"/>
      <c r="I7" s="5" t="s">
        <v>25</v>
      </c>
      <c r="J7" s="10">
        <f>_xlfn.XLOOKUP(Decsumm[[#This Row],[Category]],Dectable[Category],Dectable[Amount Budgeted])</f>
        <v>2000</v>
      </c>
      <c r="K7" s="10">
        <f>_xlfn.XLOOKUP(Decsumm[[#This Row],[Category]],Dectable[Category],Dectable[Actual Spending])</f>
        <v>3000</v>
      </c>
      <c r="L7" s="5">
        <f>_xlfn.XLOOKUP(Decsumm[[#This Row],[Category]],Dectable[Category],Dectable[Difference])</f>
        <v>1000</v>
      </c>
    </row>
    <row r="8" spans="1:12" x14ac:dyDescent="0.2">
      <c r="C8" s="12"/>
      <c r="D8" s="13"/>
      <c r="E8" s="14"/>
      <c r="F8" s="14"/>
      <c r="I8" s="5" t="s">
        <v>11</v>
      </c>
      <c r="J8" s="10">
        <f>_xlfn.XLOOKUP(Decsumm[[#This Row],[Category]],Dectable[Category],Dectable[Amount Budgeted])</f>
        <v>3000</v>
      </c>
      <c r="K8" s="10">
        <f>_xlfn.XLOOKUP(Decsumm[[#This Row],[Category]],Dectable[Category],Dectable[Actual Spending])</f>
        <v>2700</v>
      </c>
      <c r="L8" s="5">
        <f>_xlfn.XLOOKUP(Decsumm[[#This Row],[Category]],Dectable[Category],Dectable[Difference])</f>
        <v>-300</v>
      </c>
    </row>
    <row r="9" spans="1:12" x14ac:dyDescent="0.2">
      <c r="C9" s="15" t="s">
        <v>6</v>
      </c>
      <c r="D9" s="14"/>
      <c r="E9" s="14"/>
      <c r="F9" s="14"/>
      <c r="I9" s="5" t="s">
        <v>16</v>
      </c>
      <c r="J9" s="10">
        <f>_xlfn.XLOOKUP(Decsumm[[#This Row],[Category]],Dectable[Category],Dectable[Amount Budgeted])</f>
        <v>5000</v>
      </c>
      <c r="K9" s="10">
        <f>_xlfn.XLOOKUP(Decsumm[[#This Row],[Category]],Dectable[Category],Dectable[Actual Spending])</f>
        <v>5000</v>
      </c>
      <c r="L9" s="5">
        <f>_xlfn.XLOOKUP(Decsumm[[#This Row],[Category]],Dectable[Category],Dectable[Difference])</f>
        <v>0</v>
      </c>
    </row>
    <row r="10" spans="1:12" x14ac:dyDescent="0.2">
      <c r="C10" s="16" t="s">
        <v>7</v>
      </c>
      <c r="D10" s="17">
        <f>SUBTOTAL(9,D11:D13)</f>
        <v>11250</v>
      </c>
      <c r="E10" s="18">
        <f>SUBTOTAL(9,E11:E13)</f>
        <v>11250</v>
      </c>
      <c r="F10" s="18">
        <f>Dectable[[#This Row],[Actual Spending]]-Dectable[[#This Row],[Amount Budgeted]]</f>
        <v>0</v>
      </c>
      <c r="I10" s="5" t="s">
        <v>14</v>
      </c>
      <c r="J10" s="10">
        <f>_xlfn.XLOOKUP(Decsumm[[#This Row],[Category]],Dectable[Category],Dectable[Amount Budgeted])</f>
        <v>5500</v>
      </c>
      <c r="K10" s="10">
        <f>_xlfn.XLOOKUP(Decsumm[[#This Row],[Category]],Dectable[Category],Dectable[Actual Spending])</f>
        <v>6716</v>
      </c>
      <c r="L10" s="5">
        <f>_xlfn.XLOOKUP(Decsumm[[#This Row],[Category]],Dectable[Category],Dectable[Difference])</f>
        <v>1216</v>
      </c>
    </row>
    <row r="11" spans="1:12" x14ac:dyDescent="0.2">
      <c r="C11" s="12" t="s">
        <v>8</v>
      </c>
      <c r="D11" s="13">
        <v>10000</v>
      </c>
      <c r="E11" s="14">
        <v>10000</v>
      </c>
      <c r="F11" s="14">
        <f>Dectable[[#This Row],[Actual Spending]]-Dectable[[#This Row],[Amount Budgeted]]</f>
        <v>0</v>
      </c>
      <c r="I11" s="5" t="s">
        <v>29</v>
      </c>
      <c r="J11" s="10">
        <f>_xlfn.XLOOKUP(Decsumm[[#This Row],[Category]],Dectable[Category],Dectable[Amount Budgeted])</f>
        <v>38000</v>
      </c>
      <c r="K11" s="10">
        <f>_xlfn.XLOOKUP(Decsumm[[#This Row],[Category]],Dectable[Category],Dectable[Actual Spending])</f>
        <v>29497</v>
      </c>
      <c r="L11" s="5">
        <f>_xlfn.XLOOKUP(Decsumm[[#This Row],[Category]],Dectable[Category],Dectable[Difference])</f>
        <v>-8503</v>
      </c>
    </row>
    <row r="12" spans="1:12" x14ac:dyDescent="0.2">
      <c r="C12" s="12" t="s">
        <v>9</v>
      </c>
      <c r="D12" s="13">
        <v>500</v>
      </c>
      <c r="E12" s="14">
        <v>500</v>
      </c>
      <c r="F12" s="14"/>
      <c r="I12" s="5" t="s">
        <v>7</v>
      </c>
      <c r="J12" s="10">
        <f>_xlfn.XLOOKUP(Decsumm[[#This Row],[Category]],Dectable[Category],Dectable[Amount Budgeted])</f>
        <v>11250</v>
      </c>
      <c r="K12" s="10">
        <f>_xlfn.XLOOKUP(Decsumm[[#This Row],[Category]],Dectable[Category],Dectable[Actual Spending])</f>
        <v>11250</v>
      </c>
      <c r="L12" s="5">
        <f>_xlfn.XLOOKUP(Decsumm[[#This Row],[Category]],Dectable[Category],Dectable[Difference])</f>
        <v>0</v>
      </c>
    </row>
    <row r="13" spans="1:12" x14ac:dyDescent="0.2">
      <c r="C13" s="12" t="s">
        <v>10</v>
      </c>
      <c r="D13" s="13">
        <v>750</v>
      </c>
      <c r="E13" s="14">
        <v>750</v>
      </c>
      <c r="F13" s="14"/>
    </row>
    <row r="14" spans="1:12" x14ac:dyDescent="0.2">
      <c r="C14" s="12"/>
      <c r="D14" s="13"/>
      <c r="E14" s="14"/>
      <c r="F14" s="14"/>
    </row>
    <row r="15" spans="1:12" x14ac:dyDescent="0.2">
      <c r="C15" s="16" t="s">
        <v>11</v>
      </c>
      <c r="D15" s="18">
        <f>SUBTOTAL(9,D16:D18)</f>
        <v>3000</v>
      </c>
      <c r="E15" s="18">
        <f>SUBTOTAL(9,E16:E18)</f>
        <v>2700</v>
      </c>
      <c r="F15" s="18">
        <f>Dectable[[#This Row],[Actual Spending]]-Dectable[[#This Row],[Amount Budgeted]]</f>
        <v>-300</v>
      </c>
      <c r="I15" s="40" t="s">
        <v>41</v>
      </c>
      <c r="J15" s="40" t="s">
        <v>39</v>
      </c>
      <c r="K15" s="41" t="s">
        <v>43</v>
      </c>
    </row>
    <row r="16" spans="1:12" x14ac:dyDescent="0.2">
      <c r="C16" s="12" t="s">
        <v>12</v>
      </c>
      <c r="D16" s="13">
        <v>500</v>
      </c>
      <c r="E16" s="14">
        <v>400</v>
      </c>
      <c r="F16" s="14">
        <f>Dectable[[#This Row],[Actual Spending]]-Dectable[[#This Row],[Amount Budgeted]]</f>
        <v>-100</v>
      </c>
      <c r="I16" s="42" t="s">
        <v>23</v>
      </c>
      <c r="J16" s="43">
        <v>2000</v>
      </c>
      <c r="K16" s="44">
        <v>1760</v>
      </c>
    </row>
    <row r="17" spans="3:11" x14ac:dyDescent="0.2">
      <c r="C17" s="12" t="s">
        <v>13</v>
      </c>
      <c r="D17" s="13">
        <v>500</v>
      </c>
      <c r="E17" s="14">
        <v>500</v>
      </c>
      <c r="F17" s="14"/>
      <c r="I17" s="45" t="s">
        <v>14</v>
      </c>
      <c r="J17" s="46">
        <v>5500</v>
      </c>
      <c r="K17" s="47">
        <v>6716</v>
      </c>
    </row>
    <row r="18" spans="3:11" x14ac:dyDescent="0.2">
      <c r="C18" s="12" t="s">
        <v>32</v>
      </c>
      <c r="D18" s="13">
        <v>2000</v>
      </c>
      <c r="E18" s="14">
        <v>1800</v>
      </c>
      <c r="F18" s="14">
        <f>Dectable[[#This Row],[Actual Spending]]-Dectable[[#This Row],[Amount Budgeted]]</f>
        <v>-200</v>
      </c>
      <c r="I18" s="45" t="s">
        <v>7</v>
      </c>
      <c r="J18" s="46">
        <v>11250</v>
      </c>
      <c r="K18" s="47">
        <v>11250</v>
      </c>
    </row>
    <row r="19" spans="3:11" x14ac:dyDescent="0.2">
      <c r="C19" s="12"/>
      <c r="D19" s="13"/>
      <c r="E19" s="14"/>
      <c r="F19" s="14"/>
      <c r="I19" s="45" t="s">
        <v>20</v>
      </c>
      <c r="J19" s="46">
        <v>2000</v>
      </c>
      <c r="K19" s="47">
        <v>2000</v>
      </c>
    </row>
    <row r="20" spans="3:11" x14ac:dyDescent="0.2">
      <c r="C20" s="16" t="s">
        <v>14</v>
      </c>
      <c r="D20" s="18">
        <f>SUBTOTAL(9,D21:D22)</f>
        <v>5500</v>
      </c>
      <c r="E20" s="18">
        <f>SUBTOTAL(9,E21:E22)</f>
        <v>6716</v>
      </c>
      <c r="F20" s="18">
        <f>Dectable[[#This Row],[Actual Spending]]-Dectable[[#This Row],[Amount Budgeted]]</f>
        <v>1216</v>
      </c>
      <c r="I20" s="45" t="s">
        <v>29</v>
      </c>
      <c r="J20" s="46">
        <v>38000</v>
      </c>
      <c r="K20" s="47">
        <v>29497</v>
      </c>
    </row>
    <row r="21" spans="3:11" x14ac:dyDescent="0.2">
      <c r="C21" s="12" t="s">
        <v>34</v>
      </c>
      <c r="D21" s="13">
        <v>4000</v>
      </c>
      <c r="E21" s="14">
        <v>4937</v>
      </c>
      <c r="F21" s="14">
        <f>Dectable[[#This Row],[Actual Spending]]-Dectable[[#This Row],[Amount Budgeted]]</f>
        <v>937</v>
      </c>
      <c r="I21" s="45" t="s">
        <v>25</v>
      </c>
      <c r="J21" s="46">
        <v>2000</v>
      </c>
      <c r="K21" s="47">
        <v>3000</v>
      </c>
    </row>
    <row r="22" spans="3:11" x14ac:dyDescent="0.2">
      <c r="C22" s="12" t="s">
        <v>15</v>
      </c>
      <c r="D22" s="13">
        <v>1500</v>
      </c>
      <c r="E22" s="14">
        <v>1779</v>
      </c>
      <c r="F22" s="14">
        <f>Dectable[[#This Row],[Actual Spending]]-Dectable[[#This Row],[Amount Budgeted]]</f>
        <v>279</v>
      </c>
      <c r="I22" s="45" t="s">
        <v>16</v>
      </c>
      <c r="J22" s="46">
        <v>5000</v>
      </c>
      <c r="K22" s="47">
        <v>5000</v>
      </c>
    </row>
    <row r="23" spans="3:11" x14ac:dyDescent="0.2">
      <c r="C23" s="12"/>
      <c r="D23" s="13"/>
      <c r="E23" s="14"/>
      <c r="F23" s="14"/>
      <c r="I23" s="45" t="s">
        <v>11</v>
      </c>
      <c r="J23" s="46">
        <v>3000</v>
      </c>
      <c r="K23" s="47">
        <v>2700</v>
      </c>
    </row>
    <row r="24" spans="3:11" x14ac:dyDescent="0.2">
      <c r="C24" s="16" t="s">
        <v>16</v>
      </c>
      <c r="D24" s="18">
        <f>SUBTOTAL(9,D25:D27)</f>
        <v>5000</v>
      </c>
      <c r="E24" s="18">
        <f>SUBTOTAL(9,E25:E27)</f>
        <v>5000</v>
      </c>
      <c r="F24" s="18">
        <f>Dectable[[#This Row],[Actual Spending]]-Dectable[[#This Row],[Amount Budgeted]]</f>
        <v>0</v>
      </c>
      <c r="I24" s="48" t="s">
        <v>42</v>
      </c>
      <c r="J24" s="49">
        <v>68750</v>
      </c>
      <c r="K24" s="50">
        <v>61923</v>
      </c>
    </row>
    <row r="25" spans="3:11" x14ac:dyDescent="0.2">
      <c r="C25" s="12" t="s">
        <v>17</v>
      </c>
      <c r="D25" s="13">
        <v>2000</v>
      </c>
      <c r="E25" s="14">
        <v>2000</v>
      </c>
      <c r="F25" s="14">
        <f>Dectable[[#This Row],[Actual Spending]]-Dectable[[#This Row],[Amount Budgeted]]</f>
        <v>0</v>
      </c>
    </row>
    <row r="26" spans="3:11" x14ac:dyDescent="0.2">
      <c r="C26" s="12" t="s">
        <v>18</v>
      </c>
      <c r="D26" s="13">
        <v>1500</v>
      </c>
      <c r="E26" s="14">
        <v>1000</v>
      </c>
      <c r="F26" s="14">
        <f>Dectable[[#This Row],[Actual Spending]]-Dectable[[#This Row],[Amount Budgeted]]</f>
        <v>-500</v>
      </c>
    </row>
    <row r="27" spans="3:11" x14ac:dyDescent="0.2">
      <c r="C27" s="12" t="s">
        <v>19</v>
      </c>
      <c r="D27" s="13">
        <v>1500</v>
      </c>
      <c r="E27" s="14">
        <v>2000</v>
      </c>
      <c r="F27" s="14">
        <f>Dectable[[#This Row],[Actual Spending]]-Dectable[[#This Row],[Amount Budgeted]]</f>
        <v>500</v>
      </c>
    </row>
    <row r="28" spans="3:11" x14ac:dyDescent="0.2">
      <c r="C28" s="12"/>
      <c r="D28" s="13"/>
      <c r="E28" s="14"/>
      <c r="F28" s="14"/>
    </row>
    <row r="29" spans="3:11" x14ac:dyDescent="0.2">
      <c r="C29" s="16" t="s">
        <v>20</v>
      </c>
      <c r="D29" s="18">
        <f>SUBTOTAL(9, D30:D31)</f>
        <v>2000</v>
      </c>
      <c r="E29" s="18">
        <f>SUBTOTAL(9,E30:E31)</f>
        <v>2000</v>
      </c>
      <c r="F29" s="18">
        <f>Dectable[[#This Row],[Actual Spending]]-Dectable[[#This Row],[Amount Budgeted]]</f>
        <v>0</v>
      </c>
    </row>
    <row r="30" spans="3:11" x14ac:dyDescent="0.2">
      <c r="C30" s="12" t="s">
        <v>21</v>
      </c>
      <c r="D30" s="13">
        <v>500</v>
      </c>
      <c r="E30" s="14">
        <v>500</v>
      </c>
      <c r="F30" s="14">
        <f>Dectable[[#This Row],[Actual Spending]]-Dectable[[#This Row],[Amount Budgeted]]</f>
        <v>0</v>
      </c>
    </row>
    <row r="31" spans="3:11" x14ac:dyDescent="0.2">
      <c r="C31" s="12" t="s">
        <v>22</v>
      </c>
      <c r="D31" s="13">
        <v>1500</v>
      </c>
      <c r="E31" s="14">
        <v>1500</v>
      </c>
      <c r="F31" s="14">
        <f>Dectable[[#This Row],[Actual Spending]]-Dectable[[#This Row],[Amount Budgeted]]</f>
        <v>0</v>
      </c>
    </row>
    <row r="32" spans="3:11" x14ac:dyDescent="0.2">
      <c r="C32" s="12"/>
      <c r="D32" s="13"/>
      <c r="E32" s="14"/>
      <c r="F32" s="14"/>
    </row>
    <row r="33" spans="3:6" x14ac:dyDescent="0.2">
      <c r="C33" s="16" t="s">
        <v>23</v>
      </c>
      <c r="D33" s="18">
        <f>SUBTOTAL(9,D34)</f>
        <v>2000</v>
      </c>
      <c r="E33" s="18">
        <f>SUBTOTAL(9,E34)</f>
        <v>1760</v>
      </c>
      <c r="F33" s="18">
        <f>Dectable[[#This Row],[Actual Spending]]-Dectable[[#This Row],[Amount Budgeted]]</f>
        <v>-240</v>
      </c>
    </row>
    <row r="34" spans="3:6" x14ac:dyDescent="0.2">
      <c r="C34" s="12" t="s">
        <v>24</v>
      </c>
      <c r="D34" s="13">
        <v>2000</v>
      </c>
      <c r="E34" s="14">
        <v>1760</v>
      </c>
      <c r="F34" s="14">
        <f>Dectable[[#This Row],[Actual Spending]]-Dectable[[#This Row],[Amount Budgeted]]</f>
        <v>-240</v>
      </c>
    </row>
    <row r="35" spans="3:6" x14ac:dyDescent="0.2">
      <c r="C35" s="12"/>
      <c r="D35" s="13"/>
      <c r="E35" s="14"/>
      <c r="F35" s="14"/>
    </row>
    <row r="36" spans="3:6" x14ac:dyDescent="0.2">
      <c r="C36" s="16" t="s">
        <v>29</v>
      </c>
      <c r="D36" s="18">
        <f>SUBTOTAL(9,D37:D40)</f>
        <v>38000</v>
      </c>
      <c r="E36" s="18">
        <f>SUBTOTAL(9,E37:E40)</f>
        <v>29497</v>
      </c>
      <c r="F36" s="18">
        <f>Dectable[[#This Row],[Actual Spending]]-Dectable[[#This Row],[Amount Budgeted]]</f>
        <v>-8503</v>
      </c>
    </row>
    <row r="37" spans="3:6" x14ac:dyDescent="0.2">
      <c r="C37" s="12" t="s">
        <v>30</v>
      </c>
      <c r="D37" s="13">
        <v>1000</v>
      </c>
      <c r="E37" s="14">
        <v>797</v>
      </c>
      <c r="F37" s="14">
        <f>Dectable[[#This Row],[Actual Spending]]-Dectable[[#This Row],[Amount Budgeted]]</f>
        <v>-203</v>
      </c>
    </row>
    <row r="38" spans="3:6" x14ac:dyDescent="0.2">
      <c r="C38" s="24" t="s">
        <v>31</v>
      </c>
      <c r="D38" s="25">
        <v>3000</v>
      </c>
      <c r="E38" s="26">
        <v>2300</v>
      </c>
      <c r="F38" s="14">
        <f>Dectable[[#This Row],[Actual Spending]]-Dectable[[#This Row],[Amount Budgeted]]</f>
        <v>-700</v>
      </c>
    </row>
    <row r="39" spans="3:6" x14ac:dyDescent="0.2">
      <c r="C39" s="24" t="s">
        <v>33</v>
      </c>
      <c r="D39" s="25">
        <v>4000</v>
      </c>
      <c r="E39" s="26">
        <v>3900</v>
      </c>
      <c r="F39" s="14">
        <f>Dectable[[#This Row],[Actual Spending]]-Dectable[[#This Row],[Amount Budgeted]]</f>
        <v>-100</v>
      </c>
    </row>
    <row r="40" spans="3:6" x14ac:dyDescent="0.2">
      <c r="C40" s="24" t="s">
        <v>38</v>
      </c>
      <c r="D40" s="25">
        <v>30000</v>
      </c>
      <c r="E40" s="26">
        <v>22500</v>
      </c>
      <c r="F40" s="26">
        <f>Dectable[[#This Row],[Actual Spending]]-Dectable[[#This Row],[Amount Budgeted]]</f>
        <v>-7500</v>
      </c>
    </row>
    <row r="41" spans="3:6" x14ac:dyDescent="0.2">
      <c r="C41" s="12"/>
      <c r="D41" s="13"/>
      <c r="E41" s="14"/>
      <c r="F41" s="14"/>
    </row>
    <row r="42" spans="3:6" x14ac:dyDescent="0.2">
      <c r="C42" s="16" t="s">
        <v>25</v>
      </c>
      <c r="D42" s="17">
        <f>SUBTOTAL(9,D43:D45)</f>
        <v>2000</v>
      </c>
      <c r="E42" s="18">
        <f>SUBTOTAL(9,E43:E45)</f>
        <v>3000</v>
      </c>
      <c r="F42" s="18">
        <f>Dectable[[#This Row],[Actual Spending]]-Dectable[[#This Row],[Amount Budgeted]]</f>
        <v>1000</v>
      </c>
    </row>
    <row r="43" spans="3:6" x14ac:dyDescent="0.2">
      <c r="C43" s="12" t="s">
        <v>26</v>
      </c>
      <c r="D43" s="13">
        <v>500</v>
      </c>
      <c r="E43" s="14">
        <v>500</v>
      </c>
      <c r="F43" s="14">
        <f>Dectable[[#This Row],[Actual Spending]]-Dectable[[#This Row],[Amount Budgeted]]</f>
        <v>0</v>
      </c>
    </row>
    <row r="44" spans="3:6" x14ac:dyDescent="0.2">
      <c r="C44" s="12" t="s">
        <v>27</v>
      </c>
      <c r="D44" s="13">
        <v>500</v>
      </c>
      <c r="E44" s="14">
        <v>500</v>
      </c>
      <c r="F44" s="14">
        <f>Dectable[[#This Row],[Actual Spending]]-Dectable[[#This Row],[Amount Budgeted]]</f>
        <v>0</v>
      </c>
    </row>
    <row r="45" spans="3:6" x14ac:dyDescent="0.2">
      <c r="C45" s="12" t="s">
        <v>28</v>
      </c>
      <c r="D45" s="13">
        <v>1000</v>
      </c>
      <c r="E45" s="14">
        <v>2000</v>
      </c>
      <c r="F45" s="14">
        <f>Dectable[[#This Row],[Actual Spending]]-Dectable[[#This Row],[Amount Budgeted]]</f>
        <v>1000</v>
      </c>
    </row>
  </sheetData>
  <mergeCells count="1">
    <mergeCell ref="A1:XFD2"/>
  </mergeCells>
  <conditionalFormatting sqref="L5:L12">
    <cfRule type="dataBar" priority="3">
      <dataBar showValue="0">
        <cfvo type="min"/>
        <cfvo type="max"/>
        <color rgb="FF638EC6"/>
      </dataBar>
      <extLst>
        <ext xmlns:x14="http://schemas.microsoft.com/office/spreadsheetml/2009/9/main" uri="{B025F937-C7B1-47D3-B67F-A62EFF666E3E}">
          <x14:id>{C8292B0F-D4CB-4E17-A1CF-F67695387881}</x14:id>
        </ext>
      </extLst>
    </cfRule>
    <cfRule type="dataBar" priority="4">
      <dataBar>
        <cfvo type="min"/>
        <cfvo type="max"/>
        <color rgb="FF638EC6"/>
      </dataBar>
      <extLst>
        <ext xmlns:x14="http://schemas.microsoft.com/office/spreadsheetml/2009/9/main" uri="{B025F937-C7B1-47D3-B67F-A62EFF666E3E}">
          <x14:id>{D2E9C4A5-FB65-4394-BB53-0391F51E1A8B}</x14:id>
        </ext>
      </extLst>
    </cfRule>
  </conditionalFormatting>
  <pageMargins left="0.7" right="0.7" top="0.75" bottom="0.75" header="0.3" footer="0.3"/>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C8292B0F-D4CB-4E17-A1CF-F67695387881}">
            <x14:dataBar minLength="0" maxLength="100" gradient="0">
              <x14:cfvo type="autoMin"/>
              <x14:cfvo type="autoMax"/>
              <x14:negativeFillColor rgb="FFFF0000"/>
              <x14:axisColor rgb="FF000000"/>
            </x14:dataBar>
          </x14:cfRule>
          <x14:cfRule type="dataBar" id="{D2E9C4A5-FB65-4394-BB53-0391F51E1A8B}">
            <x14:dataBar minLength="0" maxLength="100" border="1" negativeBarBorderColorSameAsPositive="0">
              <x14:cfvo type="autoMin"/>
              <x14:cfvo type="autoMax"/>
              <x14:borderColor rgb="FF638EC6"/>
              <x14:negativeFillColor rgb="FFFF0000"/>
              <x14:negativeBorderColor rgb="FFFF0000"/>
              <x14:axisColor rgb="FF000000"/>
            </x14:dataBar>
          </x14:cfRule>
          <xm:sqref>L5:L12</xm:sqref>
        </x14:conditionalFormatting>
      </x14:conditionalFormattings>
    </ext>
    <ext xmlns:x14="http://schemas.microsoft.com/office/spreadsheetml/2009/9/main" uri="{A8765BA9-456A-4dab-B4F3-ACF838C121DE}">
      <x14:slicerList>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E8F7A-B881-4074-9301-B3557FCAC51C}">
  <dimension ref="A1:M36"/>
  <sheetViews>
    <sheetView workbookViewId="0">
      <selection activeCell="C62" sqref="C62"/>
    </sheetView>
  </sheetViews>
  <sheetFormatPr defaultRowHeight="12.75" x14ac:dyDescent="0.2"/>
  <cols>
    <col min="1" max="1" width="9.140625" style="39"/>
    <col min="2" max="2" width="20.5703125" style="39" customWidth="1"/>
    <col min="3" max="10" width="11.140625" style="39" customWidth="1"/>
    <col min="11" max="13" width="12.140625" style="39" customWidth="1"/>
    <col min="14" max="16384" width="9.140625" style="39"/>
  </cols>
  <sheetData>
    <row r="1" spans="1:13" s="27" customFormat="1" ht="24" customHeight="1" x14ac:dyDescent="0.2">
      <c r="A1" s="27" t="s">
        <v>58</v>
      </c>
    </row>
    <row r="2" spans="1:13" s="27" customFormat="1" ht="24" customHeight="1" x14ac:dyDescent="0.2"/>
    <row r="3" spans="1:13" s="53" customFormat="1" ht="12" customHeight="1" x14ac:dyDescent="0.2">
      <c r="A3" s="51"/>
      <c r="B3" s="52"/>
      <c r="C3" s="52"/>
      <c r="D3" s="52"/>
      <c r="E3" s="52"/>
      <c r="F3" s="52"/>
      <c r="G3" s="52"/>
      <c r="H3" s="52"/>
      <c r="I3" s="52"/>
      <c r="J3" s="52"/>
      <c r="K3" s="52"/>
      <c r="L3" s="52"/>
      <c r="M3" s="52"/>
    </row>
    <row r="4" spans="1:13" x14ac:dyDescent="0.2">
      <c r="B4" s="39" t="s">
        <v>0</v>
      </c>
      <c r="C4" s="39" t="s">
        <v>46</v>
      </c>
      <c r="D4" s="39" t="s">
        <v>47</v>
      </c>
      <c r="E4" s="39" t="s">
        <v>48</v>
      </c>
      <c r="F4" s="39" t="s">
        <v>49</v>
      </c>
      <c r="G4" s="39" t="s">
        <v>50</v>
      </c>
      <c r="H4" s="39" t="s">
        <v>51</v>
      </c>
      <c r="I4" s="39" t="s">
        <v>52</v>
      </c>
      <c r="J4" s="39" t="s">
        <v>53</v>
      </c>
      <c r="K4" s="39" t="s">
        <v>54</v>
      </c>
      <c r="L4" s="39" t="s">
        <v>55</v>
      </c>
      <c r="M4" s="39" t="s">
        <v>56</v>
      </c>
    </row>
    <row r="5" spans="1:13" x14ac:dyDescent="0.2">
      <c r="B5" s="54" t="s">
        <v>23</v>
      </c>
      <c r="C5" s="55">
        <f>Jan!F33</f>
        <v>-240</v>
      </c>
      <c r="D5" s="39">
        <f>Feb!F33</f>
        <v>500</v>
      </c>
      <c r="E5" s="39">
        <f>Mar!F33</f>
        <v>-500</v>
      </c>
      <c r="F5" s="39">
        <f>Apr!F33</f>
        <v>-240</v>
      </c>
      <c r="G5" s="39">
        <f>Jun!F33</f>
        <v>500</v>
      </c>
      <c r="H5" s="39">
        <f>Jul!F33</f>
        <v>500</v>
      </c>
      <c r="I5" s="39">
        <f>Aug!F33</f>
        <v>-240</v>
      </c>
      <c r="J5" s="39">
        <f>Sep!F33</f>
        <v>500</v>
      </c>
      <c r="K5" s="39">
        <f>Oct!F33</f>
        <v>500</v>
      </c>
      <c r="L5" s="39">
        <f>Nov!F33</f>
        <v>300</v>
      </c>
      <c r="M5" s="39">
        <f>Dec!F33</f>
        <v>-240</v>
      </c>
    </row>
    <row r="6" spans="1:13" x14ac:dyDescent="0.2">
      <c r="B6" s="56" t="s">
        <v>20</v>
      </c>
      <c r="C6" s="39">
        <f>Jan!F29</f>
        <v>0</v>
      </c>
      <c r="D6" s="39">
        <f>Feb!F29</f>
        <v>0</v>
      </c>
      <c r="E6" s="39">
        <f>Mar!F29</f>
        <v>0</v>
      </c>
      <c r="F6" s="39">
        <f>Apr!F29</f>
        <v>0</v>
      </c>
      <c r="G6" s="39">
        <f>Jun!F29</f>
        <v>0</v>
      </c>
      <c r="H6" s="39">
        <f>Jul!F29</f>
        <v>0</v>
      </c>
      <c r="I6" s="39">
        <f>Aug!F29</f>
        <v>0</v>
      </c>
      <c r="J6" s="39">
        <f>Sep!F29</f>
        <v>0</v>
      </c>
      <c r="K6" s="39">
        <f>Oct!F29</f>
        <v>0</v>
      </c>
      <c r="L6" s="39">
        <f>Nov!F29</f>
        <v>0</v>
      </c>
      <c r="M6" s="39">
        <f>Dec!F29</f>
        <v>0</v>
      </c>
    </row>
    <row r="7" spans="1:13" x14ac:dyDescent="0.2">
      <c r="B7" s="54" t="s">
        <v>25</v>
      </c>
      <c r="C7" s="39">
        <f>Jan!F41</f>
        <v>1000</v>
      </c>
      <c r="D7" s="39">
        <f>Feb!F41</f>
        <v>0</v>
      </c>
      <c r="E7" s="39">
        <f>Mar!F41</f>
        <v>0</v>
      </c>
      <c r="F7" s="39">
        <f>Apr!F41</f>
        <v>2000</v>
      </c>
      <c r="G7" s="39">
        <f>Jun!F41</f>
        <v>0</v>
      </c>
      <c r="H7" s="39">
        <f>Jul!F41</f>
        <v>1000</v>
      </c>
      <c r="I7" s="39">
        <f>Aug!F41</f>
        <v>2000</v>
      </c>
      <c r="J7" s="39">
        <f>Sep!F41</f>
        <v>0</v>
      </c>
      <c r="K7" s="39">
        <f>Oct!F41</f>
        <v>0</v>
      </c>
      <c r="L7" s="39">
        <f>Nov!F41</f>
        <v>-500</v>
      </c>
      <c r="M7" s="39">
        <f>Dec!F42</f>
        <v>1000</v>
      </c>
    </row>
    <row r="8" spans="1:13" x14ac:dyDescent="0.2">
      <c r="B8" s="56" t="s">
        <v>11</v>
      </c>
      <c r="C8" s="39">
        <f>Jan!F15</f>
        <v>480</v>
      </c>
      <c r="D8" s="39">
        <f>Feb!F15</f>
        <v>-270</v>
      </c>
      <c r="E8" s="39">
        <f>Mar!F15</f>
        <v>-203</v>
      </c>
      <c r="F8" s="39">
        <f>Apr!F15</f>
        <v>150</v>
      </c>
      <c r="G8" s="39">
        <f>Jun!F15</f>
        <v>430</v>
      </c>
      <c r="H8" s="39">
        <f>Jul!F15</f>
        <v>-70</v>
      </c>
      <c r="I8" s="39">
        <f>Aug!F15</f>
        <v>150</v>
      </c>
      <c r="J8" s="39">
        <f>Sep!F15</f>
        <v>-270</v>
      </c>
      <c r="K8" s="39">
        <f>Oct!F15</f>
        <v>-270</v>
      </c>
      <c r="L8" s="39">
        <f>Nov!F15</f>
        <v>70</v>
      </c>
      <c r="M8" s="39">
        <f>Dec!F15</f>
        <v>-300</v>
      </c>
    </row>
    <row r="9" spans="1:13" x14ac:dyDescent="0.2">
      <c r="B9" s="54" t="s">
        <v>16</v>
      </c>
      <c r="C9" s="39">
        <f>Jan!F24</f>
        <v>400</v>
      </c>
      <c r="D9" s="39">
        <f>Feb!F24</f>
        <v>500</v>
      </c>
      <c r="E9" s="39">
        <f>Mar!F24</f>
        <v>1840</v>
      </c>
      <c r="F9" s="39">
        <f>Apr!F24</f>
        <v>-400</v>
      </c>
      <c r="G9" s="39">
        <f>Jun!F24</f>
        <v>0</v>
      </c>
      <c r="H9" s="39">
        <f>Jul!F24</f>
        <v>500</v>
      </c>
      <c r="I9" s="39">
        <f>Aug!F24</f>
        <v>-400</v>
      </c>
      <c r="J9" s="39">
        <f>Sep!F24</f>
        <v>500</v>
      </c>
      <c r="K9" s="39">
        <f>Oct!F24</f>
        <v>500</v>
      </c>
      <c r="L9" s="39">
        <f>Nov!F24</f>
        <v>100</v>
      </c>
      <c r="M9" s="39">
        <f>Dec!F24</f>
        <v>0</v>
      </c>
    </row>
    <row r="10" spans="1:13" x14ac:dyDescent="0.2">
      <c r="B10" s="56" t="s">
        <v>14</v>
      </c>
      <c r="C10" s="39">
        <f>Jan!F20</f>
        <v>1216</v>
      </c>
      <c r="D10" s="39">
        <f>Feb!F20</f>
        <v>-33</v>
      </c>
      <c r="E10" s="39">
        <f>Mar!F20</f>
        <v>-660</v>
      </c>
      <c r="F10" s="39">
        <f>Apr!F20</f>
        <v>450</v>
      </c>
      <c r="G10" s="39">
        <f>Jun!F20</f>
        <v>130</v>
      </c>
      <c r="H10" s="39">
        <f>Jul!F20</f>
        <v>467</v>
      </c>
      <c r="I10" s="39">
        <f>Aug!F20</f>
        <v>450</v>
      </c>
      <c r="J10" s="39">
        <f>Sep!F20</f>
        <v>-33</v>
      </c>
      <c r="K10" s="39">
        <f>Oct!F20</f>
        <v>-33</v>
      </c>
      <c r="L10" s="39">
        <f>Nov!F20</f>
        <v>-247</v>
      </c>
      <c r="M10" s="39">
        <f>Dec!F20</f>
        <v>1216</v>
      </c>
    </row>
    <row r="11" spans="1:13" x14ac:dyDescent="0.2">
      <c r="B11" s="54" t="s">
        <v>29</v>
      </c>
      <c r="C11" s="39">
        <f>Jan!F36</f>
        <v>1635</v>
      </c>
      <c r="D11" s="39">
        <f>Feb!F36</f>
        <v>2054</v>
      </c>
      <c r="E11" s="39">
        <f>Mar!F36</f>
        <v>700</v>
      </c>
      <c r="F11" s="39">
        <f>Apr!F36</f>
        <v>-300</v>
      </c>
      <c r="G11" s="39">
        <f>Jun!F36</f>
        <v>-335</v>
      </c>
      <c r="H11" s="39">
        <f>Jul!F36</f>
        <v>4054</v>
      </c>
      <c r="I11" s="39">
        <f>Aug!F36</f>
        <v>-300</v>
      </c>
      <c r="J11" s="39">
        <f>Sep!F36</f>
        <v>2054</v>
      </c>
      <c r="K11" s="39">
        <f>Oct!F36</f>
        <v>2054</v>
      </c>
      <c r="L11" s="39">
        <f>Nov!F36</f>
        <v>-750</v>
      </c>
      <c r="M11" s="39">
        <f>Dec!F36</f>
        <v>-8503</v>
      </c>
    </row>
    <row r="12" spans="1:13" x14ac:dyDescent="0.2">
      <c r="B12" s="56" t="s">
        <v>7</v>
      </c>
      <c r="C12" s="39">
        <f>Jan!F10</f>
        <v>201</v>
      </c>
      <c r="D12" s="39">
        <f>Jan!F10</f>
        <v>201</v>
      </c>
      <c r="E12" s="39">
        <f>Mar!F10</f>
        <v>-200</v>
      </c>
      <c r="F12" s="39">
        <f>Apr!F10</f>
        <v>0</v>
      </c>
      <c r="G12" s="39">
        <f>Jun!F10</f>
        <v>-200</v>
      </c>
      <c r="H12" s="39">
        <f>Jul!F10</f>
        <v>-200</v>
      </c>
      <c r="I12" s="39">
        <f>Aug!F10</f>
        <v>0</v>
      </c>
      <c r="J12" s="39">
        <f>Sep!F10</f>
        <v>-200</v>
      </c>
      <c r="K12" s="39">
        <f>Oct!F10</f>
        <v>-200</v>
      </c>
      <c r="L12" s="39">
        <f>Nov!F10</f>
        <v>200</v>
      </c>
      <c r="M12" s="39">
        <f>Dec!F10</f>
        <v>0</v>
      </c>
    </row>
    <row r="15" spans="1:13" s="57" customFormat="1" x14ac:dyDescent="0.2"/>
    <row r="16" spans="1:13" x14ac:dyDescent="0.2">
      <c r="B16" s="39" t="s">
        <v>0</v>
      </c>
      <c r="C16" s="39" t="s">
        <v>46</v>
      </c>
      <c r="D16" s="39" t="s">
        <v>47</v>
      </c>
      <c r="E16" s="39" t="s">
        <v>48</v>
      </c>
      <c r="F16" s="39" t="s">
        <v>49</v>
      </c>
      <c r="G16" s="39" t="s">
        <v>50</v>
      </c>
      <c r="H16" s="39" t="s">
        <v>51</v>
      </c>
      <c r="I16" s="39" t="s">
        <v>52</v>
      </c>
      <c r="J16" s="39" t="s">
        <v>53</v>
      </c>
      <c r="K16" s="39" t="s">
        <v>54</v>
      </c>
      <c r="L16" s="39" t="s">
        <v>55</v>
      </c>
      <c r="M16" s="39" t="s">
        <v>56</v>
      </c>
    </row>
    <row r="17" spans="2:13" x14ac:dyDescent="0.2">
      <c r="B17" s="54" t="s">
        <v>23</v>
      </c>
      <c r="C17" s="55">
        <f>Jan!F45</f>
        <v>0</v>
      </c>
      <c r="D17" s="39">
        <f>Feb!F45</f>
        <v>0</v>
      </c>
      <c r="E17" s="39">
        <f>Mar!F45</f>
        <v>0</v>
      </c>
      <c r="F17" s="39">
        <f>Apr!F45</f>
        <v>0</v>
      </c>
      <c r="G17" s="39">
        <f>Jun!F45</f>
        <v>0</v>
      </c>
      <c r="H17" s="39">
        <f>Jul!F45</f>
        <v>0</v>
      </c>
      <c r="I17" s="39">
        <f>Aug!F45</f>
        <v>0</v>
      </c>
      <c r="J17" s="39">
        <f>Sep!F45</f>
        <v>0</v>
      </c>
      <c r="K17" s="39">
        <f>Oct!F45</f>
        <v>0</v>
      </c>
      <c r="L17" s="39">
        <f>Nov!F45</f>
        <v>0</v>
      </c>
      <c r="M17" s="39">
        <f>Dec!F45</f>
        <v>1000</v>
      </c>
    </row>
    <row r="18" spans="2:13" x14ac:dyDescent="0.2">
      <c r="B18" s="56" t="s">
        <v>20</v>
      </c>
      <c r="C18" s="39">
        <f>Jan!F41</f>
        <v>1000</v>
      </c>
      <c r="D18" s="39">
        <f>Feb!F41</f>
        <v>0</v>
      </c>
      <c r="E18" s="39">
        <f>Mar!F41</f>
        <v>0</v>
      </c>
      <c r="F18" s="39">
        <f>Apr!F41</f>
        <v>2000</v>
      </c>
      <c r="G18" s="39">
        <f>Jun!F41</f>
        <v>0</v>
      </c>
      <c r="H18" s="39">
        <f>Jul!F41</f>
        <v>1000</v>
      </c>
      <c r="I18" s="39">
        <f>Aug!F41</f>
        <v>2000</v>
      </c>
      <c r="J18" s="39">
        <f>Sep!F41</f>
        <v>0</v>
      </c>
      <c r="K18" s="39">
        <f>Oct!F41</f>
        <v>0</v>
      </c>
      <c r="L18" s="39">
        <f>Nov!F41</f>
        <v>-500</v>
      </c>
      <c r="M18" s="39">
        <f>Dec!F41</f>
        <v>0</v>
      </c>
    </row>
    <row r="19" spans="2:13" x14ac:dyDescent="0.2">
      <c r="B19" s="54" t="s">
        <v>25</v>
      </c>
      <c r="C19" s="39">
        <f>Jan!F53</f>
        <v>0</v>
      </c>
      <c r="D19" s="39">
        <f>Feb!F53</f>
        <v>0</v>
      </c>
      <c r="E19" s="39">
        <f>Mar!F53</f>
        <v>0</v>
      </c>
      <c r="F19" s="39">
        <f>Apr!F53</f>
        <v>0</v>
      </c>
      <c r="G19" s="39">
        <f>Jun!F53</f>
        <v>0</v>
      </c>
      <c r="H19" s="39">
        <f>Jul!F53</f>
        <v>0</v>
      </c>
      <c r="I19" s="39">
        <f>Aug!F53</f>
        <v>0</v>
      </c>
      <c r="J19" s="39">
        <f>Sep!F53</f>
        <v>0</v>
      </c>
      <c r="K19" s="39">
        <f>Oct!F53</f>
        <v>0</v>
      </c>
      <c r="L19" s="39">
        <f>Nov!F53</f>
        <v>0</v>
      </c>
      <c r="M19" s="39">
        <f>Dec!F54</f>
        <v>0</v>
      </c>
    </row>
    <row r="20" spans="2:13" x14ac:dyDescent="0.2">
      <c r="B20" s="56" t="s">
        <v>11</v>
      </c>
      <c r="C20" s="39">
        <f>Jan!F27</f>
        <v>-100</v>
      </c>
      <c r="D20" s="39">
        <f>Feb!F27</f>
        <v>-500</v>
      </c>
      <c r="E20" s="39">
        <f>Mar!F27</f>
        <v>340</v>
      </c>
      <c r="F20" s="39">
        <f>Apr!F27</f>
        <v>100</v>
      </c>
      <c r="G20" s="39">
        <f>Jun!F27</f>
        <v>500</v>
      </c>
      <c r="H20" s="39">
        <f>Jul!F27</f>
        <v>-1500</v>
      </c>
      <c r="I20" s="39">
        <f>Aug!F27</f>
        <v>100</v>
      </c>
      <c r="J20" s="39">
        <f>Sep!F27</f>
        <v>-500</v>
      </c>
      <c r="K20" s="39">
        <f>Oct!F27</f>
        <v>-500</v>
      </c>
      <c r="L20" s="39">
        <f>Nov!F27</f>
        <v>300</v>
      </c>
      <c r="M20" s="39">
        <f>Dec!F27</f>
        <v>500</v>
      </c>
    </row>
    <row r="21" spans="2:13" x14ac:dyDescent="0.2">
      <c r="B21" s="54" t="s">
        <v>16</v>
      </c>
      <c r="C21" s="39">
        <f>Jan!F36</f>
        <v>1635</v>
      </c>
      <c r="D21" s="39">
        <f>Feb!F36</f>
        <v>2054</v>
      </c>
      <c r="E21" s="39">
        <f>Mar!F36</f>
        <v>700</v>
      </c>
      <c r="F21" s="39">
        <f>Apr!F36</f>
        <v>-300</v>
      </c>
      <c r="G21" s="39">
        <f>Jun!F36</f>
        <v>-335</v>
      </c>
      <c r="H21" s="39">
        <f>Jul!F36</f>
        <v>4054</v>
      </c>
      <c r="I21" s="39">
        <f>Aug!F36</f>
        <v>-300</v>
      </c>
      <c r="J21" s="39">
        <f>Sep!F36</f>
        <v>2054</v>
      </c>
      <c r="K21" s="39">
        <f>Oct!F36</f>
        <v>2054</v>
      </c>
      <c r="L21" s="39">
        <f>Nov!F36</f>
        <v>-750</v>
      </c>
      <c r="M21" s="39">
        <f>Dec!F36</f>
        <v>-8503</v>
      </c>
    </row>
    <row r="22" spans="2:13" x14ac:dyDescent="0.2">
      <c r="B22" s="56" t="s">
        <v>14</v>
      </c>
      <c r="C22" s="39">
        <f>Jan!F32</f>
        <v>0</v>
      </c>
      <c r="D22" s="39">
        <f>Feb!F32</f>
        <v>0</v>
      </c>
      <c r="E22" s="39">
        <f>Mar!F32</f>
        <v>0</v>
      </c>
      <c r="F22" s="39">
        <f>Apr!F32</f>
        <v>0</v>
      </c>
      <c r="G22" s="39">
        <f>Jun!F32</f>
        <v>0</v>
      </c>
      <c r="H22" s="39">
        <f>Jul!F32</f>
        <v>0</v>
      </c>
      <c r="I22" s="39">
        <f>Aug!F32</f>
        <v>0</v>
      </c>
      <c r="J22" s="39">
        <f>Sep!F32</f>
        <v>0</v>
      </c>
      <c r="K22" s="39">
        <f>Oct!F32</f>
        <v>0</v>
      </c>
      <c r="L22" s="39">
        <f>Nov!F32</f>
        <v>0</v>
      </c>
      <c r="M22" s="39">
        <f>Dec!F32</f>
        <v>0</v>
      </c>
    </row>
    <row r="23" spans="2:13" x14ac:dyDescent="0.2">
      <c r="B23" s="54" t="s">
        <v>29</v>
      </c>
      <c r="C23" s="39">
        <f>Jan!F48</f>
        <v>0</v>
      </c>
      <c r="D23" s="39">
        <f>Feb!F48</f>
        <v>0</v>
      </c>
      <c r="E23" s="39">
        <f>Mar!F48</f>
        <v>0</v>
      </c>
      <c r="F23" s="39">
        <f>Apr!F48</f>
        <v>0</v>
      </c>
      <c r="G23" s="39">
        <f>Jun!F48</f>
        <v>0</v>
      </c>
      <c r="H23" s="39">
        <f>Jul!F48</f>
        <v>0</v>
      </c>
      <c r="I23" s="39">
        <f>Aug!F48</f>
        <v>0</v>
      </c>
      <c r="J23" s="39">
        <f>Sep!F48</f>
        <v>0</v>
      </c>
      <c r="K23" s="39">
        <f>Oct!F48</f>
        <v>0</v>
      </c>
      <c r="L23" s="39">
        <f>Nov!F48</f>
        <v>0</v>
      </c>
      <c r="M23" s="39">
        <f>Dec!F48</f>
        <v>0</v>
      </c>
    </row>
    <row r="24" spans="2:13" x14ac:dyDescent="0.2">
      <c r="B24" s="56" t="s">
        <v>7</v>
      </c>
      <c r="C24" s="39">
        <f>Jan!F22</f>
        <v>279</v>
      </c>
      <c r="D24" s="39">
        <f>Jan!F22</f>
        <v>279</v>
      </c>
      <c r="E24" s="39">
        <f>Mar!F22</f>
        <v>-410</v>
      </c>
      <c r="F24" s="39">
        <f>Apr!F22</f>
        <v>300</v>
      </c>
      <c r="G24" s="39">
        <f>Jun!F22</f>
        <v>-370</v>
      </c>
      <c r="H24" s="39">
        <f>Jul!F22</f>
        <v>-210</v>
      </c>
      <c r="I24" s="39">
        <f>Aug!F22</f>
        <v>300</v>
      </c>
      <c r="J24" s="39">
        <f>Sep!F22</f>
        <v>-210</v>
      </c>
      <c r="K24" s="39">
        <f>Oct!F22</f>
        <v>-210</v>
      </c>
      <c r="L24" s="39">
        <f>Nov!F22</f>
        <v>-400</v>
      </c>
      <c r="M24" s="39">
        <f>Dec!F22</f>
        <v>279</v>
      </c>
    </row>
    <row r="28" spans="2:13" x14ac:dyDescent="0.2">
      <c r="B28" s="39" t="s">
        <v>0</v>
      </c>
      <c r="C28" s="39" t="s">
        <v>46</v>
      </c>
      <c r="D28" s="39" t="s">
        <v>47</v>
      </c>
      <c r="E28" s="39" t="s">
        <v>48</v>
      </c>
      <c r="F28" s="39" t="s">
        <v>49</v>
      </c>
      <c r="G28" s="39" t="s">
        <v>50</v>
      </c>
      <c r="H28" s="39" t="s">
        <v>51</v>
      </c>
      <c r="I28" s="39" t="s">
        <v>52</v>
      </c>
      <c r="J28" s="39" t="s">
        <v>53</v>
      </c>
      <c r="K28" s="39" t="s">
        <v>54</v>
      </c>
      <c r="L28" s="39" t="s">
        <v>55</v>
      </c>
      <c r="M28" s="39" t="s">
        <v>56</v>
      </c>
    </row>
    <row r="29" spans="2:13" x14ac:dyDescent="0.2">
      <c r="B29" s="54" t="s">
        <v>23</v>
      </c>
      <c r="C29" s="55">
        <f>Jan!F57</f>
        <v>0</v>
      </c>
      <c r="D29" s="39">
        <f>Feb!F57</f>
        <v>0</v>
      </c>
      <c r="E29" s="39">
        <f>Mar!F57</f>
        <v>0</v>
      </c>
      <c r="F29" s="39">
        <f>Apr!F57</f>
        <v>0</v>
      </c>
      <c r="G29" s="39">
        <f>Jun!F57</f>
        <v>0</v>
      </c>
      <c r="H29" s="39">
        <f>Jul!F57</f>
        <v>0</v>
      </c>
      <c r="I29" s="39">
        <f>Aug!F57</f>
        <v>0</v>
      </c>
      <c r="J29" s="39">
        <f>Sep!F57</f>
        <v>0</v>
      </c>
      <c r="K29" s="39">
        <f>Oct!F57</f>
        <v>0</v>
      </c>
      <c r="L29" s="39">
        <f>Nov!F57</f>
        <v>0</v>
      </c>
      <c r="M29" s="39">
        <f>Dec!F57</f>
        <v>0</v>
      </c>
    </row>
    <row r="30" spans="2:13" x14ac:dyDescent="0.2">
      <c r="B30" s="56" t="s">
        <v>20</v>
      </c>
      <c r="C30" s="39">
        <f>Jan!F53</f>
        <v>0</v>
      </c>
      <c r="D30" s="39">
        <f>Feb!F53</f>
        <v>0</v>
      </c>
      <c r="E30" s="39">
        <f>Mar!F53</f>
        <v>0</v>
      </c>
      <c r="F30" s="39">
        <f>Apr!F53</f>
        <v>0</v>
      </c>
      <c r="G30" s="39">
        <f>Jun!F53</f>
        <v>0</v>
      </c>
      <c r="H30" s="39">
        <f>Jul!F53</f>
        <v>0</v>
      </c>
      <c r="I30" s="39">
        <f>Aug!F53</f>
        <v>0</v>
      </c>
      <c r="J30" s="39">
        <f>Sep!F53</f>
        <v>0</v>
      </c>
      <c r="K30" s="39">
        <f>Oct!F53</f>
        <v>0</v>
      </c>
      <c r="L30" s="39">
        <f>Nov!F53</f>
        <v>0</v>
      </c>
      <c r="M30" s="39">
        <f>Dec!F53</f>
        <v>0</v>
      </c>
    </row>
    <row r="31" spans="2:13" x14ac:dyDescent="0.2">
      <c r="B31" s="54" t="s">
        <v>25</v>
      </c>
      <c r="C31" s="39">
        <f>Jan!F65</f>
        <v>0</v>
      </c>
      <c r="D31" s="39">
        <f>Feb!F65</f>
        <v>0</v>
      </c>
      <c r="E31" s="39">
        <f>Mar!F65</f>
        <v>0</v>
      </c>
      <c r="F31" s="39">
        <f>Apr!F65</f>
        <v>0</v>
      </c>
      <c r="G31" s="39">
        <f>Jun!F65</f>
        <v>0</v>
      </c>
      <c r="H31" s="39">
        <f>Jul!F65</f>
        <v>0</v>
      </c>
      <c r="I31" s="39">
        <f>Aug!F65</f>
        <v>0</v>
      </c>
      <c r="J31" s="39">
        <f>Sep!F65</f>
        <v>0</v>
      </c>
      <c r="K31" s="39">
        <f>Oct!F65</f>
        <v>0</v>
      </c>
      <c r="L31" s="39">
        <f>Nov!F65</f>
        <v>0</v>
      </c>
      <c r="M31" s="39">
        <f>Dec!F66</f>
        <v>0</v>
      </c>
    </row>
    <row r="32" spans="2:13" x14ac:dyDescent="0.2">
      <c r="B32" s="56" t="s">
        <v>11</v>
      </c>
      <c r="C32" s="39">
        <f>Jan!F39</f>
        <v>-100</v>
      </c>
      <c r="D32" s="39">
        <f>Feb!F39</f>
        <v>1000</v>
      </c>
      <c r="E32" s="39">
        <f>Mar!F39</f>
        <v>1200</v>
      </c>
      <c r="F32" s="39">
        <f>Apr!F39</f>
        <v>-700</v>
      </c>
      <c r="G32" s="39">
        <f>Jun!F39</f>
        <v>600</v>
      </c>
      <c r="H32" s="39">
        <f>Jul!F39</f>
        <v>2000</v>
      </c>
      <c r="I32" s="39">
        <f>Aug!F39</f>
        <v>-700</v>
      </c>
      <c r="J32" s="39">
        <f>Sep!F39</f>
        <v>1000</v>
      </c>
      <c r="K32" s="39">
        <f>Oct!F39</f>
        <v>1000</v>
      </c>
      <c r="L32" s="39">
        <f>Nov!F39</f>
        <v>-250</v>
      </c>
      <c r="M32" s="39">
        <f>Dec!F39</f>
        <v>-100</v>
      </c>
    </row>
    <row r="33" spans="2:13" x14ac:dyDescent="0.2">
      <c r="B33" s="54" t="s">
        <v>16</v>
      </c>
      <c r="C33" s="39">
        <f>Jan!F48</f>
        <v>0</v>
      </c>
      <c r="D33" s="39">
        <f>Feb!F48</f>
        <v>0</v>
      </c>
      <c r="E33" s="39">
        <f>Mar!F48</f>
        <v>0</v>
      </c>
      <c r="F33" s="39">
        <f>Apr!F48</f>
        <v>0</v>
      </c>
      <c r="G33" s="39">
        <f>Jun!F48</f>
        <v>0</v>
      </c>
      <c r="H33" s="39">
        <f>Jul!F48</f>
        <v>0</v>
      </c>
      <c r="I33" s="39">
        <f>Aug!F48</f>
        <v>0</v>
      </c>
      <c r="J33" s="39">
        <f>Sep!F48</f>
        <v>0</v>
      </c>
      <c r="K33" s="39">
        <f>Oct!F48</f>
        <v>0</v>
      </c>
      <c r="L33" s="39">
        <f>Nov!F48</f>
        <v>0</v>
      </c>
      <c r="M33" s="39">
        <f>Dec!F48</f>
        <v>0</v>
      </c>
    </row>
    <row r="34" spans="2:13" x14ac:dyDescent="0.2">
      <c r="B34" s="56" t="s">
        <v>14</v>
      </c>
      <c r="C34" s="39">
        <f>Jan!F44</f>
        <v>1000</v>
      </c>
      <c r="D34" s="39">
        <f>Feb!F44</f>
        <v>0</v>
      </c>
      <c r="E34" s="39">
        <f>Mar!F44</f>
        <v>0</v>
      </c>
      <c r="F34" s="39">
        <f>Apr!F44</f>
        <v>1000</v>
      </c>
      <c r="G34" s="39">
        <f>Jun!F44</f>
        <v>0</v>
      </c>
      <c r="H34" s="39">
        <f>Jul!F44</f>
        <v>1000</v>
      </c>
      <c r="I34" s="39">
        <f>Aug!F44</f>
        <v>1000</v>
      </c>
      <c r="J34" s="39">
        <f>Sep!F44</f>
        <v>0</v>
      </c>
      <c r="K34" s="39">
        <f>Oct!F44</f>
        <v>0</v>
      </c>
      <c r="L34" s="39">
        <f>Nov!F44</f>
        <v>0</v>
      </c>
      <c r="M34" s="39">
        <f>Dec!F44</f>
        <v>0</v>
      </c>
    </row>
    <row r="35" spans="2:13" x14ac:dyDescent="0.2">
      <c r="B35" s="54" t="s">
        <v>29</v>
      </c>
      <c r="C35" s="39">
        <f>Jan!F60</f>
        <v>0</v>
      </c>
      <c r="D35" s="39">
        <f>Feb!F60</f>
        <v>0</v>
      </c>
      <c r="E35" s="39">
        <f>Mar!F60</f>
        <v>0</v>
      </c>
      <c r="F35" s="39">
        <f>Apr!F60</f>
        <v>0</v>
      </c>
      <c r="G35" s="39">
        <f>Jun!F60</f>
        <v>0</v>
      </c>
      <c r="H35" s="39">
        <f>Jul!F60</f>
        <v>0</v>
      </c>
      <c r="I35" s="39">
        <f>Aug!F60</f>
        <v>0</v>
      </c>
      <c r="J35" s="39">
        <f>Sep!F60</f>
        <v>0</v>
      </c>
      <c r="K35" s="39">
        <f>Oct!F60</f>
        <v>0</v>
      </c>
      <c r="L35" s="39">
        <f>Nov!F60</f>
        <v>0</v>
      </c>
      <c r="M35" s="39">
        <f>Dec!F60</f>
        <v>0</v>
      </c>
    </row>
    <row r="36" spans="2:13" x14ac:dyDescent="0.2">
      <c r="B36" s="56" t="s">
        <v>7</v>
      </c>
      <c r="C36" s="39">
        <f>Jan!F34</f>
        <v>-240</v>
      </c>
      <c r="D36" s="39">
        <f>Jan!F34</f>
        <v>-240</v>
      </c>
      <c r="E36" s="39">
        <f>Mar!F34</f>
        <v>-500</v>
      </c>
      <c r="F36" s="39">
        <f>Apr!F34</f>
        <v>-240</v>
      </c>
      <c r="G36" s="39">
        <f>Jun!F34</f>
        <v>500</v>
      </c>
      <c r="H36" s="39">
        <f>Jul!F34</f>
        <v>500</v>
      </c>
      <c r="I36" s="39">
        <f>Aug!F34</f>
        <v>-240</v>
      </c>
      <c r="J36" s="39">
        <f>Sep!F34</f>
        <v>500</v>
      </c>
      <c r="K36" s="39">
        <f>Oct!F34</f>
        <v>500</v>
      </c>
      <c r="L36" s="39">
        <f>Nov!F34</f>
        <v>300</v>
      </c>
      <c r="M36" s="39">
        <f>Dec!F34</f>
        <v>-240</v>
      </c>
    </row>
  </sheetData>
  <mergeCells count="2">
    <mergeCell ref="A1:XFD2"/>
    <mergeCell ref="A15:XFD15"/>
  </mergeCells>
  <phoneticPr fontId="5" type="noConversion"/>
  <conditionalFormatting sqref="A5:XFD5">
    <cfRule type="colorScale" priority="8">
      <colorScale>
        <cfvo type="min"/>
        <cfvo type="percentile" val="50"/>
        <cfvo type="max"/>
        <color rgb="FFF8696B"/>
        <color rgb="FFFFEB84"/>
        <color rgb="FF63BE7B"/>
      </colorScale>
    </cfRule>
  </conditionalFormatting>
  <conditionalFormatting sqref="B5:M12">
    <cfRule type="colorScale" priority="7">
      <colorScale>
        <cfvo type="min"/>
        <cfvo type="percentile" val="50"/>
        <cfvo type="max"/>
        <color rgb="FFF8696B"/>
        <color rgb="FFFFEB84"/>
        <color rgb="FF63BE7B"/>
      </colorScale>
    </cfRule>
  </conditionalFormatting>
  <conditionalFormatting sqref="B17:M24">
    <cfRule type="aboveAverage" dxfId="92" priority="4"/>
  </conditionalFormatting>
  <conditionalFormatting sqref="B28:M36">
    <cfRule type="aboveAverage" dxfId="91" priority="1" aboveAverage="0"/>
  </conditionalFormatting>
  <pageMargins left="0.7" right="0.7" top="0.75" bottom="0.75" header="0.3" footer="0.3"/>
  <tableParts count="3">
    <tablePart r:id="rId1"/>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692F7-5C98-45CD-B9C7-E8DA47893CD8}">
  <dimension ref="A1:G38"/>
  <sheetViews>
    <sheetView topLeftCell="A14" workbookViewId="0">
      <selection activeCell="F18" activeCellId="1" sqref="C18:C26 F18:F26"/>
    </sheetView>
  </sheetViews>
  <sheetFormatPr defaultRowHeight="12.75" x14ac:dyDescent="0.2"/>
  <cols>
    <col min="1" max="2" width="9.140625" style="39"/>
    <col min="3" max="3" width="18.85546875" style="39" bestFit="1" customWidth="1"/>
    <col min="4" max="4" width="26.7109375" style="39" bestFit="1" customWidth="1"/>
    <col min="5" max="5" width="19.5703125" style="39" bestFit="1" customWidth="1"/>
    <col min="6" max="6" width="18.140625" style="39" bestFit="1" customWidth="1"/>
    <col min="7" max="7" width="22.28515625" style="39" bestFit="1" customWidth="1"/>
    <col min="8" max="8" width="9" style="39" bestFit="1" customWidth="1"/>
    <col min="9" max="16384" width="9.140625" style="39"/>
  </cols>
  <sheetData>
    <row r="1" spans="1:6" s="27" customFormat="1" ht="24" customHeight="1" x14ac:dyDescent="0.2">
      <c r="A1" s="27" t="s">
        <v>59</v>
      </c>
    </row>
    <row r="2" spans="1:6" s="27" customFormat="1" ht="24" customHeight="1" x14ac:dyDescent="0.2"/>
    <row r="5" spans="1:6" x14ac:dyDescent="0.2">
      <c r="C5" s="58" t="s">
        <v>41</v>
      </c>
      <c r="D5" s="59" t="s">
        <v>45</v>
      </c>
      <c r="E5" s="60" t="s">
        <v>44</v>
      </c>
      <c r="F5" s="61" t="s">
        <v>40</v>
      </c>
    </row>
    <row r="6" spans="1:6" x14ac:dyDescent="0.2">
      <c r="C6" s="62" t="s">
        <v>23</v>
      </c>
      <c r="D6" s="63">
        <v>24640</v>
      </c>
      <c r="E6" s="64">
        <v>23000</v>
      </c>
      <c r="F6" s="65">
        <v>3280</v>
      </c>
    </row>
    <row r="7" spans="1:6" x14ac:dyDescent="0.2">
      <c r="C7" s="66" t="s">
        <v>14</v>
      </c>
      <c r="D7" s="67">
        <v>67676</v>
      </c>
      <c r="E7" s="68">
        <v>65000</v>
      </c>
      <c r="F7" s="69">
        <v>9848</v>
      </c>
    </row>
    <row r="8" spans="1:6" x14ac:dyDescent="0.2">
      <c r="C8" s="66" t="s">
        <v>7</v>
      </c>
      <c r="D8" s="67">
        <v>135601</v>
      </c>
      <c r="E8" s="68">
        <v>136200</v>
      </c>
      <c r="F8" s="69">
        <v>406</v>
      </c>
    </row>
    <row r="9" spans="1:6" x14ac:dyDescent="0.2">
      <c r="C9" s="66" t="s">
        <v>20</v>
      </c>
      <c r="D9" s="67">
        <v>24000</v>
      </c>
      <c r="E9" s="68">
        <v>24000</v>
      </c>
      <c r="F9" s="69">
        <v>0</v>
      </c>
    </row>
    <row r="10" spans="1:6" x14ac:dyDescent="0.2">
      <c r="C10" s="66" t="s">
        <v>29</v>
      </c>
      <c r="D10" s="67">
        <v>122113</v>
      </c>
      <c r="E10" s="68">
        <v>120500</v>
      </c>
      <c r="F10" s="69">
        <v>-450</v>
      </c>
    </row>
    <row r="11" spans="1:6" x14ac:dyDescent="0.2">
      <c r="C11" s="66" t="s">
        <v>25</v>
      </c>
      <c r="D11" s="67">
        <v>34000</v>
      </c>
      <c r="E11" s="68">
        <v>28000</v>
      </c>
      <c r="F11" s="69">
        <v>15000</v>
      </c>
    </row>
    <row r="12" spans="1:6" x14ac:dyDescent="0.2">
      <c r="C12" s="66" t="s">
        <v>16</v>
      </c>
      <c r="D12" s="67">
        <v>59640</v>
      </c>
      <c r="E12" s="68">
        <v>56000</v>
      </c>
      <c r="F12" s="69">
        <v>6880</v>
      </c>
    </row>
    <row r="13" spans="1:6" x14ac:dyDescent="0.2">
      <c r="C13" s="66" t="s">
        <v>11</v>
      </c>
      <c r="D13" s="67">
        <v>37167</v>
      </c>
      <c r="E13" s="68">
        <v>37200</v>
      </c>
      <c r="F13" s="69">
        <v>2734</v>
      </c>
    </row>
    <row r="14" spans="1:6" x14ac:dyDescent="0.2">
      <c r="C14" s="70" t="s">
        <v>42</v>
      </c>
      <c r="D14" s="71">
        <v>504837</v>
      </c>
      <c r="E14" s="72">
        <v>489900</v>
      </c>
      <c r="F14" s="73">
        <v>37698</v>
      </c>
    </row>
    <row r="18" spans="3:7" x14ac:dyDescent="0.2">
      <c r="C18" s="89" t="s">
        <v>41</v>
      </c>
      <c r="D18" s="30" t="s">
        <v>97</v>
      </c>
      <c r="E18" s="30" t="s">
        <v>98</v>
      </c>
      <c r="F18" s="30" t="s">
        <v>102</v>
      </c>
    </row>
    <row r="19" spans="3:7" x14ac:dyDescent="0.2">
      <c r="C19" s="90" t="s">
        <v>23</v>
      </c>
      <c r="D19" s="5">
        <f>GETPIVOTDATA("Sum of Actual Spending",$C$5,"Category","Debt Payments")/12</f>
        <v>2053.3333333333335</v>
      </c>
      <c r="E19" s="5">
        <f>GETPIVOTDATA("Sum of Amount Budgeted",$C$5,"Category","Debt Payments")/12</f>
        <v>1916.6666666666667</v>
      </c>
      <c r="F19" s="5">
        <f>(Table43[[#This Row],[Average Budget]]/E27)*100</f>
        <v>4.694835680751174</v>
      </c>
    </row>
    <row r="20" spans="3:7" x14ac:dyDescent="0.2">
      <c r="C20" s="91" t="s">
        <v>14</v>
      </c>
      <c r="D20" s="5">
        <f>GETPIVOTDATA("Sum of Actual Spending",$C$5,"Category","Food")/12</f>
        <v>5639.666666666667</v>
      </c>
      <c r="E20" s="5">
        <f>GETPIVOTDATA("Sum of Amount Budgeted",$C$5,"Category","Food")/12</f>
        <v>5416.666666666667</v>
      </c>
      <c r="F20" s="5">
        <f>(Table43[[#This Row],[Average Budget]]/E27)*100</f>
        <v>13.268013880383753</v>
      </c>
    </row>
    <row r="21" spans="3:7" x14ac:dyDescent="0.2">
      <c r="C21" s="91" t="s">
        <v>7</v>
      </c>
      <c r="D21" s="5">
        <f>GETPIVOTDATA("Sum of Actual Spending",$C$5,"Category","Housing")/12</f>
        <v>11300.083333333334</v>
      </c>
      <c r="E21" s="5">
        <f>GETPIVOTDATA("Sum of Amount Budgeted",$C$5,"Category","Housing")/12</f>
        <v>11350</v>
      </c>
      <c r="F21" s="5">
        <f>(Table43[[#This Row],[Average Budget]]/E27)*100</f>
        <v>27.801592161665646</v>
      </c>
    </row>
    <row r="22" spans="3:7" x14ac:dyDescent="0.2">
      <c r="C22" s="91" t="s">
        <v>20</v>
      </c>
      <c r="D22" s="5">
        <f>GETPIVOTDATA("Sum of Actual Spending",$C$5,"Category","Insurance")/12</f>
        <v>2000</v>
      </c>
      <c r="E22" s="5">
        <f>GETPIVOTDATA("Sum of Amount Budgeted",$C$5,"Category","Insurance")/12</f>
        <v>2000</v>
      </c>
      <c r="F22" s="5">
        <f>(Table43[[#This Row],[Average Budget]]/E27)*100</f>
        <v>4.8989589712186161</v>
      </c>
    </row>
    <row r="23" spans="3:7" x14ac:dyDescent="0.2">
      <c r="C23" s="91" t="s">
        <v>29</v>
      </c>
      <c r="D23" s="5">
        <f>GETPIVOTDATA("Sum of Actual Spending",$C$5,"Category","Personal Expenses")/12</f>
        <v>10176.083333333334</v>
      </c>
      <c r="E23" s="5">
        <f>GETPIVOTDATA("Sum of Amount Budgeted",$C$5,"Category","Personal Expenses")/12</f>
        <v>10041.666666666666</v>
      </c>
      <c r="F23" s="5">
        <f>(Table43[[#This Row],[Average Budget]]/E27)*100</f>
        <v>24.596856501326801</v>
      </c>
    </row>
    <row r="24" spans="3:7" x14ac:dyDescent="0.2">
      <c r="C24" s="91" t="s">
        <v>25</v>
      </c>
      <c r="D24" s="5">
        <f>GETPIVOTDATA("Sum of Actual Spending",$C$5,"Category","Savings &amp; Investments")/12</f>
        <v>2833.3333333333335</v>
      </c>
      <c r="E24" s="5">
        <f>GETPIVOTDATA("Sum of Amount Budgeted",$C$5,"Category","Savings &amp; Investments")/12</f>
        <v>2333.3333333333335</v>
      </c>
      <c r="F24" s="5">
        <f>(Table43[[#This Row],[Average Budget]]/E27)*100</f>
        <v>5.7154521330883856</v>
      </c>
    </row>
    <row r="25" spans="3:7" x14ac:dyDescent="0.2">
      <c r="C25" s="91" t="s">
        <v>16</v>
      </c>
      <c r="D25" s="5">
        <f>GETPIVOTDATA("Sum of Actual Spending",$C$5,"Category","Transportation")/12</f>
        <v>4970</v>
      </c>
      <c r="E25" s="5">
        <f>GETPIVOTDATA("Sum of Amount Budgeted",$C$5,"Category","Transportation")/12</f>
        <v>4666.666666666667</v>
      </c>
      <c r="F25" s="5">
        <f>(Table43[[#This Row],[Average Budget]]/E27)*100</f>
        <v>11.430904266176771</v>
      </c>
    </row>
    <row r="26" spans="3:7" x14ac:dyDescent="0.2">
      <c r="C26" s="91" t="s">
        <v>11</v>
      </c>
      <c r="D26" s="5">
        <f>GETPIVOTDATA("Sum of Actual Spending",$C$5,"Category","Utilities")/12</f>
        <v>3097.25</v>
      </c>
      <c r="E26" s="5">
        <f>GETPIVOTDATA("Sum of Amount Budgeted",$C$5,"Category","Utilities")/12</f>
        <v>3100</v>
      </c>
      <c r="F26" s="5">
        <f>(Table43[[#This Row],[Average Budget]]/E27)*100</f>
        <v>7.5933864053888547</v>
      </c>
    </row>
    <row r="27" spans="3:7" x14ac:dyDescent="0.2">
      <c r="C27" s="95" t="s">
        <v>103</v>
      </c>
      <c r="D27" s="30">
        <f>SUM(D19:D26)</f>
        <v>42069.750000000007</v>
      </c>
      <c r="E27" s="30">
        <f>SUM(E19:E26)</f>
        <v>40825</v>
      </c>
      <c r="F27" s="5">
        <f>SUM(F19:F26)</f>
        <v>100</v>
      </c>
    </row>
    <row r="29" spans="3:7" x14ac:dyDescent="0.2">
      <c r="C29" s="5" t="s">
        <v>41</v>
      </c>
      <c r="D29" s="5" t="s">
        <v>99</v>
      </c>
      <c r="E29" s="5" t="s">
        <v>100</v>
      </c>
      <c r="F29" s="5" t="s">
        <v>102</v>
      </c>
      <c r="G29" s="5" t="s">
        <v>101</v>
      </c>
    </row>
    <row r="30" spans="3:7" x14ac:dyDescent="0.2">
      <c r="C30" s="92" t="s">
        <v>25</v>
      </c>
      <c r="D30" s="93">
        <v>2833.3333333333335</v>
      </c>
      <c r="E30" s="93">
        <v>2333.3333333333335</v>
      </c>
      <c r="F30" s="94">
        <v>1</v>
      </c>
      <c r="G30" s="93">
        <v>500</v>
      </c>
    </row>
    <row r="31" spans="3:7" x14ac:dyDescent="0.2">
      <c r="C31" s="92" t="s">
        <v>42</v>
      </c>
      <c r="D31" s="93">
        <v>2833.3333333333335</v>
      </c>
      <c r="E31" s="93">
        <v>2333.3333333333335</v>
      </c>
      <c r="F31" s="94">
        <v>1</v>
      </c>
      <c r="G31" s="93">
        <v>500</v>
      </c>
    </row>
    <row r="32" spans="3:7" x14ac:dyDescent="0.2">
      <c r="C32"/>
      <c r="D32"/>
      <c r="E32"/>
      <c r="F32"/>
      <c r="G32"/>
    </row>
    <row r="33" spans="3:7" x14ac:dyDescent="0.2">
      <c r="C33"/>
      <c r="D33"/>
      <c r="E33"/>
      <c r="F33"/>
      <c r="G33"/>
    </row>
    <row r="34" spans="3:7" x14ac:dyDescent="0.2">
      <c r="C34"/>
      <c r="D34"/>
      <c r="E34"/>
      <c r="F34"/>
      <c r="G34"/>
    </row>
    <row r="35" spans="3:7" x14ac:dyDescent="0.2">
      <c r="C35"/>
      <c r="D35"/>
      <c r="E35"/>
      <c r="F35"/>
      <c r="G35"/>
    </row>
    <row r="36" spans="3:7" x14ac:dyDescent="0.2">
      <c r="C36"/>
      <c r="D36"/>
      <c r="E36"/>
      <c r="F36"/>
      <c r="G36"/>
    </row>
    <row r="37" spans="3:7" x14ac:dyDescent="0.2">
      <c r="C37"/>
      <c r="D37"/>
      <c r="E37"/>
      <c r="F37"/>
      <c r="G37"/>
    </row>
    <row r="38" spans="3:7" x14ac:dyDescent="0.2">
      <c r="C38"/>
      <c r="D38"/>
      <c r="E38"/>
      <c r="F38"/>
      <c r="G38"/>
    </row>
  </sheetData>
  <dataConsolidate>
    <dataRefs count="1">
      <dataRef ref="D5:F44" sheet="Mar"/>
    </dataRefs>
  </dataConsolidate>
  <mergeCells count="1">
    <mergeCell ref="A1:XFD2"/>
  </mergeCells>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3F98-3C95-4DC5-AB7D-592FF0202420}">
  <dimension ref="A1:T18"/>
  <sheetViews>
    <sheetView workbookViewId="0">
      <selection activeCell="J22" sqref="J22"/>
    </sheetView>
  </sheetViews>
  <sheetFormatPr defaultRowHeight="12.75" x14ac:dyDescent="0.2"/>
  <cols>
    <col min="1" max="1" width="9.140625" style="5"/>
    <col min="2" max="2" width="10" style="5" bestFit="1" customWidth="1"/>
    <col min="3" max="3" width="12.42578125" style="10" bestFit="1" customWidth="1"/>
    <col min="4" max="5" width="11.42578125" style="10" bestFit="1" customWidth="1"/>
    <col min="6" max="6" width="14.85546875" style="10" customWidth="1"/>
    <col min="7" max="7" width="10.5703125" style="5" customWidth="1"/>
    <col min="8" max="8" width="15" style="5" customWidth="1"/>
    <col min="9" max="9" width="19.28515625" style="5" customWidth="1"/>
    <col min="10" max="10" width="23.5703125" style="5" customWidth="1"/>
    <col min="11" max="11" width="9.140625" style="5"/>
    <col min="12" max="12" width="12.85546875" style="5" bestFit="1" customWidth="1"/>
    <col min="13" max="13" width="14.28515625" style="5" bestFit="1" customWidth="1"/>
    <col min="14" max="14" width="13.7109375" style="5" bestFit="1" customWidth="1"/>
    <col min="15" max="15" width="12.42578125" style="5" bestFit="1" customWidth="1"/>
    <col min="16" max="16" width="19.42578125" style="5" bestFit="1" customWidth="1"/>
    <col min="17" max="17" width="15" style="5" bestFit="1" customWidth="1"/>
    <col min="18" max="18" width="19.5703125" style="5" bestFit="1" customWidth="1"/>
    <col min="19" max="19" width="24" style="5" bestFit="1" customWidth="1"/>
    <col min="20" max="20" width="28.42578125" style="5" bestFit="1" customWidth="1"/>
    <col min="21" max="16384" width="9.140625" style="5"/>
  </cols>
  <sheetData>
    <row r="1" spans="1:20" s="74" customFormat="1" ht="24" customHeight="1" x14ac:dyDescent="0.2">
      <c r="A1" s="74" t="s">
        <v>60</v>
      </c>
    </row>
    <row r="2" spans="1:20" s="74" customFormat="1" ht="24" customHeight="1" x14ac:dyDescent="0.2"/>
    <row r="5" spans="1:20" x14ac:dyDescent="0.2">
      <c r="B5" s="5" t="s">
        <v>61</v>
      </c>
      <c r="C5" s="10" t="s">
        <v>7</v>
      </c>
      <c r="D5" s="10" t="s">
        <v>11</v>
      </c>
      <c r="E5" s="10" t="s">
        <v>14</v>
      </c>
      <c r="F5" s="10" t="s">
        <v>16</v>
      </c>
      <c r="G5" s="5" t="s">
        <v>62</v>
      </c>
      <c r="H5" s="5" t="s">
        <v>63</v>
      </c>
      <c r="I5" s="5" t="s">
        <v>29</v>
      </c>
      <c r="J5" s="5" t="s">
        <v>64</v>
      </c>
      <c r="L5" s="75" t="s">
        <v>41</v>
      </c>
      <c r="M5" s="76" t="s">
        <v>65</v>
      </c>
      <c r="N5" s="77" t="s">
        <v>66</v>
      </c>
      <c r="O5" s="77" t="s">
        <v>67</v>
      </c>
      <c r="P5" s="77" t="s">
        <v>68</v>
      </c>
      <c r="Q5" s="77" t="s">
        <v>69</v>
      </c>
      <c r="R5" s="77" t="s">
        <v>70</v>
      </c>
      <c r="S5" s="77" t="s">
        <v>71</v>
      </c>
      <c r="T5" s="78" t="s">
        <v>72</v>
      </c>
    </row>
    <row r="6" spans="1:20" x14ac:dyDescent="0.2">
      <c r="B6" s="79">
        <v>44927</v>
      </c>
      <c r="C6" s="10">
        <f>Jan!E10</f>
        <v>11451</v>
      </c>
      <c r="D6" s="10">
        <f>Jan!E15</f>
        <v>3780</v>
      </c>
      <c r="E6" s="10">
        <f>Jan!E20</f>
        <v>6716</v>
      </c>
      <c r="F6" s="10">
        <f>Jan!E24</f>
        <v>4400</v>
      </c>
      <c r="G6" s="5">
        <f>Jan!E29</f>
        <v>2000</v>
      </c>
      <c r="H6" s="5">
        <f>Jan!E33</f>
        <v>1760</v>
      </c>
      <c r="I6" s="5">
        <f>Jan!E36</f>
        <v>9135</v>
      </c>
      <c r="J6" s="5">
        <f>Jan!E41</f>
        <v>3000</v>
      </c>
      <c r="L6" s="80">
        <v>44927</v>
      </c>
      <c r="M6" s="76">
        <v>11451</v>
      </c>
      <c r="N6" s="77">
        <v>3780</v>
      </c>
      <c r="O6" s="77">
        <v>6716</v>
      </c>
      <c r="P6" s="77">
        <v>4400</v>
      </c>
      <c r="Q6" s="77">
        <v>2000</v>
      </c>
      <c r="R6" s="77">
        <v>1760</v>
      </c>
      <c r="S6" s="77">
        <v>9135</v>
      </c>
      <c r="T6" s="78">
        <v>3000</v>
      </c>
    </row>
    <row r="7" spans="1:20" x14ac:dyDescent="0.2">
      <c r="B7" s="79">
        <v>44958</v>
      </c>
      <c r="C7" s="10">
        <f>Feb!E10</f>
        <v>11250</v>
      </c>
      <c r="D7" s="10">
        <f>Feb!E15</f>
        <v>3230</v>
      </c>
      <c r="E7" s="10">
        <f>Feb!E20</f>
        <v>5967</v>
      </c>
      <c r="F7" s="10">
        <f>Feb!E24</f>
        <v>5000</v>
      </c>
      <c r="G7" s="5">
        <f>Feb!E29</f>
        <v>2000</v>
      </c>
      <c r="H7" s="5">
        <f>Feb!E33</f>
        <v>2500</v>
      </c>
      <c r="I7" s="5">
        <f>Feb!E36</f>
        <v>10554</v>
      </c>
      <c r="J7" s="5">
        <f>Feb!E41</f>
        <v>3000</v>
      </c>
      <c r="L7" s="81">
        <v>44958</v>
      </c>
      <c r="M7" s="82">
        <v>11250</v>
      </c>
      <c r="N7" s="83">
        <v>3230</v>
      </c>
      <c r="O7" s="83">
        <v>5967</v>
      </c>
      <c r="P7" s="83">
        <v>5000</v>
      </c>
      <c r="Q7" s="83">
        <v>2000</v>
      </c>
      <c r="R7" s="83">
        <v>2500</v>
      </c>
      <c r="S7" s="83">
        <v>10554</v>
      </c>
      <c r="T7" s="84">
        <v>3000</v>
      </c>
    </row>
    <row r="8" spans="1:20" x14ac:dyDescent="0.2">
      <c r="B8" s="79">
        <v>44986</v>
      </c>
      <c r="C8" s="10">
        <f>Mar!E10</f>
        <v>11250</v>
      </c>
      <c r="D8" s="10">
        <f>Mar!E15</f>
        <v>3097</v>
      </c>
      <c r="E8" s="10">
        <f>Mar!E20</f>
        <v>4840</v>
      </c>
      <c r="F8" s="10">
        <f>Mar!E24</f>
        <v>6340</v>
      </c>
      <c r="G8" s="5">
        <v>2000</v>
      </c>
      <c r="H8" s="5">
        <f>Mar!E33</f>
        <v>1500</v>
      </c>
      <c r="I8" s="5">
        <f>Mar!E36</f>
        <v>7200</v>
      </c>
      <c r="J8" s="5">
        <f>Mar!E41</f>
        <v>2000</v>
      </c>
      <c r="L8" s="81">
        <v>44986</v>
      </c>
      <c r="M8" s="82">
        <v>11250</v>
      </c>
      <c r="N8" s="83">
        <v>3097</v>
      </c>
      <c r="O8" s="83">
        <v>4840</v>
      </c>
      <c r="P8" s="83">
        <v>6340</v>
      </c>
      <c r="Q8" s="83">
        <v>2000</v>
      </c>
      <c r="R8" s="83">
        <v>1500</v>
      </c>
      <c r="S8" s="83">
        <v>7200</v>
      </c>
      <c r="T8" s="84">
        <v>2000</v>
      </c>
    </row>
    <row r="9" spans="1:20" x14ac:dyDescent="0.2">
      <c r="B9" s="79">
        <v>45017</v>
      </c>
      <c r="C9" s="10">
        <f>Apr!E10</f>
        <v>11250</v>
      </c>
      <c r="D9" s="10">
        <f>Apr!E15</f>
        <v>2950</v>
      </c>
      <c r="E9" s="10">
        <f>Apr!E20</f>
        <v>5450</v>
      </c>
      <c r="F9" s="10">
        <f>Apr!E24</f>
        <v>5600</v>
      </c>
      <c r="G9" s="5">
        <v>2000</v>
      </c>
      <c r="H9" s="5">
        <f>Apr!E33</f>
        <v>1760</v>
      </c>
      <c r="I9" s="5">
        <f>Apr!E36</f>
        <v>7200</v>
      </c>
      <c r="J9" s="5">
        <f>Apr!E41</f>
        <v>4000</v>
      </c>
      <c r="L9" s="81">
        <v>45017</v>
      </c>
      <c r="M9" s="82">
        <v>11250</v>
      </c>
      <c r="N9" s="83">
        <v>2950</v>
      </c>
      <c r="O9" s="83">
        <v>5450</v>
      </c>
      <c r="P9" s="83">
        <v>5600</v>
      </c>
      <c r="Q9" s="83">
        <v>2000</v>
      </c>
      <c r="R9" s="83">
        <v>1760</v>
      </c>
      <c r="S9" s="83">
        <v>7200</v>
      </c>
      <c r="T9" s="84">
        <v>4000</v>
      </c>
    </row>
    <row r="10" spans="1:20" x14ac:dyDescent="0.2">
      <c r="B10" s="79">
        <v>45047</v>
      </c>
      <c r="C10" s="10">
        <f>MayTable[[#This Row],[Actual Spending]]</f>
        <v>11450</v>
      </c>
      <c r="D10" s="10">
        <f>May!E15</f>
        <v>2770</v>
      </c>
      <c r="E10" s="10">
        <f>May!E20</f>
        <v>4253</v>
      </c>
      <c r="F10" s="10">
        <f>May!E24</f>
        <v>4100</v>
      </c>
      <c r="G10" s="5">
        <v>2000</v>
      </c>
      <c r="H10" s="5">
        <f>May!E33</f>
        <v>1800</v>
      </c>
      <c r="I10" s="5">
        <f>May!E36</f>
        <v>5750</v>
      </c>
      <c r="J10" s="5">
        <f>May!E41</f>
        <v>1500</v>
      </c>
      <c r="L10" s="81">
        <v>45047</v>
      </c>
      <c r="M10" s="82">
        <v>11450</v>
      </c>
      <c r="N10" s="83">
        <v>2770</v>
      </c>
      <c r="O10" s="83">
        <v>4253</v>
      </c>
      <c r="P10" s="83">
        <v>4100</v>
      </c>
      <c r="Q10" s="83">
        <v>2000</v>
      </c>
      <c r="R10" s="83">
        <v>1800</v>
      </c>
      <c r="S10" s="83">
        <v>5750</v>
      </c>
      <c r="T10" s="84">
        <v>1500</v>
      </c>
    </row>
    <row r="11" spans="1:20" x14ac:dyDescent="0.2">
      <c r="B11" s="79">
        <v>45078</v>
      </c>
      <c r="C11" s="10">
        <f>Jun!E10</f>
        <v>11250</v>
      </c>
      <c r="D11" s="10">
        <f>Jun!E15</f>
        <v>3230</v>
      </c>
      <c r="E11" s="10">
        <f>Jun!E20</f>
        <v>6130</v>
      </c>
      <c r="F11" s="10">
        <f>Jun!E24</f>
        <v>4500</v>
      </c>
      <c r="G11" s="5">
        <v>2000</v>
      </c>
      <c r="H11" s="5">
        <f>Jun!E33</f>
        <v>2500</v>
      </c>
      <c r="I11" s="5">
        <f>Jun!E36</f>
        <v>8165</v>
      </c>
      <c r="J11" s="5">
        <f>Jun!E41</f>
        <v>3000</v>
      </c>
      <c r="L11" s="81">
        <v>45078</v>
      </c>
      <c r="M11" s="82">
        <v>11250</v>
      </c>
      <c r="N11" s="83">
        <v>3230</v>
      </c>
      <c r="O11" s="83">
        <v>6130</v>
      </c>
      <c r="P11" s="83">
        <v>4500</v>
      </c>
      <c r="Q11" s="83">
        <v>2000</v>
      </c>
      <c r="R11" s="83">
        <v>2500</v>
      </c>
      <c r="S11" s="83">
        <v>8165</v>
      </c>
      <c r="T11" s="84">
        <v>3000</v>
      </c>
    </row>
    <row r="12" spans="1:20" x14ac:dyDescent="0.2">
      <c r="B12" s="79">
        <v>45108</v>
      </c>
      <c r="C12" s="10">
        <f>Jul!E10</f>
        <v>11250</v>
      </c>
      <c r="D12" s="10">
        <f>Jul!E15</f>
        <v>3230</v>
      </c>
      <c r="E12" s="10">
        <f>Jul!E20</f>
        <v>5967</v>
      </c>
      <c r="F12" s="10">
        <f>Jul!E24</f>
        <v>5000</v>
      </c>
      <c r="G12" s="5">
        <v>2000</v>
      </c>
      <c r="H12" s="5">
        <f>Jul!E33</f>
        <v>2500</v>
      </c>
      <c r="I12" s="5">
        <f>Jul!E36</f>
        <v>10554</v>
      </c>
      <c r="J12" s="5">
        <f>Jul!E41</f>
        <v>3000</v>
      </c>
      <c r="L12" s="81">
        <v>45108</v>
      </c>
      <c r="M12" s="82">
        <v>11250</v>
      </c>
      <c r="N12" s="83">
        <v>3230</v>
      </c>
      <c r="O12" s="83">
        <v>5967</v>
      </c>
      <c r="P12" s="83">
        <v>5000</v>
      </c>
      <c r="Q12" s="83">
        <v>2000</v>
      </c>
      <c r="R12" s="83">
        <v>2500</v>
      </c>
      <c r="S12" s="83">
        <v>10554</v>
      </c>
      <c r="T12" s="84">
        <v>3000</v>
      </c>
    </row>
    <row r="13" spans="1:20" x14ac:dyDescent="0.2">
      <c r="B13" s="79">
        <v>45139</v>
      </c>
      <c r="C13" s="10">
        <f>Aug!E10</f>
        <v>11250</v>
      </c>
      <c r="D13" s="10">
        <f>Aug!E15</f>
        <v>2950</v>
      </c>
      <c r="E13" s="10">
        <f>Aug!E20</f>
        <v>5450</v>
      </c>
      <c r="F13" s="10">
        <f>Aug!E24</f>
        <v>5600</v>
      </c>
      <c r="G13" s="5">
        <v>2000</v>
      </c>
      <c r="H13" s="5">
        <f>Sep!E33</f>
        <v>2500</v>
      </c>
      <c r="I13" s="5">
        <f>Aug!E36</f>
        <v>7200</v>
      </c>
      <c r="J13" s="5">
        <f>Aug!E41</f>
        <v>4000</v>
      </c>
      <c r="L13" s="81">
        <v>45139</v>
      </c>
      <c r="M13" s="82">
        <v>11250</v>
      </c>
      <c r="N13" s="83">
        <v>2950</v>
      </c>
      <c r="O13" s="83">
        <v>5450</v>
      </c>
      <c r="P13" s="83">
        <v>5600</v>
      </c>
      <c r="Q13" s="83">
        <v>2000</v>
      </c>
      <c r="R13" s="83">
        <v>2500</v>
      </c>
      <c r="S13" s="83">
        <v>7200</v>
      </c>
      <c r="T13" s="84">
        <v>4000</v>
      </c>
    </row>
    <row r="14" spans="1:20" x14ac:dyDescent="0.2">
      <c r="B14" s="79">
        <v>45170</v>
      </c>
      <c r="C14" s="10">
        <f>Sep!E10</f>
        <v>11250</v>
      </c>
      <c r="D14" s="10">
        <f>Sep!E15</f>
        <v>3230</v>
      </c>
      <c r="E14" s="10">
        <f>Sep!E20</f>
        <v>5967</v>
      </c>
      <c r="F14" s="10">
        <f>Sep!E24</f>
        <v>5000</v>
      </c>
      <c r="G14" s="5">
        <v>2000</v>
      </c>
      <c r="H14" s="5">
        <f>Sep!E33</f>
        <v>2500</v>
      </c>
      <c r="I14" s="5">
        <f>Sep!E36</f>
        <v>10554</v>
      </c>
      <c r="J14" s="5">
        <f>Sep!E41</f>
        <v>3000</v>
      </c>
      <c r="L14" s="81">
        <v>45170</v>
      </c>
      <c r="M14" s="82">
        <v>11250</v>
      </c>
      <c r="N14" s="83">
        <v>3230</v>
      </c>
      <c r="O14" s="83">
        <v>5967</v>
      </c>
      <c r="P14" s="83">
        <v>5000</v>
      </c>
      <c r="Q14" s="83">
        <v>2000</v>
      </c>
      <c r="R14" s="83">
        <v>2500</v>
      </c>
      <c r="S14" s="83">
        <v>10554</v>
      </c>
      <c r="T14" s="84">
        <v>3000</v>
      </c>
    </row>
    <row r="15" spans="1:20" x14ac:dyDescent="0.2">
      <c r="B15" s="79">
        <v>45200</v>
      </c>
      <c r="C15" s="10">
        <f>Oct!E10</f>
        <v>11250</v>
      </c>
      <c r="D15" s="10">
        <f>OctTable[[#This Row],[Actual Spending]]</f>
        <v>3230</v>
      </c>
      <c r="E15" s="10">
        <f>Oct!E20</f>
        <v>5967</v>
      </c>
      <c r="F15" s="10">
        <f>Oct!E24</f>
        <v>5000</v>
      </c>
      <c r="G15" s="5">
        <v>2000</v>
      </c>
      <c r="H15" s="5">
        <f>Oct!E33</f>
        <v>2500</v>
      </c>
      <c r="I15" s="5">
        <f>Oct!E36</f>
        <v>10554</v>
      </c>
      <c r="J15" s="5">
        <f>Oct!E41</f>
        <v>3000</v>
      </c>
      <c r="L15" s="81">
        <v>45200</v>
      </c>
      <c r="M15" s="82">
        <v>11250</v>
      </c>
      <c r="N15" s="83">
        <v>3230</v>
      </c>
      <c r="O15" s="83">
        <v>5967</v>
      </c>
      <c r="P15" s="83">
        <v>5000</v>
      </c>
      <c r="Q15" s="83">
        <v>2000</v>
      </c>
      <c r="R15" s="83">
        <v>2500</v>
      </c>
      <c r="S15" s="83">
        <v>10554</v>
      </c>
      <c r="T15" s="84">
        <v>3000</v>
      </c>
    </row>
    <row r="16" spans="1:20" x14ac:dyDescent="0.2">
      <c r="B16" s="79">
        <v>45231</v>
      </c>
      <c r="C16" s="10">
        <f>Nov!E10</f>
        <v>11450</v>
      </c>
      <c r="D16" s="10">
        <f>Nov!E15</f>
        <v>2770</v>
      </c>
      <c r="E16" s="10">
        <f>Nov!E20</f>
        <v>4253</v>
      </c>
      <c r="F16" s="10">
        <f>Nov!E24</f>
        <v>4100</v>
      </c>
      <c r="G16" s="5">
        <v>2000</v>
      </c>
      <c r="H16" s="5">
        <f>Nov!E33</f>
        <v>1800</v>
      </c>
      <c r="I16" s="5">
        <f>Nov!E36</f>
        <v>5750</v>
      </c>
      <c r="J16" s="5">
        <f>Nov!E41</f>
        <v>1500</v>
      </c>
      <c r="L16" s="81">
        <v>45231</v>
      </c>
      <c r="M16" s="82">
        <v>11450</v>
      </c>
      <c r="N16" s="83">
        <v>2770</v>
      </c>
      <c r="O16" s="83">
        <v>4253</v>
      </c>
      <c r="P16" s="83">
        <v>4100</v>
      </c>
      <c r="Q16" s="83">
        <v>2000</v>
      </c>
      <c r="R16" s="83">
        <v>1800</v>
      </c>
      <c r="S16" s="83">
        <v>5750</v>
      </c>
      <c r="T16" s="84">
        <v>1500</v>
      </c>
    </row>
    <row r="17" spans="2:20" x14ac:dyDescent="0.2">
      <c r="B17" s="79">
        <v>45261</v>
      </c>
      <c r="C17" s="10">
        <f>Dec!E10</f>
        <v>11250</v>
      </c>
      <c r="D17" s="10">
        <f>Dec!E15</f>
        <v>2700</v>
      </c>
      <c r="E17" s="10">
        <f>Dec!E20</f>
        <v>6716</v>
      </c>
      <c r="F17" s="10">
        <f>Dec!E24</f>
        <v>5000</v>
      </c>
      <c r="G17" s="5">
        <v>2000</v>
      </c>
      <c r="H17" s="5">
        <f>Dec!E33</f>
        <v>1760</v>
      </c>
      <c r="I17" s="5">
        <f>Dec!E36</f>
        <v>29497</v>
      </c>
      <c r="J17" s="5">
        <f>Dec!E42</f>
        <v>3000</v>
      </c>
      <c r="L17" s="81">
        <v>45261</v>
      </c>
      <c r="M17" s="82">
        <v>11250</v>
      </c>
      <c r="N17" s="83">
        <v>2700</v>
      </c>
      <c r="O17" s="83">
        <v>6716</v>
      </c>
      <c r="P17" s="83">
        <v>5000</v>
      </c>
      <c r="Q17" s="83">
        <v>2000</v>
      </c>
      <c r="R17" s="83">
        <v>1760</v>
      </c>
      <c r="S17" s="83">
        <v>29497</v>
      </c>
      <c r="T17" s="84">
        <v>3000</v>
      </c>
    </row>
    <row r="18" spans="2:20" x14ac:dyDescent="0.2">
      <c r="L18" s="48" t="s">
        <v>42</v>
      </c>
      <c r="M18" s="85">
        <v>135601</v>
      </c>
      <c r="N18" s="86">
        <v>37167</v>
      </c>
      <c r="O18" s="86">
        <v>67676</v>
      </c>
      <c r="P18" s="86">
        <v>59640</v>
      </c>
      <c r="Q18" s="86">
        <v>24000</v>
      </c>
      <c r="R18" s="86">
        <v>25380</v>
      </c>
      <c r="S18" s="86">
        <v>122113</v>
      </c>
      <c r="T18" s="87">
        <v>34000</v>
      </c>
    </row>
  </sheetData>
  <mergeCells count="1">
    <mergeCell ref="A1:XFD2"/>
  </mergeCells>
  <phoneticPr fontId="18" type="noConversion"/>
  <pageMargins left="0.7" right="0.7" top="0.75" bottom="0.75" header="0.3" footer="0.3"/>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A5F44-327B-4E4C-8337-613DD2E8180C}">
  <dimension ref="A1:E16"/>
  <sheetViews>
    <sheetView workbookViewId="0">
      <selection activeCell="C20" sqref="C20"/>
    </sheetView>
  </sheetViews>
  <sheetFormatPr defaultRowHeight="12.75" x14ac:dyDescent="0.2"/>
  <cols>
    <col min="1" max="1" width="12.7109375" style="39" customWidth="1"/>
    <col min="2" max="2" width="16.28515625" style="39" customWidth="1"/>
    <col min="3" max="3" width="24.7109375" style="39" customWidth="1"/>
    <col min="4" max="5" width="37.85546875" style="39" customWidth="1"/>
    <col min="6" max="16384" width="9.140625" style="39"/>
  </cols>
  <sheetData>
    <row r="1" spans="1:5" x14ac:dyDescent="0.2">
      <c r="A1" s="5" t="s">
        <v>41</v>
      </c>
      <c r="B1" s="5" t="s">
        <v>65</v>
      </c>
      <c r="C1" s="5" t="s">
        <v>76</v>
      </c>
      <c r="D1" s="5" t="s">
        <v>77</v>
      </c>
      <c r="E1" s="5" t="s">
        <v>78</v>
      </c>
    </row>
    <row r="2" spans="1:5" x14ac:dyDescent="0.2">
      <c r="A2" s="88">
        <v>44927</v>
      </c>
      <c r="B2" s="10">
        <v>11451</v>
      </c>
      <c r="C2" s="5"/>
      <c r="D2" s="5"/>
      <c r="E2" s="5"/>
    </row>
    <row r="3" spans="1:5" x14ac:dyDescent="0.2">
      <c r="A3" s="88">
        <v>44958</v>
      </c>
      <c r="B3" s="10">
        <v>11250</v>
      </c>
      <c r="C3" s="5"/>
      <c r="D3" s="5"/>
      <c r="E3" s="5"/>
    </row>
    <row r="4" spans="1:5" x14ac:dyDescent="0.2">
      <c r="A4" s="88">
        <v>44986</v>
      </c>
      <c r="B4" s="10">
        <v>11250</v>
      </c>
      <c r="C4" s="5"/>
      <c r="D4" s="5"/>
      <c r="E4" s="5"/>
    </row>
    <row r="5" spans="1:5" x14ac:dyDescent="0.2">
      <c r="A5" s="88">
        <v>45017</v>
      </c>
      <c r="B5" s="10">
        <v>11250</v>
      </c>
      <c r="C5" s="5"/>
      <c r="D5" s="5"/>
      <c r="E5" s="5"/>
    </row>
    <row r="6" spans="1:5" x14ac:dyDescent="0.2">
      <c r="A6" s="88">
        <v>45047</v>
      </c>
      <c r="B6" s="10">
        <v>11450</v>
      </c>
      <c r="C6" s="5"/>
      <c r="D6" s="5"/>
      <c r="E6" s="5"/>
    </row>
    <row r="7" spans="1:5" x14ac:dyDescent="0.2">
      <c r="A7" s="88">
        <v>45078</v>
      </c>
      <c r="B7" s="10">
        <v>11250</v>
      </c>
      <c r="C7" s="5"/>
      <c r="D7" s="5"/>
      <c r="E7" s="5"/>
    </row>
    <row r="8" spans="1:5" x14ac:dyDescent="0.2">
      <c r="A8" s="88">
        <v>45108</v>
      </c>
      <c r="B8" s="10">
        <v>11250</v>
      </c>
      <c r="C8" s="5"/>
      <c r="D8" s="5"/>
      <c r="E8" s="5"/>
    </row>
    <row r="9" spans="1:5" x14ac:dyDescent="0.2">
      <c r="A9" s="88">
        <v>45139</v>
      </c>
      <c r="B9" s="10">
        <v>11250</v>
      </c>
      <c r="C9" s="5"/>
      <c r="D9" s="5"/>
      <c r="E9" s="5"/>
    </row>
    <row r="10" spans="1:5" x14ac:dyDescent="0.2">
      <c r="A10" s="88">
        <v>45170</v>
      </c>
      <c r="B10" s="10">
        <v>11250</v>
      </c>
      <c r="C10" s="5"/>
      <c r="D10" s="5"/>
      <c r="E10" s="5"/>
    </row>
    <row r="11" spans="1:5" x14ac:dyDescent="0.2">
      <c r="A11" s="88">
        <v>45200</v>
      </c>
      <c r="B11" s="10">
        <v>11250</v>
      </c>
      <c r="C11" s="5"/>
      <c r="D11" s="5"/>
      <c r="E11" s="5"/>
    </row>
    <row r="12" spans="1:5" x14ac:dyDescent="0.2">
      <c r="A12" s="88">
        <v>45231</v>
      </c>
      <c r="B12" s="10">
        <v>11450</v>
      </c>
      <c r="C12" s="5"/>
      <c r="D12" s="5"/>
      <c r="E12" s="5"/>
    </row>
    <row r="13" spans="1:5" x14ac:dyDescent="0.2">
      <c r="A13" s="88">
        <v>45261</v>
      </c>
      <c r="B13" s="10">
        <v>11250</v>
      </c>
      <c r="C13" s="10">
        <v>11250</v>
      </c>
      <c r="D13" s="10">
        <v>11250</v>
      </c>
      <c r="E13" s="10">
        <v>11250</v>
      </c>
    </row>
    <row r="14" spans="1:5" x14ac:dyDescent="0.2">
      <c r="A14" s="88">
        <v>45292</v>
      </c>
      <c r="B14" s="5"/>
      <c r="C14" s="10">
        <f>_xlfn.FORECAST.ETS(A14,$B$2:$B$13,$A$2:$A$13,1,1)</f>
        <v>11293.358269508752</v>
      </c>
      <c r="D14" s="10">
        <f>C14-_xlfn.FORECAST.ETS.CONFINT(A14,$B$2:$B$13,$A$2:$A$13,0.95,1,1)</f>
        <v>11076.004528423371</v>
      </c>
      <c r="E14" s="10">
        <f>C14+_xlfn.FORECAST.ETS.CONFINT(A14,$B$2:$B$13,$A$2:$A$13,0.95,1,1)</f>
        <v>11510.712010594132</v>
      </c>
    </row>
    <row r="15" spans="1:5" x14ac:dyDescent="0.2">
      <c r="A15" s="88">
        <v>45323</v>
      </c>
      <c r="B15" s="5"/>
      <c r="C15" s="10">
        <f>_xlfn.FORECAST.ETS(A15,$B$2:$B$13,$A$2:$A$13,1,1)</f>
        <v>11289.598663288503</v>
      </c>
      <c r="D15" s="10">
        <f>C15-_xlfn.FORECAST.ETS.CONFINT(A15,$B$2:$B$13,$A$2:$A$13,0.95,1,1)</f>
        <v>11046.492511893324</v>
      </c>
      <c r="E15" s="10">
        <f>C15+_xlfn.FORECAST.ETS.CONFINT(A15,$B$2:$B$13,$A$2:$A$13,0.95,1,1)</f>
        <v>11532.704814683682</v>
      </c>
    </row>
    <row r="16" spans="1:5" x14ac:dyDescent="0.2">
      <c r="A16" s="88">
        <v>45352</v>
      </c>
      <c r="B16" s="5"/>
      <c r="C16" s="10">
        <f>_xlfn.FORECAST.ETS(A16,$B$2:$B$13,$A$2:$A$13,1,1)</f>
        <v>11285.839057068253</v>
      </c>
      <c r="D16" s="10">
        <f>C16-_xlfn.FORECAST.ETS.CONFINT(A16,$B$2:$B$13,$A$2:$A$13,0.95,1,1)</f>
        <v>11019.369664256901</v>
      </c>
      <c r="E16" s="10">
        <f>C16+_xlfn.FORECAST.ETS.CONFINT(A16,$B$2:$B$13,$A$2:$A$13,0.95,1,1)</f>
        <v>11552.308449879605</v>
      </c>
    </row>
  </sheetData>
  <pageMargins left="0.7" right="0.7" top="0.75" bottom="0.75" header="0.3" footer="0.3"/>
  <drawing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0B508-3088-4086-BF03-E0EC04275ED0}">
  <dimension ref="A1:E16"/>
  <sheetViews>
    <sheetView workbookViewId="0">
      <selection activeCell="C21" sqref="A1:XFD1048576"/>
    </sheetView>
  </sheetViews>
  <sheetFormatPr defaultRowHeight="12.75" x14ac:dyDescent="0.2"/>
  <cols>
    <col min="1" max="1" width="12.7109375" style="39" customWidth="1"/>
    <col min="2" max="2" width="15.7109375" style="39" customWidth="1"/>
    <col min="3" max="3" width="24.140625" style="39" customWidth="1"/>
    <col min="4" max="5" width="37.28515625" style="39" customWidth="1"/>
    <col min="6" max="16384" width="9.140625" style="39"/>
  </cols>
  <sheetData>
    <row r="1" spans="1:5" x14ac:dyDescent="0.2">
      <c r="A1" s="5" t="s">
        <v>41</v>
      </c>
      <c r="B1" s="5" t="s">
        <v>66</v>
      </c>
      <c r="C1" s="5" t="s">
        <v>79</v>
      </c>
      <c r="D1" s="5" t="s">
        <v>80</v>
      </c>
      <c r="E1" s="5" t="s">
        <v>81</v>
      </c>
    </row>
    <row r="2" spans="1:5" x14ac:dyDescent="0.2">
      <c r="A2" s="88">
        <v>44927</v>
      </c>
      <c r="B2" s="10">
        <v>3780</v>
      </c>
      <c r="C2" s="5"/>
      <c r="D2" s="5"/>
      <c r="E2" s="5"/>
    </row>
    <row r="3" spans="1:5" x14ac:dyDescent="0.2">
      <c r="A3" s="88">
        <v>44958</v>
      </c>
      <c r="B3" s="10">
        <v>3230</v>
      </c>
      <c r="C3" s="5"/>
      <c r="D3" s="5"/>
      <c r="E3" s="5"/>
    </row>
    <row r="4" spans="1:5" x14ac:dyDescent="0.2">
      <c r="A4" s="88">
        <v>44986</v>
      </c>
      <c r="B4" s="10">
        <v>3097</v>
      </c>
      <c r="C4" s="5"/>
      <c r="D4" s="5"/>
      <c r="E4" s="5"/>
    </row>
    <row r="5" spans="1:5" x14ac:dyDescent="0.2">
      <c r="A5" s="88">
        <v>45017</v>
      </c>
      <c r="B5" s="10">
        <v>2950</v>
      </c>
      <c r="C5" s="5"/>
      <c r="D5" s="5"/>
      <c r="E5" s="5"/>
    </row>
    <row r="6" spans="1:5" x14ac:dyDescent="0.2">
      <c r="A6" s="88">
        <v>45047</v>
      </c>
      <c r="B6" s="10">
        <v>2770</v>
      </c>
      <c r="C6" s="5"/>
      <c r="D6" s="5"/>
      <c r="E6" s="5"/>
    </row>
    <row r="7" spans="1:5" x14ac:dyDescent="0.2">
      <c r="A7" s="88">
        <v>45078</v>
      </c>
      <c r="B7" s="10">
        <v>3230</v>
      </c>
      <c r="C7" s="5"/>
      <c r="D7" s="5"/>
      <c r="E7" s="5"/>
    </row>
    <row r="8" spans="1:5" x14ac:dyDescent="0.2">
      <c r="A8" s="88">
        <v>45108</v>
      </c>
      <c r="B8" s="10">
        <v>3230</v>
      </c>
      <c r="C8" s="5"/>
      <c r="D8" s="5"/>
      <c r="E8" s="5"/>
    </row>
    <row r="9" spans="1:5" x14ac:dyDescent="0.2">
      <c r="A9" s="88">
        <v>45139</v>
      </c>
      <c r="B9" s="10">
        <v>2950</v>
      </c>
      <c r="C9" s="5"/>
      <c r="D9" s="5"/>
      <c r="E9" s="5"/>
    </row>
    <row r="10" spans="1:5" x14ac:dyDescent="0.2">
      <c r="A10" s="88">
        <v>45170</v>
      </c>
      <c r="B10" s="10">
        <v>3230</v>
      </c>
      <c r="C10" s="5"/>
      <c r="D10" s="5"/>
      <c r="E10" s="5"/>
    </row>
    <row r="11" spans="1:5" x14ac:dyDescent="0.2">
      <c r="A11" s="88">
        <v>45200</v>
      </c>
      <c r="B11" s="10">
        <v>3230</v>
      </c>
      <c r="C11" s="5"/>
      <c r="D11" s="5"/>
      <c r="E11" s="5"/>
    </row>
    <row r="12" spans="1:5" x14ac:dyDescent="0.2">
      <c r="A12" s="88">
        <v>45231</v>
      </c>
      <c r="B12" s="10">
        <v>2770</v>
      </c>
      <c r="C12" s="5"/>
      <c r="D12" s="5"/>
      <c r="E12" s="5"/>
    </row>
    <row r="13" spans="1:5" x14ac:dyDescent="0.2">
      <c r="A13" s="88">
        <v>45261</v>
      </c>
      <c r="B13" s="10">
        <v>2700</v>
      </c>
      <c r="C13" s="10">
        <v>2700</v>
      </c>
      <c r="D13" s="10">
        <v>2700</v>
      </c>
      <c r="E13" s="10">
        <v>2700</v>
      </c>
    </row>
    <row r="14" spans="1:5" x14ac:dyDescent="0.2">
      <c r="A14" s="88">
        <v>45292</v>
      </c>
      <c r="B14" s="5"/>
      <c r="C14" s="10">
        <f>_xlfn.FORECAST.ETS(A14,$B$2:$B$13,$A$2:$A$13,1,1)</f>
        <v>2683.2154202108381</v>
      </c>
      <c r="D14" s="10">
        <f>C14-_xlfn.FORECAST.ETS.CONFINT(A14,$B$2:$B$13,$A$2:$A$13,0.95,1,1)</f>
        <v>2151.0748591212905</v>
      </c>
      <c r="E14" s="10">
        <f>C14+_xlfn.FORECAST.ETS.CONFINT(A14,$B$2:$B$13,$A$2:$A$13,0.95,1,1)</f>
        <v>3215.3559813003858</v>
      </c>
    </row>
    <row r="15" spans="1:5" x14ac:dyDescent="0.2">
      <c r="A15" s="88">
        <v>45323</v>
      </c>
      <c r="B15" s="5"/>
      <c r="C15" s="10">
        <f>_xlfn.FORECAST.ETS(A15,$B$2:$B$13,$A$2:$A$13,1,1)</f>
        <v>2636.5219129492471</v>
      </c>
      <c r="D15" s="10">
        <f>C15-_xlfn.FORECAST.ETS.CONFINT(A15,$B$2:$B$13,$A$2:$A$13,0.95,1,1)</f>
        <v>1971.0267910880475</v>
      </c>
      <c r="E15" s="10">
        <f>C15+_xlfn.FORECAST.ETS.CONFINT(A15,$B$2:$B$13,$A$2:$A$13,0.95,1,1)</f>
        <v>3302.0170348104466</v>
      </c>
    </row>
    <row r="16" spans="1:5" x14ac:dyDescent="0.2">
      <c r="A16" s="88">
        <v>45352</v>
      </c>
      <c r="B16" s="5"/>
      <c r="C16" s="10">
        <f>_xlfn.FORECAST.ETS(A16,$B$2:$B$13,$A$2:$A$13,1,1)</f>
        <v>2589.8284056876555</v>
      </c>
      <c r="D16" s="10">
        <f>C16-_xlfn.FORECAST.ETS.CONFINT(A16,$B$2:$B$13,$A$2:$A$13,0.95,1,1)</f>
        <v>1813.285072980927</v>
      </c>
      <c r="E16" s="10">
        <f>C16+_xlfn.FORECAST.ETS.CONFINT(A16,$B$2:$B$13,$A$2:$A$13,0.95,1,1)</f>
        <v>3366.371738394384</v>
      </c>
    </row>
  </sheetData>
  <pageMargins left="0.7" right="0.7" top="0.75" bottom="0.75" header="0.3" footer="0.3"/>
  <drawing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217A-F7EA-45E0-B2D7-1E534A6EB239}">
  <dimension ref="A1:E16"/>
  <sheetViews>
    <sheetView workbookViewId="0">
      <selection activeCell="K22" sqref="K22"/>
    </sheetView>
  </sheetViews>
  <sheetFormatPr defaultRowHeight="12.75" x14ac:dyDescent="0.2"/>
  <cols>
    <col min="1" max="1" width="12.7109375" style="39" customWidth="1"/>
    <col min="2" max="2" width="13.7109375" style="39" customWidth="1"/>
    <col min="3" max="3" width="22.140625" style="39" customWidth="1"/>
    <col min="4" max="5" width="35.28515625" style="39" customWidth="1"/>
    <col min="6" max="16384" width="9.140625" style="39"/>
  </cols>
  <sheetData>
    <row r="1" spans="1:5" x14ac:dyDescent="0.2">
      <c r="A1" s="5" t="s">
        <v>41</v>
      </c>
      <c r="B1" s="5" t="s">
        <v>67</v>
      </c>
      <c r="C1" s="5" t="s">
        <v>82</v>
      </c>
      <c r="D1" s="5" t="s">
        <v>83</v>
      </c>
      <c r="E1" s="5" t="s">
        <v>84</v>
      </c>
    </row>
    <row r="2" spans="1:5" x14ac:dyDescent="0.2">
      <c r="A2" s="88">
        <v>44927</v>
      </c>
      <c r="B2" s="10">
        <v>6716</v>
      </c>
      <c r="C2" s="5"/>
      <c r="D2" s="5"/>
      <c r="E2" s="5"/>
    </row>
    <row r="3" spans="1:5" x14ac:dyDescent="0.2">
      <c r="A3" s="88">
        <v>44958</v>
      </c>
      <c r="B3" s="10">
        <v>5967</v>
      </c>
      <c r="C3" s="5"/>
      <c r="D3" s="5"/>
      <c r="E3" s="5"/>
    </row>
    <row r="4" spans="1:5" x14ac:dyDescent="0.2">
      <c r="A4" s="88">
        <v>44986</v>
      </c>
      <c r="B4" s="10">
        <v>4840</v>
      </c>
      <c r="C4" s="5"/>
      <c r="D4" s="5"/>
      <c r="E4" s="5"/>
    </row>
    <row r="5" spans="1:5" x14ac:dyDescent="0.2">
      <c r="A5" s="88">
        <v>45017</v>
      </c>
      <c r="B5" s="10">
        <v>5450</v>
      </c>
      <c r="C5" s="5"/>
      <c r="D5" s="5"/>
      <c r="E5" s="5"/>
    </row>
    <row r="6" spans="1:5" x14ac:dyDescent="0.2">
      <c r="A6" s="88">
        <v>45047</v>
      </c>
      <c r="B6" s="10">
        <v>4253</v>
      </c>
      <c r="C6" s="5"/>
      <c r="D6" s="5"/>
      <c r="E6" s="5"/>
    </row>
    <row r="7" spans="1:5" x14ac:dyDescent="0.2">
      <c r="A7" s="88">
        <v>45078</v>
      </c>
      <c r="B7" s="10">
        <v>6130</v>
      </c>
      <c r="C7" s="5"/>
      <c r="D7" s="5"/>
      <c r="E7" s="5"/>
    </row>
    <row r="8" spans="1:5" x14ac:dyDescent="0.2">
      <c r="A8" s="88">
        <v>45108</v>
      </c>
      <c r="B8" s="10">
        <v>5967</v>
      </c>
      <c r="C8" s="5"/>
      <c r="D8" s="5"/>
      <c r="E8" s="5"/>
    </row>
    <row r="9" spans="1:5" x14ac:dyDescent="0.2">
      <c r="A9" s="88">
        <v>45139</v>
      </c>
      <c r="B9" s="10">
        <v>5450</v>
      </c>
      <c r="C9" s="5"/>
      <c r="D9" s="5"/>
      <c r="E9" s="5"/>
    </row>
    <row r="10" spans="1:5" x14ac:dyDescent="0.2">
      <c r="A10" s="88">
        <v>45170</v>
      </c>
      <c r="B10" s="10">
        <v>5967</v>
      </c>
      <c r="C10" s="5"/>
      <c r="D10" s="5"/>
      <c r="E10" s="5"/>
    </row>
    <row r="11" spans="1:5" x14ac:dyDescent="0.2">
      <c r="A11" s="88">
        <v>45200</v>
      </c>
      <c r="B11" s="10">
        <v>5967</v>
      </c>
      <c r="C11" s="5"/>
      <c r="D11" s="5"/>
      <c r="E11" s="5"/>
    </row>
    <row r="12" spans="1:5" x14ac:dyDescent="0.2">
      <c r="A12" s="88">
        <v>45231</v>
      </c>
      <c r="B12" s="10">
        <v>4253</v>
      </c>
      <c r="C12" s="5"/>
      <c r="D12" s="5"/>
      <c r="E12" s="5"/>
    </row>
    <row r="13" spans="1:5" x14ac:dyDescent="0.2">
      <c r="A13" s="88">
        <v>45261</v>
      </c>
      <c r="B13" s="10">
        <v>6716</v>
      </c>
      <c r="C13" s="10">
        <v>6716</v>
      </c>
      <c r="D13" s="10">
        <v>6716</v>
      </c>
      <c r="E13" s="10">
        <v>6716</v>
      </c>
    </row>
    <row r="14" spans="1:5" x14ac:dyDescent="0.2">
      <c r="A14" s="88">
        <v>45292</v>
      </c>
      <c r="B14" s="5"/>
      <c r="C14" s="10">
        <f>_xlfn.FORECAST.ETS(A14,$B$2:$B$13,$A$2:$A$13,1,1)</f>
        <v>5875.0406905594455</v>
      </c>
      <c r="D14" s="10">
        <f>C14-_xlfn.FORECAST.ETS.CONFINT(A14,$B$2:$B$13,$A$2:$A$13,0.95,1,1)</f>
        <v>3930.7036968653547</v>
      </c>
      <c r="E14" s="10">
        <f>C14+_xlfn.FORECAST.ETS.CONFINT(A14,$B$2:$B$13,$A$2:$A$13,0.95,1,1)</f>
        <v>7819.3776842535362</v>
      </c>
    </row>
    <row r="15" spans="1:5" x14ac:dyDescent="0.2">
      <c r="A15" s="88">
        <v>45323</v>
      </c>
      <c r="B15" s="5"/>
      <c r="C15" s="10">
        <f>_xlfn.FORECAST.ETS(A15,$B$2:$B$13,$A$2:$A$13,1,1)</f>
        <v>5868.2047687975819</v>
      </c>
      <c r="D15" s="10">
        <f>C15-_xlfn.FORECAST.ETS.CONFINT(A15,$B$2:$B$13,$A$2:$A$13,0.95,1,1)</f>
        <v>3693.4996949770857</v>
      </c>
      <c r="E15" s="10">
        <f>C15+_xlfn.FORECAST.ETS.CONFINT(A15,$B$2:$B$13,$A$2:$A$13,0.95,1,1)</f>
        <v>8042.9098426180781</v>
      </c>
    </row>
    <row r="16" spans="1:5" x14ac:dyDescent="0.2">
      <c r="A16" s="88">
        <v>45352</v>
      </c>
      <c r="B16" s="5"/>
      <c r="C16" s="10">
        <f>_xlfn.FORECAST.ETS(A16,$B$2:$B$13,$A$2:$A$13,1,1)</f>
        <v>5861.3688470357138</v>
      </c>
      <c r="D16" s="10">
        <f>C16-_xlfn.FORECAST.ETS.CONFINT(A16,$B$2:$B$13,$A$2:$A$13,0.95,1,1)</f>
        <v>3477.6679935648071</v>
      </c>
      <c r="E16" s="10">
        <f>C16+_xlfn.FORECAST.ETS.CONFINT(A16,$B$2:$B$13,$A$2:$A$13,0.95,1,1)</f>
        <v>8245.0697005066213</v>
      </c>
    </row>
  </sheetData>
  <pageMargins left="0.7" right="0.7" top="0.75" bottom="0.75" header="0.3" footer="0.3"/>
  <drawing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E3D72-21C4-4DBB-B9E7-709CAC038348}">
  <dimension ref="A1:E16"/>
  <sheetViews>
    <sheetView workbookViewId="0">
      <selection activeCell="C25" sqref="A1:XFD1048576"/>
    </sheetView>
  </sheetViews>
  <sheetFormatPr defaultRowHeight="12.75" x14ac:dyDescent="0.2"/>
  <cols>
    <col min="1" max="1" width="12.7109375" style="39" customWidth="1"/>
    <col min="2" max="2" width="21.28515625" style="39" customWidth="1"/>
    <col min="3" max="3" width="29.7109375" style="39" customWidth="1"/>
    <col min="4" max="5" width="42.85546875" style="39" customWidth="1"/>
    <col min="6" max="16384" width="9.140625" style="39"/>
  </cols>
  <sheetData>
    <row r="1" spans="1:5" x14ac:dyDescent="0.2">
      <c r="A1" s="5" t="s">
        <v>41</v>
      </c>
      <c r="B1" s="5" t="s">
        <v>68</v>
      </c>
      <c r="C1" s="5" t="s">
        <v>85</v>
      </c>
      <c r="D1" s="5" t="s">
        <v>86</v>
      </c>
      <c r="E1" s="5" t="s">
        <v>87</v>
      </c>
    </row>
    <row r="2" spans="1:5" x14ac:dyDescent="0.2">
      <c r="A2" s="88">
        <v>44927</v>
      </c>
      <c r="B2" s="10">
        <v>4400</v>
      </c>
      <c r="C2" s="5"/>
      <c r="D2" s="5"/>
      <c r="E2" s="5"/>
    </row>
    <row r="3" spans="1:5" x14ac:dyDescent="0.2">
      <c r="A3" s="88">
        <v>44958</v>
      </c>
      <c r="B3" s="10">
        <v>5000</v>
      </c>
      <c r="C3" s="5"/>
      <c r="D3" s="5"/>
      <c r="E3" s="5"/>
    </row>
    <row r="4" spans="1:5" x14ac:dyDescent="0.2">
      <c r="A4" s="88">
        <v>44986</v>
      </c>
      <c r="B4" s="10">
        <v>6340</v>
      </c>
      <c r="C4" s="5"/>
      <c r="D4" s="5"/>
      <c r="E4" s="5"/>
    </row>
    <row r="5" spans="1:5" x14ac:dyDescent="0.2">
      <c r="A5" s="88">
        <v>45017</v>
      </c>
      <c r="B5" s="10">
        <v>5600</v>
      </c>
      <c r="C5" s="5"/>
      <c r="D5" s="5"/>
      <c r="E5" s="5"/>
    </row>
    <row r="6" spans="1:5" x14ac:dyDescent="0.2">
      <c r="A6" s="88">
        <v>45047</v>
      </c>
      <c r="B6" s="10">
        <v>4100</v>
      </c>
      <c r="C6" s="5"/>
      <c r="D6" s="5"/>
      <c r="E6" s="5"/>
    </row>
    <row r="7" spans="1:5" x14ac:dyDescent="0.2">
      <c r="A7" s="88">
        <v>45078</v>
      </c>
      <c r="B7" s="10">
        <v>4500</v>
      </c>
      <c r="C7" s="5"/>
      <c r="D7" s="5"/>
      <c r="E7" s="5"/>
    </row>
    <row r="8" spans="1:5" x14ac:dyDescent="0.2">
      <c r="A8" s="88">
        <v>45108</v>
      </c>
      <c r="B8" s="10">
        <v>5000</v>
      </c>
      <c r="C8" s="5"/>
      <c r="D8" s="5"/>
      <c r="E8" s="5"/>
    </row>
    <row r="9" spans="1:5" x14ac:dyDescent="0.2">
      <c r="A9" s="88">
        <v>45139</v>
      </c>
      <c r="B9" s="10">
        <v>5600</v>
      </c>
      <c r="C9" s="5"/>
      <c r="D9" s="5"/>
      <c r="E9" s="5"/>
    </row>
    <row r="10" spans="1:5" x14ac:dyDescent="0.2">
      <c r="A10" s="88">
        <v>45170</v>
      </c>
      <c r="B10" s="10">
        <v>5000</v>
      </c>
      <c r="C10" s="5"/>
      <c r="D10" s="5"/>
      <c r="E10" s="5"/>
    </row>
    <row r="11" spans="1:5" x14ac:dyDescent="0.2">
      <c r="A11" s="88">
        <v>45200</v>
      </c>
      <c r="B11" s="10">
        <v>5000</v>
      </c>
      <c r="C11" s="5"/>
      <c r="D11" s="5"/>
      <c r="E11" s="5"/>
    </row>
    <row r="12" spans="1:5" x14ac:dyDescent="0.2">
      <c r="A12" s="88">
        <v>45231</v>
      </c>
      <c r="B12" s="10">
        <v>4100</v>
      </c>
      <c r="C12" s="5"/>
      <c r="D12" s="5"/>
      <c r="E12" s="5"/>
    </row>
    <row r="13" spans="1:5" x14ac:dyDescent="0.2">
      <c r="A13" s="88">
        <v>45261</v>
      </c>
      <c r="B13" s="10">
        <v>5000</v>
      </c>
      <c r="C13" s="10">
        <v>5000</v>
      </c>
      <c r="D13" s="10">
        <v>5000</v>
      </c>
      <c r="E13" s="10">
        <v>5000</v>
      </c>
    </row>
    <row r="14" spans="1:5" x14ac:dyDescent="0.2">
      <c r="A14" s="88">
        <v>45292</v>
      </c>
      <c r="B14" s="5"/>
      <c r="C14" s="10">
        <f>_xlfn.FORECAST.ETS(A14,$B$2:$B$13,$A$2:$A$13,1,1)</f>
        <v>4731.2520121098587</v>
      </c>
      <c r="D14" s="10">
        <f>C14-_xlfn.FORECAST.ETS.CONFINT(A14,$B$2:$B$13,$A$2:$A$13,0.95,1,1)</f>
        <v>3247.4805090146783</v>
      </c>
      <c r="E14" s="10">
        <f>C14+_xlfn.FORECAST.ETS.CONFINT(A14,$B$2:$B$13,$A$2:$A$13,0.95,1,1)</f>
        <v>6215.0235152050391</v>
      </c>
    </row>
    <row r="15" spans="1:5" x14ac:dyDescent="0.2">
      <c r="A15" s="88">
        <v>45323</v>
      </c>
      <c r="B15" s="5"/>
      <c r="C15" s="10">
        <f>_xlfn.FORECAST.ETS(A15,$B$2:$B$13,$A$2:$A$13,1,1)</f>
        <v>4702.9106260476319</v>
      </c>
      <c r="D15" s="10">
        <f>C15-_xlfn.FORECAST.ETS.CONFINT(A15,$B$2:$B$13,$A$2:$A$13,0.95,1,1)</f>
        <v>3173.1134234749393</v>
      </c>
      <c r="E15" s="10">
        <f>C15+_xlfn.FORECAST.ETS.CONFINT(A15,$B$2:$B$13,$A$2:$A$13,0.95,1,1)</f>
        <v>6232.707828620325</v>
      </c>
    </row>
    <row r="16" spans="1:5" x14ac:dyDescent="0.2">
      <c r="A16" s="88">
        <v>45352</v>
      </c>
      <c r="B16" s="5"/>
      <c r="C16" s="10">
        <f>_xlfn.FORECAST.ETS(A16,$B$2:$B$13,$A$2:$A$13,1,1)</f>
        <v>4674.5692399854042</v>
      </c>
      <c r="D16" s="10">
        <f>C16-_xlfn.FORECAST.ETS.CONFINT(A16,$B$2:$B$13,$A$2:$A$13,0.95,1,1)</f>
        <v>3099.7395722843348</v>
      </c>
      <c r="E16" s="10">
        <f>C16+_xlfn.FORECAST.ETS.CONFINT(A16,$B$2:$B$13,$A$2:$A$13,0.95,1,1)</f>
        <v>6249.3989076864736</v>
      </c>
    </row>
  </sheetData>
  <pageMargins left="0.7" right="0.7" top="0.75" bottom="0.75" header="0.3" footer="0.3"/>
  <drawing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3B624-8BF3-4B49-B14A-651233D4C985}">
  <dimension ref="A1:E16"/>
  <sheetViews>
    <sheetView workbookViewId="0">
      <selection activeCell="A17" sqref="A1:XFD1048576"/>
    </sheetView>
  </sheetViews>
  <sheetFormatPr defaultRowHeight="12.75" x14ac:dyDescent="0.2"/>
  <cols>
    <col min="1" max="1" width="12.7109375" style="39" customWidth="1"/>
    <col min="2" max="2" width="17" style="39" customWidth="1"/>
    <col min="3" max="3" width="25.42578125" style="39" customWidth="1"/>
    <col min="4" max="5" width="38.5703125" style="39" customWidth="1"/>
    <col min="6" max="16384" width="9.140625" style="39"/>
  </cols>
  <sheetData>
    <row r="1" spans="1:5" x14ac:dyDescent="0.2">
      <c r="A1" s="5" t="s">
        <v>41</v>
      </c>
      <c r="B1" s="5" t="s">
        <v>69</v>
      </c>
      <c r="C1" s="5" t="s">
        <v>88</v>
      </c>
      <c r="D1" s="5" t="s">
        <v>89</v>
      </c>
      <c r="E1" s="5" t="s">
        <v>90</v>
      </c>
    </row>
    <row r="2" spans="1:5" x14ac:dyDescent="0.2">
      <c r="A2" s="88">
        <v>44927</v>
      </c>
      <c r="B2" s="10">
        <v>2000</v>
      </c>
      <c r="C2" s="5"/>
      <c r="D2" s="5"/>
      <c r="E2" s="5"/>
    </row>
    <row r="3" spans="1:5" x14ac:dyDescent="0.2">
      <c r="A3" s="88">
        <v>44958</v>
      </c>
      <c r="B3" s="10">
        <v>2000</v>
      </c>
      <c r="C3" s="5"/>
      <c r="D3" s="5"/>
      <c r="E3" s="5"/>
    </row>
    <row r="4" spans="1:5" x14ac:dyDescent="0.2">
      <c r="A4" s="88">
        <v>44986</v>
      </c>
      <c r="B4" s="10">
        <v>2000</v>
      </c>
      <c r="C4" s="5"/>
      <c r="D4" s="5"/>
      <c r="E4" s="5"/>
    </row>
    <row r="5" spans="1:5" x14ac:dyDescent="0.2">
      <c r="A5" s="88">
        <v>45017</v>
      </c>
      <c r="B5" s="10">
        <v>2000</v>
      </c>
      <c r="C5" s="5"/>
      <c r="D5" s="5"/>
      <c r="E5" s="5"/>
    </row>
    <row r="6" spans="1:5" x14ac:dyDescent="0.2">
      <c r="A6" s="88">
        <v>45047</v>
      </c>
      <c r="B6" s="10">
        <v>2000</v>
      </c>
      <c r="C6" s="5"/>
      <c r="D6" s="5"/>
      <c r="E6" s="5"/>
    </row>
    <row r="7" spans="1:5" x14ac:dyDescent="0.2">
      <c r="A7" s="88">
        <v>45078</v>
      </c>
      <c r="B7" s="10">
        <v>2000</v>
      </c>
      <c r="C7" s="5"/>
      <c r="D7" s="5"/>
      <c r="E7" s="5"/>
    </row>
    <row r="8" spans="1:5" x14ac:dyDescent="0.2">
      <c r="A8" s="88">
        <v>45108</v>
      </c>
      <c r="B8" s="10">
        <v>2000</v>
      </c>
      <c r="C8" s="5"/>
      <c r="D8" s="5"/>
      <c r="E8" s="5"/>
    </row>
    <row r="9" spans="1:5" x14ac:dyDescent="0.2">
      <c r="A9" s="88">
        <v>45139</v>
      </c>
      <c r="B9" s="10">
        <v>2000</v>
      </c>
      <c r="C9" s="5"/>
      <c r="D9" s="5"/>
      <c r="E9" s="5"/>
    </row>
    <row r="10" spans="1:5" x14ac:dyDescent="0.2">
      <c r="A10" s="88">
        <v>45170</v>
      </c>
      <c r="B10" s="10">
        <v>2000</v>
      </c>
      <c r="C10" s="5"/>
      <c r="D10" s="5"/>
      <c r="E10" s="5"/>
    </row>
    <row r="11" spans="1:5" x14ac:dyDescent="0.2">
      <c r="A11" s="88">
        <v>45200</v>
      </c>
      <c r="B11" s="10">
        <v>2000</v>
      </c>
      <c r="C11" s="5"/>
      <c r="D11" s="5"/>
      <c r="E11" s="5"/>
    </row>
    <row r="12" spans="1:5" x14ac:dyDescent="0.2">
      <c r="A12" s="88">
        <v>45231</v>
      </c>
      <c r="B12" s="10">
        <v>2000</v>
      </c>
      <c r="C12" s="5"/>
      <c r="D12" s="5"/>
      <c r="E12" s="5"/>
    </row>
    <row r="13" spans="1:5" x14ac:dyDescent="0.2">
      <c r="A13" s="88">
        <v>45261</v>
      </c>
      <c r="B13" s="10">
        <v>2000</v>
      </c>
      <c r="C13" s="10">
        <v>2000</v>
      </c>
      <c r="D13" s="10">
        <v>2000</v>
      </c>
      <c r="E13" s="10">
        <v>2000</v>
      </c>
    </row>
    <row r="14" spans="1:5" x14ac:dyDescent="0.2">
      <c r="A14" s="88">
        <v>45292</v>
      </c>
      <c r="B14" s="5"/>
      <c r="C14" s="10">
        <f>_xlfn.FORECAST.ETS(A14,$B$2:$B$13,$A$2:$A$13,1,1)</f>
        <v>2000</v>
      </c>
      <c r="D14" s="10">
        <f>C14-_xlfn.FORECAST.ETS.CONFINT(A14,$B$2:$B$13,$A$2:$A$13,0.95,1,1)</f>
        <v>2000</v>
      </c>
      <c r="E14" s="10">
        <f>C14+_xlfn.FORECAST.ETS.CONFINT(A14,$B$2:$B$13,$A$2:$A$13,0.95,1,1)</f>
        <v>2000</v>
      </c>
    </row>
    <row r="15" spans="1:5" x14ac:dyDescent="0.2">
      <c r="A15" s="88">
        <v>45323</v>
      </c>
      <c r="B15" s="5"/>
      <c r="C15" s="10">
        <f>_xlfn.FORECAST.ETS(A15,$B$2:$B$13,$A$2:$A$13,1,1)</f>
        <v>2000</v>
      </c>
      <c r="D15" s="10">
        <f>C15-_xlfn.FORECAST.ETS.CONFINT(A15,$B$2:$B$13,$A$2:$A$13,0.95,1,1)</f>
        <v>2000</v>
      </c>
      <c r="E15" s="10">
        <f>C15+_xlfn.FORECAST.ETS.CONFINT(A15,$B$2:$B$13,$A$2:$A$13,0.95,1,1)</f>
        <v>2000</v>
      </c>
    </row>
    <row r="16" spans="1:5" x14ac:dyDescent="0.2">
      <c r="A16" s="88">
        <v>45352</v>
      </c>
      <c r="B16" s="5"/>
      <c r="C16" s="10">
        <f>_xlfn.FORECAST.ETS(A16,$B$2:$B$13,$A$2:$A$13,1,1)</f>
        <v>2000</v>
      </c>
      <c r="D16" s="10">
        <f>C16-_xlfn.FORECAST.ETS.CONFINT(A16,$B$2:$B$13,$A$2:$A$13,0.95,1,1)</f>
        <v>2000</v>
      </c>
      <c r="E16" s="10">
        <f>C16+_xlfn.FORECAST.ETS.CONFINT(A16,$B$2:$B$13,$A$2:$A$13,0.95,1,1)</f>
        <v>2000</v>
      </c>
    </row>
  </sheetData>
  <pageMargins left="0.7" right="0.7" top="0.75" bottom="0.75" header="0.3" footer="0.3"/>
  <drawing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29F76-9FA7-4D85-A17D-80E325DC0F5B}">
  <dimension ref="A1:E16"/>
  <sheetViews>
    <sheetView workbookViewId="0">
      <selection activeCell="B22" sqref="A1:XFD1048576"/>
    </sheetView>
  </sheetViews>
  <sheetFormatPr defaultRowHeight="12.75" x14ac:dyDescent="0.2"/>
  <cols>
    <col min="1" max="1" width="12.7109375" style="39" customWidth="1"/>
    <col min="2" max="2" width="21.42578125" style="39" customWidth="1"/>
    <col min="3" max="3" width="29.85546875" style="39" customWidth="1"/>
    <col min="4" max="5" width="43" style="39" customWidth="1"/>
    <col min="6" max="16384" width="9.140625" style="39"/>
  </cols>
  <sheetData>
    <row r="1" spans="1:5" x14ac:dyDescent="0.2">
      <c r="A1" s="39" t="s">
        <v>41</v>
      </c>
      <c r="B1" s="39" t="s">
        <v>70</v>
      </c>
      <c r="C1" s="39" t="s">
        <v>91</v>
      </c>
      <c r="D1" s="39" t="s">
        <v>92</v>
      </c>
      <c r="E1" s="39" t="s">
        <v>93</v>
      </c>
    </row>
    <row r="2" spans="1:5" x14ac:dyDescent="0.2">
      <c r="A2" s="88">
        <v>44927</v>
      </c>
      <c r="B2" s="10">
        <v>1760</v>
      </c>
      <c r="C2" s="5"/>
      <c r="D2" s="5"/>
      <c r="E2" s="5"/>
    </row>
    <row r="3" spans="1:5" x14ac:dyDescent="0.2">
      <c r="A3" s="88">
        <v>44958</v>
      </c>
      <c r="B3" s="10">
        <v>2500</v>
      </c>
      <c r="C3" s="5"/>
      <c r="D3" s="5"/>
      <c r="E3" s="5"/>
    </row>
    <row r="4" spans="1:5" x14ac:dyDescent="0.2">
      <c r="A4" s="88">
        <v>44986</v>
      </c>
      <c r="B4" s="10">
        <v>1500</v>
      </c>
      <c r="C4" s="5"/>
      <c r="D4" s="5"/>
      <c r="E4" s="5"/>
    </row>
    <row r="5" spans="1:5" x14ac:dyDescent="0.2">
      <c r="A5" s="88">
        <v>45017</v>
      </c>
      <c r="B5" s="10">
        <v>1760</v>
      </c>
      <c r="C5" s="5"/>
      <c r="D5" s="5"/>
      <c r="E5" s="5"/>
    </row>
    <row r="6" spans="1:5" x14ac:dyDescent="0.2">
      <c r="A6" s="88">
        <v>45047</v>
      </c>
      <c r="B6" s="10">
        <v>1800</v>
      </c>
      <c r="C6" s="5"/>
      <c r="D6" s="5"/>
      <c r="E6" s="5"/>
    </row>
    <row r="7" spans="1:5" x14ac:dyDescent="0.2">
      <c r="A7" s="88">
        <v>45078</v>
      </c>
      <c r="B7" s="10">
        <v>2500</v>
      </c>
      <c r="C7" s="5"/>
      <c r="D7" s="5"/>
      <c r="E7" s="5"/>
    </row>
    <row r="8" spans="1:5" x14ac:dyDescent="0.2">
      <c r="A8" s="88">
        <v>45108</v>
      </c>
      <c r="B8" s="10">
        <v>2500</v>
      </c>
      <c r="C8" s="5"/>
      <c r="D8" s="5"/>
      <c r="E8" s="5"/>
    </row>
    <row r="9" spans="1:5" x14ac:dyDescent="0.2">
      <c r="A9" s="88">
        <v>45139</v>
      </c>
      <c r="B9" s="10">
        <v>2500</v>
      </c>
      <c r="C9" s="5"/>
      <c r="D9" s="5"/>
      <c r="E9" s="5"/>
    </row>
    <row r="10" spans="1:5" x14ac:dyDescent="0.2">
      <c r="A10" s="88">
        <v>45170</v>
      </c>
      <c r="B10" s="10">
        <v>2500</v>
      </c>
      <c r="C10" s="5"/>
      <c r="D10" s="5"/>
      <c r="E10" s="5"/>
    </row>
    <row r="11" spans="1:5" x14ac:dyDescent="0.2">
      <c r="A11" s="88">
        <v>45200</v>
      </c>
      <c r="B11" s="10">
        <v>2500</v>
      </c>
      <c r="C11" s="5"/>
      <c r="D11" s="5"/>
      <c r="E11" s="5"/>
    </row>
    <row r="12" spans="1:5" x14ac:dyDescent="0.2">
      <c r="A12" s="88">
        <v>45231</v>
      </c>
      <c r="B12" s="10">
        <v>1800</v>
      </c>
      <c r="C12" s="5"/>
      <c r="D12" s="5"/>
      <c r="E12" s="5"/>
    </row>
    <row r="13" spans="1:5" x14ac:dyDescent="0.2">
      <c r="A13" s="88">
        <v>45261</v>
      </c>
      <c r="B13" s="10">
        <v>1760</v>
      </c>
      <c r="C13" s="10">
        <v>1760</v>
      </c>
      <c r="D13" s="10">
        <v>1760</v>
      </c>
      <c r="E13" s="10">
        <v>1760</v>
      </c>
    </row>
    <row r="14" spans="1:5" x14ac:dyDescent="0.2">
      <c r="A14" s="88">
        <v>45292</v>
      </c>
      <c r="B14" s="5"/>
      <c r="C14" s="10">
        <f>_xlfn.FORECAST.ETS(A14,$B$2:$B$13,$A$2:$A$13,1,1)</f>
        <v>2210.7247697235302</v>
      </c>
      <c r="D14" s="10">
        <f>C14-_xlfn.FORECAST.ETS.CONFINT(A14,$B$2:$B$13,$A$2:$A$13,0.95,1,1)</f>
        <v>1378.9446420058496</v>
      </c>
      <c r="E14" s="10">
        <f>C14+_xlfn.FORECAST.ETS.CONFINT(A14,$B$2:$B$13,$A$2:$A$13,0.95,1,1)</f>
        <v>3042.5048974412111</v>
      </c>
    </row>
    <row r="15" spans="1:5" x14ac:dyDescent="0.2">
      <c r="A15" s="88">
        <v>45323</v>
      </c>
      <c r="B15" s="5"/>
      <c r="C15" s="10">
        <f>_xlfn.FORECAST.ETS(A15,$B$2:$B$13,$A$2:$A$13,1,1)</f>
        <v>2234.7658762273768</v>
      </c>
      <c r="D15" s="10">
        <f>C15-_xlfn.FORECAST.ETS.CONFINT(A15,$B$2:$B$13,$A$2:$A$13,0.95,1,1)</f>
        <v>1396.3046896091591</v>
      </c>
      <c r="E15" s="10">
        <f>C15+_xlfn.FORECAST.ETS.CONFINT(A15,$B$2:$B$13,$A$2:$A$13,0.95,1,1)</f>
        <v>3073.2270628455944</v>
      </c>
    </row>
    <row r="16" spans="1:5" x14ac:dyDescent="0.2">
      <c r="A16" s="88">
        <v>45352</v>
      </c>
      <c r="B16" s="5"/>
      <c r="C16" s="10">
        <f>_xlfn.FORECAST.ETS(A16,$B$2:$B$13,$A$2:$A$13,1,1)</f>
        <v>2258.8069827312233</v>
      </c>
      <c r="D16" s="10">
        <f>C16-_xlfn.FORECAST.ETS.CONFINT(A16,$B$2:$B$13,$A$2:$A$13,0.95,1,1)</f>
        <v>1413.6131789793626</v>
      </c>
      <c r="E16" s="10">
        <f>C16+_xlfn.FORECAST.ETS.CONFINT(A16,$B$2:$B$13,$A$2:$A$13,0.95,1,1)</f>
        <v>3104.0007864830841</v>
      </c>
    </row>
  </sheetData>
  <pageMargins left="0.7" right="0.7" top="0.75" bottom="0.75" header="0.3" footer="0.3"/>
  <drawing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A93B9-D10B-4A62-9CDC-5A7D4C5680BB}">
  <dimension ref="A1:E16"/>
  <sheetViews>
    <sheetView workbookViewId="0">
      <selection activeCell="B22" sqref="A1:XFD1048576"/>
    </sheetView>
  </sheetViews>
  <sheetFormatPr defaultRowHeight="12.75" x14ac:dyDescent="0.2"/>
  <cols>
    <col min="1" max="1" width="12.7109375" style="39" customWidth="1"/>
    <col min="2" max="2" width="25.7109375" style="39" customWidth="1"/>
    <col min="3" max="3" width="34.140625" style="39" customWidth="1"/>
    <col min="4" max="5" width="47.28515625" style="39" customWidth="1"/>
    <col min="6" max="16384" width="9.140625" style="39"/>
  </cols>
  <sheetData>
    <row r="1" spans="1:5" x14ac:dyDescent="0.2">
      <c r="A1" s="39" t="s">
        <v>41</v>
      </c>
      <c r="B1" s="39" t="s">
        <v>71</v>
      </c>
      <c r="C1" s="39" t="s">
        <v>94</v>
      </c>
      <c r="D1" s="39" t="s">
        <v>95</v>
      </c>
      <c r="E1" s="39" t="s">
        <v>96</v>
      </c>
    </row>
    <row r="2" spans="1:5" x14ac:dyDescent="0.2">
      <c r="A2" s="88">
        <v>44927</v>
      </c>
      <c r="B2" s="10">
        <v>9135</v>
      </c>
      <c r="C2" s="5"/>
      <c r="D2" s="5"/>
      <c r="E2" s="5"/>
    </row>
    <row r="3" spans="1:5" x14ac:dyDescent="0.2">
      <c r="A3" s="88">
        <v>44958</v>
      </c>
      <c r="B3" s="10">
        <v>10554</v>
      </c>
      <c r="C3" s="5"/>
      <c r="D3" s="5"/>
      <c r="E3" s="5"/>
    </row>
    <row r="4" spans="1:5" x14ac:dyDescent="0.2">
      <c r="A4" s="88">
        <v>44986</v>
      </c>
      <c r="B4" s="10">
        <v>7200</v>
      </c>
      <c r="C4" s="5"/>
      <c r="D4" s="5"/>
      <c r="E4" s="5"/>
    </row>
    <row r="5" spans="1:5" x14ac:dyDescent="0.2">
      <c r="A5" s="88">
        <v>45017</v>
      </c>
      <c r="B5" s="10">
        <v>7200</v>
      </c>
      <c r="C5" s="5"/>
      <c r="D5" s="5"/>
      <c r="E5" s="5"/>
    </row>
    <row r="6" spans="1:5" x14ac:dyDescent="0.2">
      <c r="A6" s="88">
        <v>45047</v>
      </c>
      <c r="B6" s="10">
        <v>5750</v>
      </c>
      <c r="C6" s="5"/>
      <c r="D6" s="5"/>
      <c r="E6" s="5"/>
    </row>
    <row r="7" spans="1:5" x14ac:dyDescent="0.2">
      <c r="A7" s="88">
        <v>45078</v>
      </c>
      <c r="B7" s="10">
        <v>8165</v>
      </c>
      <c r="C7" s="5"/>
      <c r="D7" s="5"/>
      <c r="E7" s="5"/>
    </row>
    <row r="8" spans="1:5" x14ac:dyDescent="0.2">
      <c r="A8" s="88">
        <v>45108</v>
      </c>
      <c r="B8" s="10">
        <v>10554</v>
      </c>
      <c r="C8" s="5"/>
      <c r="D8" s="5"/>
      <c r="E8" s="5"/>
    </row>
    <row r="9" spans="1:5" x14ac:dyDescent="0.2">
      <c r="A9" s="88">
        <v>45139</v>
      </c>
      <c r="B9" s="10">
        <v>7200</v>
      </c>
      <c r="C9" s="5"/>
      <c r="D9" s="5"/>
      <c r="E9" s="5"/>
    </row>
    <row r="10" spans="1:5" x14ac:dyDescent="0.2">
      <c r="A10" s="88">
        <v>45170</v>
      </c>
      <c r="B10" s="10">
        <v>10554</v>
      </c>
      <c r="C10" s="5"/>
      <c r="D10" s="5"/>
      <c r="E10" s="5"/>
    </row>
    <row r="11" spans="1:5" x14ac:dyDescent="0.2">
      <c r="A11" s="88">
        <v>45200</v>
      </c>
      <c r="B11" s="10">
        <v>10554</v>
      </c>
      <c r="C11" s="5"/>
      <c r="D11" s="5"/>
      <c r="E11" s="5"/>
    </row>
    <row r="12" spans="1:5" x14ac:dyDescent="0.2">
      <c r="A12" s="88">
        <v>45231</v>
      </c>
      <c r="B12" s="10">
        <v>5750</v>
      </c>
      <c r="C12" s="5"/>
      <c r="D12" s="5"/>
      <c r="E12" s="5"/>
    </row>
    <row r="13" spans="1:5" x14ac:dyDescent="0.2">
      <c r="A13" s="88">
        <v>45261</v>
      </c>
      <c r="B13" s="10">
        <v>29497</v>
      </c>
      <c r="C13" s="10">
        <v>29497</v>
      </c>
      <c r="D13" s="10">
        <v>29497</v>
      </c>
      <c r="E13" s="10">
        <v>29497</v>
      </c>
    </row>
    <row r="14" spans="1:5" x14ac:dyDescent="0.2">
      <c r="A14" s="88">
        <v>45292</v>
      </c>
      <c r="B14" s="5"/>
      <c r="C14" s="10">
        <f>_xlfn.FORECAST.ETS(A14,$B$2:$B$13,$A$2:$A$13,1,1)</f>
        <v>16675.648747173444</v>
      </c>
      <c r="D14" s="10">
        <f>C14-_xlfn.FORECAST.ETS.CONFINT(A14,$B$2:$B$13,$A$2:$A$13,0.95,1,1)</f>
        <v>4755.0527693127588</v>
      </c>
      <c r="E14" s="10">
        <f>C14+_xlfn.FORECAST.ETS.CONFINT(A14,$B$2:$B$13,$A$2:$A$13,0.95,1,1)</f>
        <v>28596.244725034128</v>
      </c>
    </row>
    <row r="15" spans="1:5" x14ac:dyDescent="0.2">
      <c r="A15" s="88">
        <v>45323</v>
      </c>
      <c r="B15" s="5"/>
      <c r="C15" s="10">
        <f>_xlfn.FORECAST.ETS(A15,$B$2:$B$13,$A$2:$A$13,1,1)</f>
        <v>17464.402555566208</v>
      </c>
      <c r="D15" s="10">
        <f>C15-_xlfn.FORECAST.ETS.CONFINT(A15,$B$2:$B$13,$A$2:$A$13,0.95,1,1)</f>
        <v>5174.0368611923313</v>
      </c>
      <c r="E15" s="10">
        <f>C15+_xlfn.FORECAST.ETS.CONFINT(A15,$B$2:$B$13,$A$2:$A$13,0.95,1,1)</f>
        <v>29754.768249940083</v>
      </c>
    </row>
    <row r="16" spans="1:5" x14ac:dyDescent="0.2">
      <c r="A16" s="88">
        <v>45352</v>
      </c>
      <c r="B16" s="5"/>
      <c r="C16" s="10">
        <f>_xlfn.FORECAST.ETS(A16,$B$2:$B$13,$A$2:$A$13,1,1)</f>
        <v>18253.156363958955</v>
      </c>
      <c r="D16" s="10">
        <f>C16-_xlfn.FORECAST.ETS.CONFINT(A16,$B$2:$B$13,$A$2:$A$13,0.95,1,1)</f>
        <v>5601.0005815811801</v>
      </c>
      <c r="E16" s="10">
        <f>C16+_xlfn.FORECAST.ETS.CONFINT(A16,$B$2:$B$13,$A$2:$A$13,0.95,1,1)</f>
        <v>30905.312146336728</v>
      </c>
    </row>
  </sheetData>
  <pageMargins left="0.7" right="0.7" top="0.75" bottom="0.75" header="0.3" footer="0.3"/>
  <drawing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F997B-11DC-4073-8DCC-AAC75B1C2EEE}">
  <dimension ref="A1:E17"/>
  <sheetViews>
    <sheetView workbookViewId="0">
      <selection activeCell="B22" sqref="A1:XFD1048576"/>
    </sheetView>
  </sheetViews>
  <sheetFormatPr defaultRowHeight="12.75" x14ac:dyDescent="0.2"/>
  <cols>
    <col min="1" max="1" width="12.7109375" style="39" customWidth="1"/>
    <col min="2" max="2" width="30" style="39" customWidth="1"/>
    <col min="3" max="3" width="38.42578125" style="39" customWidth="1"/>
    <col min="4" max="5" width="51.5703125" style="39" customWidth="1"/>
    <col min="6" max="16384" width="9.140625" style="39"/>
  </cols>
  <sheetData>
    <row r="1" spans="1:5" x14ac:dyDescent="0.2">
      <c r="A1" s="5" t="s">
        <v>41</v>
      </c>
      <c r="B1" s="5" t="s">
        <v>72</v>
      </c>
      <c r="C1" s="5" t="s">
        <v>73</v>
      </c>
      <c r="D1" s="5" t="s">
        <v>74</v>
      </c>
      <c r="E1" s="5" t="s">
        <v>75</v>
      </c>
    </row>
    <row r="2" spans="1:5" x14ac:dyDescent="0.2">
      <c r="A2" s="88">
        <v>44927</v>
      </c>
      <c r="B2" s="10">
        <v>3000</v>
      </c>
      <c r="C2" s="5"/>
      <c r="D2" s="5"/>
      <c r="E2" s="5"/>
    </row>
    <row r="3" spans="1:5" x14ac:dyDescent="0.2">
      <c r="A3" s="88">
        <v>44958</v>
      </c>
      <c r="B3" s="10">
        <v>3000</v>
      </c>
      <c r="C3" s="5"/>
      <c r="D3" s="5"/>
      <c r="E3" s="5"/>
    </row>
    <row r="4" spans="1:5" x14ac:dyDescent="0.2">
      <c r="A4" s="88">
        <v>44986</v>
      </c>
      <c r="B4" s="10">
        <v>2000</v>
      </c>
      <c r="C4" s="5"/>
      <c r="D4" s="5"/>
      <c r="E4" s="5"/>
    </row>
    <row r="5" spans="1:5" x14ac:dyDescent="0.2">
      <c r="A5" s="88">
        <v>45017</v>
      </c>
      <c r="B5" s="10">
        <v>4000</v>
      </c>
      <c r="C5" s="5"/>
      <c r="D5" s="5"/>
      <c r="E5" s="5"/>
    </row>
    <row r="6" spans="1:5" x14ac:dyDescent="0.2">
      <c r="A6" s="88">
        <v>45047</v>
      </c>
      <c r="B6" s="10">
        <v>1500</v>
      </c>
      <c r="C6" s="5"/>
      <c r="D6" s="5"/>
      <c r="E6" s="5"/>
    </row>
    <row r="7" spans="1:5" x14ac:dyDescent="0.2">
      <c r="A7" s="88">
        <v>45078</v>
      </c>
      <c r="B7" s="10">
        <v>3000</v>
      </c>
      <c r="C7" s="5"/>
      <c r="D7" s="5"/>
      <c r="E7" s="5"/>
    </row>
    <row r="8" spans="1:5" x14ac:dyDescent="0.2">
      <c r="A8" s="88">
        <v>45108</v>
      </c>
      <c r="B8" s="10">
        <v>3000</v>
      </c>
      <c r="C8" s="5"/>
      <c r="D8" s="5"/>
      <c r="E8" s="5"/>
    </row>
    <row r="9" spans="1:5" x14ac:dyDescent="0.2">
      <c r="A9" s="88">
        <v>45139</v>
      </c>
      <c r="B9" s="10">
        <v>4000</v>
      </c>
      <c r="C9" s="5"/>
      <c r="D9" s="5"/>
      <c r="E9" s="5"/>
    </row>
    <row r="10" spans="1:5" x14ac:dyDescent="0.2">
      <c r="A10" s="88">
        <v>45170</v>
      </c>
      <c r="B10" s="10">
        <v>3000</v>
      </c>
      <c r="C10" s="5"/>
      <c r="D10" s="5"/>
      <c r="E10" s="5"/>
    </row>
    <row r="11" spans="1:5" x14ac:dyDescent="0.2">
      <c r="A11" s="88">
        <v>45200</v>
      </c>
      <c r="B11" s="10">
        <v>3000</v>
      </c>
      <c r="C11" s="5"/>
      <c r="D11" s="5"/>
      <c r="E11" s="5"/>
    </row>
    <row r="12" spans="1:5" x14ac:dyDescent="0.2">
      <c r="A12" s="88">
        <v>45231</v>
      </c>
      <c r="B12" s="10">
        <v>1500</v>
      </c>
      <c r="C12" s="5"/>
      <c r="D12" s="5"/>
      <c r="E12" s="5"/>
    </row>
    <row r="13" spans="1:5" x14ac:dyDescent="0.2">
      <c r="A13" s="88">
        <v>45261</v>
      </c>
      <c r="B13" s="10">
        <v>3000</v>
      </c>
      <c r="C13" s="10">
        <v>3000</v>
      </c>
      <c r="D13" s="10">
        <v>3000</v>
      </c>
      <c r="E13" s="10">
        <v>3000</v>
      </c>
    </row>
    <row r="14" spans="1:5" x14ac:dyDescent="0.2">
      <c r="A14" s="88">
        <v>45292</v>
      </c>
      <c r="B14" s="5"/>
      <c r="C14" s="10">
        <f>_xlfn.FORECAST.ETS(A14,$B$2:$B$13,$A$2:$A$13,1,1)</f>
        <v>2004.9395210110961</v>
      </c>
      <c r="D14" s="10">
        <f>C14-_xlfn.FORECAST.ETS.CONFINT(A14,$B$2:$B$13,$A$2:$A$13,0.95,1,1)</f>
        <v>675.52014062405624</v>
      </c>
      <c r="E14" s="10">
        <f>C14+_xlfn.FORECAST.ETS.CONFINT(A14,$B$2:$B$13,$A$2:$A$13,0.95,1,1)</f>
        <v>3334.3589013981359</v>
      </c>
    </row>
    <row r="15" spans="1:5" x14ac:dyDescent="0.2">
      <c r="A15" s="88">
        <v>45323</v>
      </c>
      <c r="B15" s="5"/>
      <c r="C15" s="10">
        <f>_xlfn.FORECAST.ETS(A15,$B$2:$B$13,$A$2:$A$13,1,1)</f>
        <v>3049.420562451643</v>
      </c>
      <c r="D15" s="10">
        <f>C15-_xlfn.FORECAST.ETS.CONFINT(A15,$B$2:$B$13,$A$2:$A$13,0.95,1,1)</f>
        <v>1678.4391412352734</v>
      </c>
      <c r="E15" s="10">
        <f>C15+_xlfn.FORECAST.ETS.CONFINT(A15,$B$2:$B$13,$A$2:$A$13,0.95,1,1)</f>
        <v>4420.4019836680127</v>
      </c>
    </row>
    <row r="16" spans="1:5" x14ac:dyDescent="0.2">
      <c r="A16" s="88">
        <v>45352</v>
      </c>
      <c r="B16" s="5"/>
      <c r="C16" s="10">
        <f>_xlfn.FORECAST.ETS(A16,$B$2:$B$13,$A$2:$A$13,1,1)</f>
        <v>1927.2422830256733</v>
      </c>
      <c r="D16" s="10">
        <f>C16-_xlfn.FORECAST.ETS.CONFINT(A16,$B$2:$B$13,$A$2:$A$13,0.95,1,1)</f>
        <v>515.28874630717723</v>
      </c>
      <c r="E16" s="10">
        <f>C16+_xlfn.FORECAST.ETS.CONFINT(A16,$B$2:$B$13,$A$2:$A$13,0.95,1,1)</f>
        <v>3339.1958197441691</v>
      </c>
    </row>
    <row r="17" spans="1:5" x14ac:dyDescent="0.2">
      <c r="A17" s="88">
        <v>45383</v>
      </c>
      <c r="B17" s="5"/>
      <c r="C17" s="10">
        <f>_xlfn.FORECAST.ETS(A17,$B$2:$B$13,$A$2:$A$13,1,1)</f>
        <v>2971.7233244662198</v>
      </c>
      <c r="D17" s="10">
        <f>C17-_xlfn.FORECAST.ETS.CONFINT(A17,$B$2:$B$13,$A$2:$A$13,0.95,1,1)</f>
        <v>1519.9535347325718</v>
      </c>
      <c r="E17" s="10">
        <f>C17+_xlfn.FORECAST.ETS.CONFINT(A17,$B$2:$B$13,$A$2:$A$13,0.95,1,1)</f>
        <v>4423.4931141998677</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34F4CF85603664BACAB05F521B49871" ma:contentTypeVersion="6" ma:contentTypeDescription="Create a new document." ma:contentTypeScope="" ma:versionID="d5009bc8d8995934b14cdb26380aa683">
  <xsd:schema xmlns:xsd="http://www.w3.org/2001/XMLSchema" xmlns:xs="http://www.w3.org/2001/XMLSchema" xmlns:p="http://schemas.microsoft.com/office/2006/metadata/properties" xmlns:ns3="4fcd3f7a-652a-4334-b3bd-0947de1bbdb1" targetNamespace="http://schemas.microsoft.com/office/2006/metadata/properties" ma:root="true" ma:fieldsID="bbec1c622a0670ea78eba2b9c0a9bb3d" ns3:_="">
    <xsd:import namespace="4fcd3f7a-652a-4334-b3bd-0947de1bbdb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cd3f7a-652a-4334-b3bd-0947de1bbd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D4B512C3-4B14-4CC4-B8EF-B2D7C20A8CA6}">
  <ds:schemaRefs>
    <ds:schemaRef ds:uri="http://schemas.microsoft.com/sharepoint/v3/contenttype/forms"/>
  </ds:schemaRefs>
</ds:datastoreItem>
</file>

<file path=customXml/itemProps2.xml><?xml version="1.0" encoding="utf-8"?>
<ds:datastoreItem xmlns:ds="http://schemas.openxmlformats.org/officeDocument/2006/customXml" ds:itemID="{517DCE42-20B5-4A1E-BD7C-F3CA40727E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cd3f7a-652a-4334-b3bd-0947de1bbd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D1FE7C-86FC-438D-A122-9D6D43819BE1}">
  <ds:schemaRefs>
    <ds:schemaRef ds:uri="http://schemas.microsoft.com/office/infopath/2007/PartnerControls"/>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purl.org/dc/elements/1.1/"/>
    <ds:schemaRef ds:uri="4fcd3f7a-652a-4334-b3bd-0947de1bbdb1"/>
    <ds:schemaRef ds:uri="http://www.w3.org/XML/1998/namespace"/>
    <ds:schemaRef ds:uri="http://purl.org/dc/dcmitype/"/>
  </ds:schemaRefs>
</ds:datastoreItem>
</file>

<file path=customXml/itemProps4.xml><?xml version="1.0" encoding="utf-8"?>
<ds:datastoreItem xmlns:ds="http://schemas.openxmlformats.org/officeDocument/2006/customXml" ds:itemID="{E519058B-EA89-4ED4-9257-F8F54E7804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Dashboard</vt:lpstr>
      <vt:lpstr>Jan</vt:lpstr>
      <vt:lpstr>Feb</vt:lpstr>
      <vt:lpstr>Mar</vt:lpstr>
      <vt:lpstr>Apr</vt:lpstr>
      <vt:lpstr>May</vt:lpstr>
      <vt:lpstr>Jun</vt:lpstr>
      <vt:lpstr>Jul</vt:lpstr>
      <vt:lpstr>Aug</vt:lpstr>
      <vt:lpstr>Sep</vt:lpstr>
      <vt:lpstr>Oct</vt:lpstr>
      <vt:lpstr>Nov</vt:lpstr>
      <vt:lpstr>Dec</vt:lpstr>
      <vt:lpstr>Variance</vt:lpstr>
      <vt:lpstr>Annual</vt:lpstr>
      <vt:lpstr>Forecast Spending</vt:lpstr>
      <vt:lpstr>Housing Forecast</vt:lpstr>
      <vt:lpstr>Utilities Forecast</vt:lpstr>
      <vt:lpstr>Food Forecast</vt:lpstr>
      <vt:lpstr>Transportation Forecast</vt:lpstr>
      <vt:lpstr>Insurance Forecast</vt:lpstr>
      <vt:lpstr>Debt Payment Forecast</vt:lpstr>
      <vt:lpstr>Personal Expenses Forecast</vt:lpstr>
      <vt:lpstr>Savings and Investments Forecas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joseph Wamuigua</cp:lastModifiedBy>
  <dcterms:created xsi:type="dcterms:W3CDTF">2024-03-28T07:53:20Z</dcterms:created>
  <dcterms:modified xsi:type="dcterms:W3CDTF">2024-04-01T17:13:28Z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0x010100534F4CF85603664BACAB05F521B49871</vt:lpwstr>
  </property>
</Properties>
</file>