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m\Documents\Repos\SizingChart\"/>
    </mc:Choice>
  </mc:AlternateContent>
  <xr:revisionPtr revIDLastSave="0" documentId="13_ncr:1_{EF34E7BD-4DE5-4953-AF3E-98B4C037846D}" xr6:coauthVersionLast="45" xr6:coauthVersionMax="45" xr10:uidLastSave="{00000000-0000-0000-0000-000000000000}"/>
  <bookViews>
    <workbookView xWindow="3915" yWindow="5820" windowWidth="17745" windowHeight="12090" xr2:uid="{6FFF1191-B68E-4224-B5F3-30CEBC89E8F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9" i="1" l="1"/>
  <c r="G198" i="1"/>
  <c r="G199" i="1" s="1"/>
  <c r="G197" i="1"/>
  <c r="G161" i="1"/>
  <c r="G162" i="1" s="1"/>
  <c r="G139" i="1"/>
  <c r="G140" i="1" s="1"/>
  <c r="G134" i="1"/>
  <c r="G130" i="1"/>
  <c r="G126" i="1"/>
  <c r="G122" i="1"/>
  <c r="G117" i="1"/>
  <c r="G107" i="1"/>
  <c r="G102" i="1"/>
  <c r="G103" i="1" s="1"/>
  <c r="G101" i="1"/>
  <c r="G100" i="1"/>
  <c r="G90" i="1"/>
  <c r="G89" i="1"/>
  <c r="G91" i="1" s="1"/>
  <c r="G93" i="1" s="1"/>
  <c r="G87" i="1"/>
  <c r="G82" i="1"/>
  <c r="G81" i="1"/>
  <c r="G57" i="1"/>
  <c r="G60" i="1" s="1"/>
  <c r="G61" i="1" s="1"/>
  <c r="G96" i="1" s="1"/>
  <c r="G43" i="1"/>
  <c r="G35" i="1"/>
  <c r="G36" i="1" s="1"/>
  <c r="G34" i="1"/>
  <c r="G29" i="1"/>
  <c r="G25" i="1"/>
  <c r="G23" i="1"/>
  <c r="I209" i="1"/>
  <c r="I198" i="1"/>
  <c r="I199" i="1" s="1"/>
  <c r="I197" i="1"/>
  <c r="I161" i="1"/>
  <c r="I162" i="1" s="1"/>
  <c r="I139" i="1"/>
  <c r="I140" i="1" s="1"/>
  <c r="I134" i="1"/>
  <c r="I130" i="1"/>
  <c r="I126" i="1"/>
  <c r="I122" i="1"/>
  <c r="I117" i="1"/>
  <c r="I102" i="1"/>
  <c r="I103" i="1" s="1"/>
  <c r="I100" i="1"/>
  <c r="I101" i="1" s="1"/>
  <c r="I107" i="1" s="1"/>
  <c r="I90" i="1"/>
  <c r="I89" i="1"/>
  <c r="I87" i="1"/>
  <c r="I82" i="1"/>
  <c r="I81" i="1"/>
  <c r="I84" i="1" s="1"/>
  <c r="I57" i="1"/>
  <c r="I60" i="1" s="1"/>
  <c r="I61" i="1" s="1"/>
  <c r="I96" i="1" s="1"/>
  <c r="I43" i="1"/>
  <c r="I35" i="1"/>
  <c r="I36" i="1" s="1"/>
  <c r="I34" i="1"/>
  <c r="I29" i="1"/>
  <c r="I25" i="1"/>
  <c r="I23" i="1"/>
  <c r="K209" i="1"/>
  <c r="K198" i="1"/>
  <c r="K199" i="1" s="1"/>
  <c r="K200" i="1" s="1"/>
  <c r="K201" i="1" s="1"/>
  <c r="K197" i="1"/>
  <c r="K161" i="1"/>
  <c r="K162" i="1" s="1"/>
  <c r="K139" i="1"/>
  <c r="K140" i="1" s="1"/>
  <c r="K134" i="1"/>
  <c r="K130" i="1"/>
  <c r="K126" i="1"/>
  <c r="K122" i="1"/>
  <c r="K117" i="1"/>
  <c r="K102" i="1"/>
  <c r="K103" i="1" s="1"/>
  <c r="K105" i="1" s="1"/>
  <c r="K106" i="1" s="1"/>
  <c r="K100" i="1"/>
  <c r="K101" i="1" s="1"/>
  <c r="K107" i="1" s="1"/>
  <c r="K90" i="1"/>
  <c r="K89" i="1"/>
  <c r="K87" i="1"/>
  <c r="K82" i="1"/>
  <c r="K81" i="1"/>
  <c r="K57" i="1"/>
  <c r="K59" i="1" s="1"/>
  <c r="K142" i="1" s="1"/>
  <c r="K43" i="1"/>
  <c r="K35" i="1"/>
  <c r="K36" i="1" s="1"/>
  <c r="K34" i="1"/>
  <c r="K77" i="1" s="1"/>
  <c r="K29" i="1"/>
  <c r="K25" i="1"/>
  <c r="K23" i="1"/>
  <c r="M209" i="1"/>
  <c r="M198" i="1"/>
  <c r="M199" i="1" s="1"/>
  <c r="M197" i="1"/>
  <c r="M161" i="1"/>
  <c r="M162" i="1" s="1"/>
  <c r="M139" i="1"/>
  <c r="M140" i="1" s="1"/>
  <c r="M134" i="1"/>
  <c r="M130" i="1"/>
  <c r="M126" i="1"/>
  <c r="M122" i="1"/>
  <c r="M117" i="1"/>
  <c r="M102" i="1"/>
  <c r="M103" i="1" s="1"/>
  <c r="M100" i="1"/>
  <c r="M101" i="1" s="1"/>
  <c r="M107" i="1" s="1"/>
  <c r="M90" i="1"/>
  <c r="M89" i="1"/>
  <c r="M87" i="1"/>
  <c r="M82" i="1"/>
  <c r="M81" i="1"/>
  <c r="M57" i="1"/>
  <c r="M43" i="1"/>
  <c r="M35" i="1"/>
  <c r="M34" i="1"/>
  <c r="M53" i="1" s="1"/>
  <c r="M29" i="1"/>
  <c r="M170" i="1" s="1"/>
  <c r="M25" i="1"/>
  <c r="M23" i="1"/>
  <c r="E209" i="1"/>
  <c r="E198" i="1"/>
  <c r="E199" i="1" s="1"/>
  <c r="E197" i="1"/>
  <c r="E161" i="1"/>
  <c r="E162" i="1" s="1"/>
  <c r="E139" i="1"/>
  <c r="E140" i="1" s="1"/>
  <c r="E134" i="1"/>
  <c r="E130" i="1"/>
  <c r="E126" i="1"/>
  <c r="E122" i="1"/>
  <c r="E117" i="1"/>
  <c r="E102" i="1"/>
  <c r="E103" i="1" s="1"/>
  <c r="E100" i="1"/>
  <c r="E101" i="1" s="1"/>
  <c r="E107" i="1" s="1"/>
  <c r="E90" i="1"/>
  <c r="E89" i="1"/>
  <c r="E82" i="1"/>
  <c r="E84" i="1" s="1"/>
  <c r="E81" i="1"/>
  <c r="E57" i="1"/>
  <c r="E59" i="1" s="1"/>
  <c r="E142" i="1" s="1"/>
  <c r="E87" i="1"/>
  <c r="E43" i="1"/>
  <c r="E35" i="1"/>
  <c r="E36" i="1" s="1"/>
  <c r="E34" i="1"/>
  <c r="E77" i="1" s="1"/>
  <c r="E29" i="1"/>
  <c r="E21" i="1" s="1"/>
  <c r="E25" i="1"/>
  <c r="E23" i="1"/>
  <c r="G20" i="1" l="1"/>
  <c r="G188" i="1" s="1"/>
  <c r="K20" i="1"/>
  <c r="K188" i="1" s="1"/>
  <c r="G39" i="1"/>
  <c r="G41" i="1" s="1"/>
  <c r="G42" i="1" s="1"/>
  <c r="K83" i="1"/>
  <c r="K85" i="1" s="1"/>
  <c r="G105" i="1"/>
  <c r="G106" i="1" s="1"/>
  <c r="M105" i="1"/>
  <c r="M106" i="1" s="1"/>
  <c r="I91" i="1"/>
  <c r="I93" i="1" s="1"/>
  <c r="G200" i="1"/>
  <c r="G201" i="1" s="1"/>
  <c r="G170" i="1"/>
  <c r="G171" i="1" s="1"/>
  <c r="M84" i="1"/>
  <c r="K108" i="1"/>
  <c r="I83" i="1"/>
  <c r="I85" i="1" s="1"/>
  <c r="I95" i="1" s="1"/>
  <c r="I127" i="1" s="1"/>
  <c r="I200" i="1"/>
  <c r="I201" i="1" s="1"/>
  <c r="G92" i="1"/>
  <c r="K92" i="1"/>
  <c r="K158" i="1"/>
  <c r="I20" i="1"/>
  <c r="I153" i="1" s="1"/>
  <c r="I59" i="1"/>
  <c r="I142" i="1" s="1"/>
  <c r="K21" i="1"/>
  <c r="K170" i="1"/>
  <c r="K171" i="1" s="1"/>
  <c r="I92" i="1"/>
  <c r="G21" i="1"/>
  <c r="G59" i="1"/>
  <c r="G142" i="1" s="1"/>
  <c r="K84" i="1"/>
  <c r="G84" i="1"/>
  <c r="G108" i="1"/>
  <c r="G158" i="1"/>
  <c r="G53" i="1"/>
  <c r="G77" i="1"/>
  <c r="G83" i="1"/>
  <c r="G85" i="1" s="1"/>
  <c r="G95" i="1" s="1"/>
  <c r="G104" i="1"/>
  <c r="G109" i="1" s="1"/>
  <c r="G160" i="1" s="1"/>
  <c r="G52" i="1"/>
  <c r="I104" i="1"/>
  <c r="I158" i="1"/>
  <c r="I105" i="1"/>
  <c r="I106" i="1" s="1"/>
  <c r="I108" i="1" s="1"/>
  <c r="I52" i="1"/>
  <c r="I53" i="1"/>
  <c r="I21" i="1"/>
  <c r="I170" i="1"/>
  <c r="I171" i="1" s="1"/>
  <c r="I39" i="1"/>
  <c r="I77" i="1"/>
  <c r="K39" i="1"/>
  <c r="K91" i="1"/>
  <c r="K93" i="1" s="1"/>
  <c r="K60" i="1"/>
  <c r="K61" i="1" s="1"/>
  <c r="K96" i="1" s="1"/>
  <c r="K53" i="1"/>
  <c r="K104" i="1"/>
  <c r="K109" i="1" s="1"/>
  <c r="K160" i="1" s="1"/>
  <c r="K52" i="1"/>
  <c r="E200" i="1"/>
  <c r="E201" i="1" s="1"/>
  <c r="M200" i="1"/>
  <c r="M201" i="1" s="1"/>
  <c r="M83" i="1"/>
  <c r="M85" i="1" s="1"/>
  <c r="E91" i="1"/>
  <c r="E93" i="1" s="1"/>
  <c r="M104" i="1"/>
  <c r="M109" i="1" s="1"/>
  <c r="M160" i="1" s="1"/>
  <c r="M92" i="1"/>
  <c r="M39" i="1"/>
  <c r="M40" i="1" s="1"/>
  <c r="M21" i="1"/>
  <c r="M20" i="1"/>
  <c r="M190" i="1" s="1"/>
  <c r="M171" i="1"/>
  <c r="M59" i="1"/>
  <c r="M142" i="1" s="1"/>
  <c r="M60" i="1"/>
  <c r="M61" i="1" s="1"/>
  <c r="M96" i="1" s="1"/>
  <c r="M79" i="1"/>
  <c r="M135" i="1"/>
  <c r="M108" i="1"/>
  <c r="M52" i="1"/>
  <c r="M77" i="1"/>
  <c r="M36" i="1"/>
  <c r="M158" i="1"/>
  <c r="M91" i="1"/>
  <c r="M93" i="1" s="1"/>
  <c r="E53" i="1"/>
  <c r="E79" i="1" s="1"/>
  <c r="E105" i="1"/>
  <c r="E106" i="1" s="1"/>
  <c r="E108" i="1" s="1"/>
  <c r="E104" i="1"/>
  <c r="E158" i="1"/>
  <c r="E170" i="1"/>
  <c r="E171" i="1" s="1"/>
  <c r="E83" i="1"/>
  <c r="E85" i="1" s="1"/>
  <c r="E60" i="1"/>
  <c r="E61" i="1" s="1"/>
  <c r="E96" i="1" s="1"/>
  <c r="E92" i="1"/>
  <c r="E20" i="1"/>
  <c r="E190" i="1" s="1"/>
  <c r="E39" i="1"/>
  <c r="E52" i="1"/>
  <c r="G153" i="1" l="1"/>
  <c r="G164" i="1" s="1"/>
  <c r="G190" i="1"/>
  <c r="G202" i="1" s="1"/>
  <c r="G3" i="1" s="1"/>
  <c r="G15" i="1" s="1"/>
  <c r="G70" i="1"/>
  <c r="G71" i="1" s="1"/>
  <c r="G121" i="1" s="1"/>
  <c r="G123" i="1" s="1"/>
  <c r="G22" i="1"/>
  <c r="G220" i="1" s="1"/>
  <c r="G215" i="1" s="1"/>
  <c r="G217" i="1" s="1"/>
  <c r="G206" i="1" s="1"/>
  <c r="G40" i="1"/>
  <c r="K153" i="1"/>
  <c r="K164" i="1" s="1"/>
  <c r="K190" i="1"/>
  <c r="K202" i="1" s="1"/>
  <c r="K3" i="1" s="1"/>
  <c r="K15" i="1" s="1"/>
  <c r="K22" i="1"/>
  <c r="K220" i="1" s="1"/>
  <c r="K215" i="1" s="1"/>
  <c r="K217" i="1" s="1"/>
  <c r="K206" i="1" s="1"/>
  <c r="K70" i="1"/>
  <c r="K71" i="1" s="1"/>
  <c r="K121" i="1" s="1"/>
  <c r="K123" i="1" s="1"/>
  <c r="I70" i="1"/>
  <c r="I71" i="1" s="1"/>
  <c r="I121" i="1" s="1"/>
  <c r="I123" i="1" s="1"/>
  <c r="I188" i="1"/>
  <c r="K95" i="1"/>
  <c r="K127" i="1" s="1"/>
  <c r="I22" i="1"/>
  <c r="I192" i="1" s="1"/>
  <c r="I190" i="1"/>
  <c r="G127" i="1"/>
  <c r="G135" i="1"/>
  <c r="G79" i="1"/>
  <c r="G131" i="1"/>
  <c r="G78" i="1"/>
  <c r="G110" i="1"/>
  <c r="G111" i="1" s="1"/>
  <c r="G112" i="1" s="1"/>
  <c r="G159" i="1"/>
  <c r="I109" i="1"/>
  <c r="I160" i="1" s="1"/>
  <c r="I79" i="1"/>
  <c r="I135" i="1"/>
  <c r="I131" i="1"/>
  <c r="I78" i="1"/>
  <c r="I164" i="1"/>
  <c r="I41" i="1"/>
  <c r="I42" i="1" s="1"/>
  <c r="I40" i="1"/>
  <c r="K131" i="1"/>
  <c r="K78" i="1"/>
  <c r="K41" i="1"/>
  <c r="K42" i="1" s="1"/>
  <c r="K40" i="1"/>
  <c r="K79" i="1"/>
  <c r="K135" i="1"/>
  <c r="K159" i="1"/>
  <c r="K110" i="1"/>
  <c r="K111" i="1" s="1"/>
  <c r="K112" i="1" s="1"/>
  <c r="E95" i="1"/>
  <c r="E127" i="1" s="1"/>
  <c r="E109" i="1"/>
  <c r="E160" i="1" s="1"/>
  <c r="E159" i="1" s="1"/>
  <c r="M95" i="1"/>
  <c r="M127" i="1" s="1"/>
  <c r="M41" i="1"/>
  <c r="M42" i="1" s="1"/>
  <c r="M188" i="1"/>
  <c r="M202" i="1" s="1"/>
  <c r="M3" i="1" s="1"/>
  <c r="M15" i="1" s="1"/>
  <c r="M153" i="1"/>
  <c r="M164" i="1" s="1"/>
  <c r="M22" i="1"/>
  <c r="M220" i="1" s="1"/>
  <c r="M215" i="1" s="1"/>
  <c r="M217" i="1" s="1"/>
  <c r="M206" i="1" s="1"/>
  <c r="M70" i="1"/>
  <c r="M71" i="1" s="1"/>
  <c r="M121" i="1" s="1"/>
  <c r="M123" i="1" s="1"/>
  <c r="M131" i="1"/>
  <c r="M78" i="1"/>
  <c r="M110" i="1"/>
  <c r="M111" i="1" s="1"/>
  <c r="M112" i="1" s="1"/>
  <c r="M159" i="1"/>
  <c r="E135" i="1"/>
  <c r="E70" i="1"/>
  <c r="E71" i="1" s="1"/>
  <c r="E121" i="1" s="1"/>
  <c r="E123" i="1" s="1"/>
  <c r="E131" i="1"/>
  <c r="E78" i="1"/>
  <c r="E40" i="1"/>
  <c r="E41" i="1"/>
  <c r="E42" i="1" s="1"/>
  <c r="E22" i="1"/>
  <c r="E188" i="1"/>
  <c r="E202" i="1" s="1"/>
  <c r="E3" i="1" s="1"/>
  <c r="E15" i="1" s="1"/>
  <c r="E153" i="1"/>
  <c r="G192" i="1" l="1"/>
  <c r="G98" i="1"/>
  <c r="G99" i="1" s="1"/>
  <c r="G114" i="1" s="1"/>
  <c r="G166" i="1" s="1"/>
  <c r="G174" i="1" s="1"/>
  <c r="G2" i="1" s="1"/>
  <c r="G16" i="1" s="1"/>
  <c r="G216" i="1" s="1"/>
  <c r="K192" i="1"/>
  <c r="I220" i="1"/>
  <c r="I215" i="1" s="1"/>
  <c r="I217" i="1" s="1"/>
  <c r="I206" i="1" s="1"/>
  <c r="I202" i="1"/>
  <c r="I3" i="1" s="1"/>
  <c r="I15" i="1" s="1"/>
  <c r="E110" i="1"/>
  <c r="E111" i="1" s="1"/>
  <c r="E112" i="1" s="1"/>
  <c r="M98" i="1"/>
  <c r="M99" i="1" s="1"/>
  <c r="M114" i="1" s="1"/>
  <c r="M166" i="1" s="1"/>
  <c r="M178" i="1" s="1"/>
  <c r="K98" i="1"/>
  <c r="K99" i="1" s="1"/>
  <c r="K114" i="1" s="1"/>
  <c r="K166" i="1" s="1"/>
  <c r="K174" i="1" s="1"/>
  <c r="K2" i="1" s="1"/>
  <c r="K16" i="1" s="1"/>
  <c r="K216" i="1" s="1"/>
  <c r="I98" i="1"/>
  <c r="I99" i="1" s="1"/>
  <c r="I114" i="1" s="1"/>
  <c r="I166" i="1" s="1"/>
  <c r="I179" i="1" s="1"/>
  <c r="I181" i="1" s="1"/>
  <c r="I184" i="1" s="1"/>
  <c r="I143" i="1" s="1"/>
  <c r="I145" i="1" s="1"/>
  <c r="I146" i="1" s="1"/>
  <c r="I148" i="1" s="1"/>
  <c r="I26" i="1" s="1"/>
  <c r="I17" i="1" s="1"/>
  <c r="I159" i="1"/>
  <c r="I110" i="1"/>
  <c r="I111" i="1" s="1"/>
  <c r="I112" i="1" s="1"/>
  <c r="E98" i="1"/>
  <c r="E99" i="1" s="1"/>
  <c r="E114" i="1" s="1"/>
  <c r="M192" i="1"/>
  <c r="E164" i="1"/>
  <c r="E220" i="1"/>
  <c r="E215" i="1" s="1"/>
  <c r="E217" i="1" s="1"/>
  <c r="E206" i="1" s="1"/>
  <c r="E192" i="1"/>
  <c r="G165" i="1" l="1"/>
  <c r="G178" i="1"/>
  <c r="G179" i="1"/>
  <c r="G181" i="1" s="1"/>
  <c r="G184" i="1" s="1"/>
  <c r="G143" i="1" s="1"/>
  <c r="G145" i="1" s="1"/>
  <c r="G146" i="1" s="1"/>
  <c r="G148" i="1" s="1"/>
  <c r="G26" i="1" s="1"/>
  <c r="G17" i="1" s="1"/>
  <c r="K179" i="1"/>
  <c r="K181" i="1" s="1"/>
  <c r="K184" i="1" s="1"/>
  <c r="K143" i="1" s="1"/>
  <c r="K145" i="1" s="1"/>
  <c r="K146" i="1" s="1"/>
  <c r="K148" i="1" s="1"/>
  <c r="K26" i="1" s="1"/>
  <c r="K17" i="1" s="1"/>
  <c r="K178" i="1"/>
  <c r="I165" i="1"/>
  <c r="I174" i="1"/>
  <c r="I2" i="1" s="1"/>
  <c r="I16" i="1" s="1"/>
  <c r="I216" i="1" s="1"/>
  <c r="K165" i="1"/>
  <c r="I178" i="1"/>
  <c r="E166" i="1"/>
  <c r="E174" i="1" s="1"/>
  <c r="E2" i="1" s="1"/>
  <c r="E16" i="1" s="1"/>
  <c r="E216" i="1" s="1"/>
  <c r="M174" i="1"/>
  <c r="M2" i="1" s="1"/>
  <c r="M16" i="1" s="1"/>
  <c r="M216" i="1" s="1"/>
  <c r="M165" i="1"/>
  <c r="M179" i="1"/>
  <c r="M181" i="1" s="1"/>
  <c r="M184" i="1" s="1"/>
  <c r="M143" i="1" s="1"/>
  <c r="M145" i="1" s="1"/>
  <c r="M146" i="1" s="1"/>
  <c r="M148" i="1" s="1"/>
  <c r="M26" i="1" s="1"/>
  <c r="M17" i="1" s="1"/>
  <c r="E179" i="1" l="1"/>
  <c r="E181" i="1" s="1"/>
  <c r="E184" i="1" s="1"/>
  <c r="E143" i="1" s="1"/>
  <c r="E145" i="1" s="1"/>
  <c r="E146" i="1" s="1"/>
  <c r="E148" i="1" s="1"/>
  <c r="E26" i="1" s="1"/>
  <c r="E17" i="1" s="1"/>
  <c r="E165" i="1"/>
  <c r="E178" i="1"/>
</calcChain>
</file>

<file path=xl/sharedStrings.xml><?xml version="1.0" encoding="utf-8"?>
<sst xmlns="http://schemas.openxmlformats.org/spreadsheetml/2006/main" count="290" uniqueCount="179">
  <si>
    <t>Input</t>
  </si>
  <si>
    <t>Reference</t>
  </si>
  <si>
    <t>From Another Cell</t>
  </si>
  <si>
    <t xml:space="preserve">Range </t>
  </si>
  <si>
    <t>nm</t>
  </si>
  <si>
    <t>Guess</t>
  </si>
  <si>
    <t>BFL</t>
  </si>
  <si>
    <t>ft</t>
  </si>
  <si>
    <t>Section Header</t>
  </si>
  <si>
    <t>Seed Input</t>
  </si>
  <si>
    <t xml:space="preserve">Range Requirement </t>
  </si>
  <si>
    <t xml:space="preserve">BFL  Requirement </t>
  </si>
  <si>
    <t>Iterations</t>
  </si>
  <si>
    <t>Wing Area</t>
  </si>
  <si>
    <t>sq ft</t>
  </si>
  <si>
    <t>AR</t>
  </si>
  <si>
    <t>FN Guess</t>
  </si>
  <si>
    <t>lb</t>
  </si>
  <si>
    <t>W Fuel Guess</t>
  </si>
  <si>
    <t>Delta Weight Guess</t>
  </si>
  <si>
    <t>FN Calc</t>
  </si>
  <si>
    <t>W Fuel Calc</t>
  </si>
  <si>
    <t>Delta Weight Calc</t>
  </si>
  <si>
    <t>Setup</t>
  </si>
  <si>
    <t>MRamp (Max Ramp Weight)</t>
  </si>
  <si>
    <t>MZFW (Max Zero Fuel Weight)</t>
  </si>
  <si>
    <t>MLDW (Max Landing Weight)</t>
  </si>
  <si>
    <t>W Fuel</t>
  </si>
  <si>
    <t>Delta Weight Input</t>
  </si>
  <si>
    <t>Seed Empty Weight</t>
  </si>
  <si>
    <t>Empty Weight</t>
  </si>
  <si>
    <t>Payload Weight</t>
  </si>
  <si>
    <t>Maximum Payload Weight</t>
  </si>
  <si>
    <t xml:space="preserve">Wing </t>
  </si>
  <si>
    <t>Span (ref)</t>
  </si>
  <si>
    <t>Span Overall</t>
  </si>
  <si>
    <t>C/4 Sweep</t>
  </si>
  <si>
    <t>deg</t>
  </si>
  <si>
    <t>Taper</t>
  </si>
  <si>
    <t>Croot</t>
  </si>
  <si>
    <t>in</t>
  </si>
  <si>
    <t>MAC</t>
  </si>
  <si>
    <t>Ctip</t>
  </si>
  <si>
    <t>Wing Area Check</t>
  </si>
  <si>
    <t>Fuselage</t>
  </si>
  <si>
    <t>Length</t>
  </si>
  <si>
    <t>Diameter</t>
  </si>
  <si>
    <t>Nose Cone</t>
  </si>
  <si>
    <t>Tail Cone</t>
  </si>
  <si>
    <t>Htail</t>
  </si>
  <si>
    <t>Vtail</t>
  </si>
  <si>
    <t>N engines</t>
  </si>
  <si>
    <t>Takeoff Thrust (SL-ISA)</t>
  </si>
  <si>
    <t>T/W IPPS</t>
  </si>
  <si>
    <t>lb/lb</t>
  </si>
  <si>
    <t>W IPPS</t>
  </si>
  <si>
    <t>Fan Diameter</t>
  </si>
  <si>
    <t>Nacelle Diameter</t>
  </si>
  <si>
    <t>Nacelle Length</t>
  </si>
  <si>
    <t>SFC</t>
  </si>
  <si>
    <t>lb/lb-hr</t>
  </si>
  <si>
    <t>NULT</t>
  </si>
  <si>
    <t>T/C Ave</t>
  </si>
  <si>
    <t>EA Sweep</t>
  </si>
  <si>
    <t>Wing Structural Weight</t>
  </si>
  <si>
    <t>Wing Stuffed Weight</t>
  </si>
  <si>
    <t>Wetted Area</t>
  </si>
  <si>
    <t>Wing</t>
  </si>
  <si>
    <t>r Nose</t>
  </si>
  <si>
    <t>h Nose</t>
  </si>
  <si>
    <t>R</t>
  </si>
  <si>
    <t>D</t>
  </si>
  <si>
    <t>Tangent Ogive Area Nose</t>
  </si>
  <si>
    <t>sqft</t>
  </si>
  <si>
    <t>Barrel Section Area</t>
  </si>
  <si>
    <t>r Tail</t>
  </si>
  <si>
    <t>h Tail</t>
  </si>
  <si>
    <t>Tangent Ogive Area Tail</t>
  </si>
  <si>
    <t>Nacelle</t>
  </si>
  <si>
    <t>Total Wetted Area</t>
  </si>
  <si>
    <t>Swet/Sref</t>
  </si>
  <si>
    <t>Theta</t>
  </si>
  <si>
    <t>T ( R )</t>
  </si>
  <si>
    <t>Delta</t>
  </si>
  <si>
    <t>P</t>
  </si>
  <si>
    <t>Sigma</t>
  </si>
  <si>
    <t>p</t>
  </si>
  <si>
    <t>u</t>
  </si>
  <si>
    <t>v</t>
  </si>
  <si>
    <t>a</t>
  </si>
  <si>
    <t>Re/ft</t>
  </si>
  <si>
    <t>1/ft</t>
  </si>
  <si>
    <t>Re</t>
  </si>
  <si>
    <t>Cf calculated (re)</t>
  </si>
  <si>
    <t xml:space="preserve">cf (typical from Seed (cf = 0.0030)) </t>
  </si>
  <si>
    <t>Cdo</t>
  </si>
  <si>
    <t>Seed K</t>
  </si>
  <si>
    <t>Seed AR</t>
  </si>
  <si>
    <t>K</t>
  </si>
  <si>
    <t>Delta Weights</t>
  </si>
  <si>
    <t>Wing Weight</t>
  </si>
  <si>
    <t>Seed Wing Weight</t>
  </si>
  <si>
    <t>Delta Wing Weight</t>
  </si>
  <si>
    <t>Delta Fuselage Weight</t>
  </si>
  <si>
    <t>HTail Area Weight Trade</t>
  </si>
  <si>
    <t>lb/sq ft</t>
  </si>
  <si>
    <t>Seed HTail Area</t>
  </si>
  <si>
    <t>Delta Htail weight</t>
  </si>
  <si>
    <t>VTail Area Weight Trade</t>
  </si>
  <si>
    <t>Seed VTail Area</t>
  </si>
  <si>
    <t>Delta Vtail Weight</t>
  </si>
  <si>
    <t>IPPS (Integrated Power Plant system)</t>
  </si>
  <si>
    <t>Seed Takeoff thrust</t>
  </si>
  <si>
    <t>Seed T/W IPPS</t>
  </si>
  <si>
    <t>Seed Engine Weight</t>
  </si>
  <si>
    <t>TO Weight IPPS</t>
  </si>
  <si>
    <t>Climb Weight IPPS</t>
  </si>
  <si>
    <t>Engine Weight</t>
  </si>
  <si>
    <t>Delta Engine Weight</t>
  </si>
  <si>
    <t>Delta Weight</t>
  </si>
  <si>
    <t>Performance</t>
  </si>
  <si>
    <t>W at Top of Climb (TOC) /MRamp</t>
  </si>
  <si>
    <t>Top of Climb  Weight (WTOC)</t>
  </si>
  <si>
    <t>Altitude</t>
  </si>
  <si>
    <t>DISA</t>
  </si>
  <si>
    <t>C</t>
  </si>
  <si>
    <t>Mach</t>
  </si>
  <si>
    <t>q</t>
  </si>
  <si>
    <t>psf</t>
  </si>
  <si>
    <t>KTAS</t>
  </si>
  <si>
    <t>knots</t>
  </si>
  <si>
    <t>VTAS</t>
  </si>
  <si>
    <t>fps</t>
  </si>
  <si>
    <t>delta (P/P0)</t>
  </si>
  <si>
    <t>CL</t>
  </si>
  <si>
    <t>CD</t>
  </si>
  <si>
    <t>L/D</t>
  </si>
  <si>
    <t>Reserve Ratio</t>
  </si>
  <si>
    <t>Reserve Weight</t>
  </si>
  <si>
    <t>Useable Fuel</t>
  </si>
  <si>
    <t>K Range</t>
  </si>
  <si>
    <t>Range</t>
  </si>
  <si>
    <t>TOC Climb ROC</t>
  </si>
  <si>
    <t>fpm</t>
  </si>
  <si>
    <t>Cruise Drag</t>
  </si>
  <si>
    <t>TOC Thrust Req</t>
  </si>
  <si>
    <t>TOC Thrust/ Engine</t>
  </si>
  <si>
    <t>Thrust Lapse</t>
  </si>
  <si>
    <t>lb/ft</t>
  </si>
  <si>
    <t>TO thrust Equivalent</t>
  </si>
  <si>
    <t>KTO</t>
  </si>
  <si>
    <t>Wing Loading</t>
  </si>
  <si>
    <t>CLMAx</t>
  </si>
  <si>
    <t>T/W</t>
  </si>
  <si>
    <t>Landing</t>
  </si>
  <si>
    <t>WLanding/WTO</t>
  </si>
  <si>
    <t>CLMax Landing</t>
  </si>
  <si>
    <t>Wland/S</t>
  </si>
  <si>
    <t>K Landing</t>
  </si>
  <si>
    <t>Sair (Landing Air Distance)</t>
  </si>
  <si>
    <t>Mu</t>
  </si>
  <si>
    <t>Slanding</t>
  </si>
  <si>
    <t>Landing Req</t>
  </si>
  <si>
    <t>Calc Max Landing Weight</t>
  </si>
  <si>
    <t>Calc Max Landing Weight Frac</t>
  </si>
  <si>
    <t>Calc Max Landing Weight Wing Loading</t>
  </si>
  <si>
    <t>Theta_ISA</t>
  </si>
  <si>
    <t>idk</t>
  </si>
  <si>
    <t>Fuselage Weight Trade</t>
  </si>
  <si>
    <t>Seed Fuse Wetted Area</t>
  </si>
  <si>
    <t>Wind Loading Landing</t>
  </si>
  <si>
    <t>Descent Clearance</t>
  </si>
  <si>
    <t>Vstall</t>
  </si>
  <si>
    <t>ft/s</t>
  </si>
  <si>
    <t>Landing Weight</t>
  </si>
  <si>
    <t>Va</t>
  </si>
  <si>
    <t>A-10 BASE</t>
  </si>
  <si>
    <t>SFC .45</t>
  </si>
  <si>
    <t>SFC 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</si>
</sst>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7030A0"/>
        <bgColor rgb="FF993366"/>
      </patternFill>
    </fill>
    <fill>
      <patternFill patternType="solid">
        <fgColor rgb="FFFFFF00"/>
        <bgColor rgb="FF000000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D9E1F2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4" tint="0.59999389629810485"/>
        <bgColor rgb="FF993366"/>
      </patternFill>
    </fill>
    <fill>
      <patternFill patternType="solid">
        <fgColor theme="4" tint="-0.249977111117893"/>
        <bgColor rgb="FFC0C0C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14" borderId="4" applyNumberFormat="0" applyAlignment="0" applyProtection="0"/>
  </cellStyleXfs>
  <cellXfs count="50">
    <xf numFmtId="0" fontId="0" fillId="0" borderId="0" xfId="0"/>
    <xf numFmtId="16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6" fontId="0" fillId="0" borderId="0" xfId="0" applyNumberFormat="1"/>
    <xf numFmtId="0" fontId="0" fillId="0" borderId="0" xfId="0" applyFill="1"/>
    <xf numFmtId="21" fontId="0" fillId="0" borderId="0" xfId="0" applyNumberFormat="1"/>
    <xf numFmtId="0" fontId="1" fillId="0" borderId="0" xfId="0" applyFont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7" borderId="0" xfId="0" applyFont="1" applyFill="1"/>
    <xf numFmtId="0" fontId="1" fillId="12" borderId="0" xfId="0" applyFont="1" applyFill="1"/>
    <xf numFmtId="0" fontId="2" fillId="0" borderId="0" xfId="0" applyFont="1"/>
    <xf numFmtId="0" fontId="2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1" fillId="13" borderId="0" xfId="0" applyFont="1" applyFill="1"/>
    <xf numFmtId="0" fontId="1" fillId="0" borderId="0" xfId="0" applyFont="1" applyBorder="1"/>
    <xf numFmtId="0" fontId="1" fillId="20" borderId="5" xfId="0" applyFont="1" applyFill="1" applyBorder="1" applyAlignment="1">
      <alignment horizontal="center"/>
    </xf>
    <xf numFmtId="0" fontId="1" fillId="15" borderId="5" xfId="0" applyFont="1" applyFill="1" applyBorder="1"/>
    <xf numFmtId="0" fontId="1" fillId="16" borderId="5" xfId="0" applyFont="1" applyFill="1" applyBorder="1"/>
    <xf numFmtId="0" fontId="1" fillId="17" borderId="5" xfId="0" applyFont="1" applyFill="1" applyBorder="1"/>
    <xf numFmtId="0" fontId="1" fillId="18" borderId="5" xfId="0" applyFont="1" applyFill="1" applyBorder="1"/>
    <xf numFmtId="0" fontId="2" fillId="15" borderId="5" xfId="0" applyFont="1" applyFill="1" applyBorder="1"/>
    <xf numFmtId="0" fontId="3" fillId="15" borderId="5" xfId="0" applyFont="1" applyFill="1" applyBorder="1"/>
    <xf numFmtId="11" fontId="1" fillId="15" borderId="5" xfId="0" applyNumberFormat="1" applyFont="1" applyFill="1" applyBorder="1"/>
    <xf numFmtId="4" fontId="1" fillId="19" borderId="5" xfId="0" applyNumberFormat="1" applyFont="1" applyFill="1" applyBorder="1"/>
    <xf numFmtId="0" fontId="1" fillId="19" borderId="5" xfId="0" applyFont="1" applyFill="1" applyBorder="1"/>
    <xf numFmtId="0" fontId="0" fillId="15" borderId="5" xfId="0" applyFill="1" applyBorder="1"/>
    <xf numFmtId="0" fontId="0" fillId="0" borderId="6" xfId="0" applyBorder="1"/>
    <xf numFmtId="0" fontId="0" fillId="15" borderId="7" xfId="0" applyFill="1" applyBorder="1"/>
    <xf numFmtId="0" fontId="1" fillId="20" borderId="5" xfId="0" applyFont="1" applyFill="1" applyBorder="1" applyAlignment="1"/>
    <xf numFmtId="0" fontId="1" fillId="15" borderId="5" xfId="0" applyFont="1" applyFill="1" applyBorder="1" applyAlignment="1"/>
    <xf numFmtId="0" fontId="1" fillId="16" borderId="5" xfId="0" applyFont="1" applyFill="1" applyBorder="1" applyAlignment="1"/>
    <xf numFmtId="0" fontId="1" fillId="17" borderId="5" xfId="0" applyFont="1" applyFill="1" applyBorder="1" applyAlignment="1"/>
    <xf numFmtId="0" fontId="1" fillId="18" borderId="5" xfId="0" applyFont="1" applyFill="1" applyBorder="1" applyAlignment="1"/>
    <xf numFmtId="0" fontId="2" fillId="15" borderId="5" xfId="0" applyFont="1" applyFill="1" applyBorder="1" applyAlignment="1"/>
    <xf numFmtId="0" fontId="3" fillId="15" borderId="5" xfId="0" applyFont="1" applyFill="1" applyBorder="1" applyAlignment="1"/>
    <xf numFmtId="11" fontId="1" fillId="15" borderId="5" xfId="0" applyNumberFormat="1" applyFont="1" applyFill="1" applyBorder="1" applyAlignment="1"/>
    <xf numFmtId="4" fontId="1" fillId="19" borderId="5" xfId="0" applyNumberFormat="1" applyFont="1" applyFill="1" applyBorder="1" applyAlignment="1"/>
    <xf numFmtId="0" fontId="1" fillId="19" borderId="5" xfId="0" applyFont="1" applyFill="1" applyBorder="1" applyAlignment="1"/>
    <xf numFmtId="0" fontId="0" fillId="15" borderId="5" xfId="0" applyFill="1" applyBorder="1" applyAlignment="1"/>
    <xf numFmtId="0" fontId="0" fillId="15" borderId="7" xfId="0" applyFill="1" applyBorder="1" applyAlignment="1"/>
    <xf numFmtId="0" fontId="0" fillId="0" borderId="0" xfId="0" applyFill="1" applyBorder="1"/>
    <xf numFmtId="0" fontId="4" fillId="14" borderId="4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6E93-3F14-49E1-9589-EA5B1DA98B47}">
  <dimension ref="A1:M223"/>
  <sheetViews>
    <sheetView tabSelected="1" topLeftCell="A25" zoomScaleNormal="100" workbookViewId="0">
      <selection activeCell="D197" sqref="D197"/>
    </sheetView>
  </sheetViews>
  <sheetFormatPr defaultRowHeight="15" x14ac:dyDescent="0.25"/>
  <cols>
    <col min="1" max="1" width="17.42578125" bestFit="1" customWidth="1"/>
    <col min="3" max="3" width="26.140625" customWidth="1"/>
    <col min="5" max="5" width="15.5703125" style="46" customWidth="1"/>
    <col min="6" max="6" width="9.28515625" customWidth="1"/>
    <col min="7" max="7" width="15.5703125" style="33" customWidth="1"/>
    <col min="9" max="9" width="15.5703125" style="33" customWidth="1"/>
    <col min="11" max="11" width="15.5703125" style="33" customWidth="1"/>
    <col min="13" max="13" width="15.5703125" style="33" customWidth="1"/>
  </cols>
  <sheetData>
    <row r="1" spans="1:13" x14ac:dyDescent="0.25">
      <c r="A1" s="1" t="s">
        <v>0</v>
      </c>
      <c r="C1" s="9" t="s">
        <v>1</v>
      </c>
      <c r="D1" s="9"/>
      <c r="E1" s="36" t="s">
        <v>176</v>
      </c>
      <c r="G1" s="23" t="s">
        <v>177</v>
      </c>
      <c r="I1" s="23" t="s">
        <v>178</v>
      </c>
      <c r="K1" s="23" t="s">
        <v>153</v>
      </c>
      <c r="M1" s="23" t="s">
        <v>153</v>
      </c>
    </row>
    <row r="2" spans="1:13" x14ac:dyDescent="0.25">
      <c r="A2" s="2" t="s">
        <v>2</v>
      </c>
      <c r="C2" s="10" t="s">
        <v>3</v>
      </c>
      <c r="D2" s="9" t="s">
        <v>4</v>
      </c>
      <c r="E2" s="37">
        <f>E174</f>
        <v>-135.18597750404032</v>
      </c>
      <c r="G2" s="24">
        <f>G174</f>
        <v>-109.05002185325918</v>
      </c>
      <c r="I2" s="24">
        <f>I174</f>
        <v>-163.57503277988877</v>
      </c>
      <c r="K2" s="24">
        <f>K174</f>
        <v>-135.18597750404032</v>
      </c>
      <c r="M2" s="24">
        <f>M174</f>
        <v>-135.18597750404032</v>
      </c>
    </row>
    <row r="3" spans="1:13" x14ac:dyDescent="0.25">
      <c r="A3" s="3" t="s">
        <v>5</v>
      </c>
      <c r="C3" s="10" t="s">
        <v>6</v>
      </c>
      <c r="D3" s="9" t="s">
        <v>7</v>
      </c>
      <c r="E3" s="37">
        <f>E202</f>
        <v>882.50529411764705</v>
      </c>
      <c r="G3" s="24">
        <f>G202</f>
        <v>882.50529411764705</v>
      </c>
      <c r="I3" s="24">
        <f>I202</f>
        <v>882.50529411764705</v>
      </c>
      <c r="K3" s="24">
        <f>K202</f>
        <v>882.50529411764705</v>
      </c>
      <c r="M3" s="24">
        <f>M202</f>
        <v>882.50529411764705</v>
      </c>
    </row>
    <row r="4" spans="1:13" x14ac:dyDescent="0.25">
      <c r="A4" s="4" t="s">
        <v>8</v>
      </c>
      <c r="C4" s="9"/>
      <c r="D4" s="9"/>
      <c r="E4" s="37"/>
      <c r="G4" s="24"/>
      <c r="I4" s="24"/>
      <c r="K4" s="24"/>
      <c r="M4" s="24"/>
    </row>
    <row r="5" spans="1:13" x14ac:dyDescent="0.25">
      <c r="A5" s="5" t="s">
        <v>9</v>
      </c>
      <c r="C5" s="11" t="s">
        <v>10</v>
      </c>
      <c r="D5" s="9" t="s">
        <v>4</v>
      </c>
      <c r="E5" s="38">
        <v>1000</v>
      </c>
      <c r="G5" s="25">
        <v>1000</v>
      </c>
      <c r="I5" s="25">
        <v>1000</v>
      </c>
      <c r="K5" s="25">
        <v>1000</v>
      </c>
      <c r="M5" s="25">
        <v>1000</v>
      </c>
    </row>
    <row r="6" spans="1:13" x14ac:dyDescent="0.25">
      <c r="A6" s="48"/>
      <c r="C6" s="11" t="s">
        <v>11</v>
      </c>
      <c r="D6" s="9" t="s">
        <v>7</v>
      </c>
      <c r="E6" s="38">
        <v>4000</v>
      </c>
      <c r="G6" s="25">
        <v>4000</v>
      </c>
      <c r="I6" s="25">
        <v>4000</v>
      </c>
      <c r="K6" s="25">
        <v>4000</v>
      </c>
      <c r="M6" s="25">
        <v>4000</v>
      </c>
    </row>
    <row r="7" spans="1:13" x14ac:dyDescent="0.25">
      <c r="A7" s="48"/>
      <c r="C7" s="9"/>
      <c r="D7" s="9"/>
      <c r="E7" s="37"/>
      <c r="G7" s="24"/>
      <c r="I7" s="24"/>
      <c r="K7" s="24"/>
      <c r="M7" s="24"/>
    </row>
    <row r="8" spans="1:13" x14ac:dyDescent="0.25">
      <c r="C8" s="12" t="s">
        <v>12</v>
      </c>
      <c r="D8" s="9"/>
      <c r="E8" s="37"/>
      <c r="G8" s="24"/>
      <c r="I8" s="24"/>
      <c r="K8" s="24"/>
      <c r="M8" s="24"/>
    </row>
    <row r="9" spans="1:13" x14ac:dyDescent="0.25">
      <c r="C9" s="11" t="s">
        <v>13</v>
      </c>
      <c r="D9" s="9" t="s">
        <v>14</v>
      </c>
      <c r="E9" s="37">
        <v>1000</v>
      </c>
      <c r="G9" s="24">
        <v>1000</v>
      </c>
      <c r="I9" s="24">
        <v>1000</v>
      </c>
      <c r="K9" s="24">
        <v>1000</v>
      </c>
      <c r="M9" s="24">
        <v>1000</v>
      </c>
    </row>
    <row r="10" spans="1:13" x14ac:dyDescent="0.25">
      <c r="C10" s="11" t="s">
        <v>15</v>
      </c>
      <c r="D10" s="9"/>
      <c r="E10" s="37">
        <v>8</v>
      </c>
      <c r="G10" s="24">
        <v>8</v>
      </c>
      <c r="I10" s="24">
        <v>8</v>
      </c>
      <c r="K10" s="24">
        <v>8</v>
      </c>
      <c r="M10" s="24">
        <v>8</v>
      </c>
    </row>
    <row r="11" spans="1:13" x14ac:dyDescent="0.25">
      <c r="C11" s="13" t="s">
        <v>16</v>
      </c>
      <c r="D11" s="9" t="s">
        <v>17</v>
      </c>
      <c r="E11" s="37">
        <v>10000</v>
      </c>
      <c r="G11" s="24">
        <v>10000</v>
      </c>
      <c r="I11" s="24">
        <v>10000</v>
      </c>
      <c r="K11" s="24">
        <v>10000</v>
      </c>
      <c r="M11" s="24">
        <v>10000</v>
      </c>
    </row>
    <row r="12" spans="1:13" x14ac:dyDescent="0.25">
      <c r="C12" s="13" t="s">
        <v>18</v>
      </c>
      <c r="D12" s="9" t="s">
        <v>17</v>
      </c>
      <c r="E12" s="37">
        <v>1000</v>
      </c>
      <c r="G12" s="24">
        <v>1000</v>
      </c>
      <c r="I12" s="24">
        <v>1000</v>
      </c>
      <c r="K12" s="24">
        <v>1000</v>
      </c>
      <c r="M12" s="24">
        <v>1000</v>
      </c>
    </row>
    <row r="13" spans="1:13" x14ac:dyDescent="0.25">
      <c r="C13" s="13" t="s">
        <v>19</v>
      </c>
      <c r="D13" s="9" t="s">
        <v>17</v>
      </c>
      <c r="E13" s="37">
        <v>100</v>
      </c>
      <c r="G13" s="24">
        <v>100</v>
      </c>
      <c r="I13" s="24">
        <v>100</v>
      </c>
      <c r="K13" s="24">
        <v>100</v>
      </c>
      <c r="M13" s="24">
        <v>100</v>
      </c>
    </row>
    <row r="14" spans="1:13" x14ac:dyDescent="0.25">
      <c r="C14" s="9"/>
      <c r="D14" s="9"/>
      <c r="E14" s="37"/>
      <c r="G14" s="24"/>
      <c r="I14" s="24"/>
      <c r="K14" s="24"/>
      <c r="M14" s="24"/>
    </row>
    <row r="15" spans="1:13" x14ac:dyDescent="0.25">
      <c r="C15" s="9" t="s">
        <v>20</v>
      </c>
      <c r="D15" s="9" t="s">
        <v>17</v>
      </c>
      <c r="E15" s="37">
        <f>E3/E6*E11</f>
        <v>2206.2632352941173</v>
      </c>
      <c r="G15" s="24">
        <f>G3/G6*G11</f>
        <v>2206.2632352941173</v>
      </c>
      <c r="I15" s="24">
        <f>I3/I6*I11</f>
        <v>2206.2632352941173</v>
      </c>
      <c r="K15" s="24">
        <f>K3/K6*K11</f>
        <v>2206.2632352941173</v>
      </c>
      <c r="M15" s="24">
        <f>M3/M6*M11</f>
        <v>2206.2632352941173</v>
      </c>
    </row>
    <row r="16" spans="1:13" x14ac:dyDescent="0.25">
      <c r="C16" s="9" t="s">
        <v>21</v>
      </c>
      <c r="D16" s="9" t="s">
        <v>17</v>
      </c>
      <c r="E16" s="37">
        <f>E5/E2*E171+E170</f>
        <v>3981.0120062333394</v>
      </c>
      <c r="G16" s="24">
        <f>G5/G2*G171+G170</f>
        <v>4610.3867845867844</v>
      </c>
      <c r="I16" s="24">
        <f>I5/I2*I171+I170</f>
        <v>3525.2578563911898</v>
      </c>
      <c r="K16" s="24">
        <f>K5/K2*K171+K170</f>
        <v>3981.0120062333394</v>
      </c>
      <c r="M16" s="24">
        <f>M5/M2*M171+M170</f>
        <v>3981.0120062333394</v>
      </c>
    </row>
    <row r="17" spans="3:13" x14ac:dyDescent="0.25">
      <c r="C17" s="10" t="s">
        <v>22</v>
      </c>
      <c r="D17" s="9" t="s">
        <v>17</v>
      </c>
      <c r="E17" s="37">
        <f>E26</f>
        <v>6016.4514129457975</v>
      </c>
      <c r="G17" s="24">
        <f>G26</f>
        <v>6016.4514129457975</v>
      </c>
      <c r="I17" s="24">
        <f>I26</f>
        <v>6016.4514129457975</v>
      </c>
      <c r="K17" s="24">
        <f>K26</f>
        <v>6831.7380371496192</v>
      </c>
      <c r="M17" s="24">
        <f>M26</f>
        <v>5688.880894292477</v>
      </c>
    </row>
    <row r="18" spans="3:13" x14ac:dyDescent="0.25">
      <c r="C18" s="9"/>
      <c r="D18" s="9"/>
      <c r="E18" s="37"/>
      <c r="G18" s="24"/>
      <c r="I18" s="24"/>
      <c r="K18" s="24"/>
      <c r="M18" s="24"/>
    </row>
    <row r="19" spans="3:13" x14ac:dyDescent="0.25">
      <c r="C19" s="12" t="s">
        <v>23</v>
      </c>
      <c r="D19" s="9"/>
      <c r="E19" s="37"/>
      <c r="G19" s="24"/>
      <c r="I19" s="24"/>
      <c r="K19" s="24"/>
      <c r="M19" s="24"/>
    </row>
    <row r="20" spans="3:13" x14ac:dyDescent="0.25">
      <c r="C20" s="9" t="s">
        <v>24</v>
      </c>
      <c r="D20" s="9" t="s">
        <v>17</v>
      </c>
      <c r="E20" s="37">
        <f>E23+E29+E30</f>
        <v>28100</v>
      </c>
      <c r="G20" s="24">
        <f>G23+G29+G30</f>
        <v>28100</v>
      </c>
      <c r="I20" s="24">
        <f>I23+I29+I30</f>
        <v>28100</v>
      </c>
      <c r="K20" s="24">
        <f>K23+K29+K30</f>
        <v>28100</v>
      </c>
      <c r="M20" s="24">
        <f>M23+M29+M30</f>
        <v>28100</v>
      </c>
    </row>
    <row r="21" spans="3:13" x14ac:dyDescent="0.25">
      <c r="C21" s="9" t="s">
        <v>25</v>
      </c>
      <c r="D21" s="9" t="s">
        <v>17</v>
      </c>
      <c r="E21" s="37">
        <f>E29+E31</f>
        <v>29100</v>
      </c>
      <c r="G21" s="24">
        <f>G29+G31</f>
        <v>29100</v>
      </c>
      <c r="I21" s="24">
        <f>I29+I31</f>
        <v>29100</v>
      </c>
      <c r="K21" s="24">
        <f>K29+K31</f>
        <v>29100</v>
      </c>
      <c r="M21" s="24">
        <f>M29+M31</f>
        <v>29100</v>
      </c>
    </row>
    <row r="22" spans="3:13" x14ac:dyDescent="0.25">
      <c r="C22" s="9" t="s">
        <v>26</v>
      </c>
      <c r="D22" s="9" t="s">
        <v>17</v>
      </c>
      <c r="E22" s="37">
        <f>0.875*E20</f>
        <v>24587.5</v>
      </c>
      <c r="G22" s="24">
        <f>0.875*G20</f>
        <v>24587.5</v>
      </c>
      <c r="I22" s="24">
        <f>0.875*I20</f>
        <v>24587.5</v>
      </c>
      <c r="K22" s="24">
        <f>0.875*K20</f>
        <v>24587.5</v>
      </c>
      <c r="M22" s="24">
        <f>0.875*M20</f>
        <v>24587.5</v>
      </c>
    </row>
    <row r="23" spans="3:13" x14ac:dyDescent="0.25">
      <c r="C23" s="10" t="s">
        <v>27</v>
      </c>
      <c r="D23" s="9" t="s">
        <v>17</v>
      </c>
      <c r="E23" s="37">
        <f>E12</f>
        <v>1000</v>
      </c>
      <c r="G23" s="24">
        <f>G12</f>
        <v>1000</v>
      </c>
      <c r="I23" s="24">
        <f>I12</f>
        <v>1000</v>
      </c>
      <c r="K23" s="24">
        <f>K12</f>
        <v>1000</v>
      </c>
      <c r="M23" s="24">
        <f>M12</f>
        <v>1000</v>
      </c>
    </row>
    <row r="24" spans="3:13" x14ac:dyDescent="0.25">
      <c r="C24" s="9"/>
      <c r="D24" s="9"/>
      <c r="E24" s="37"/>
      <c r="G24" s="24"/>
      <c r="I24" s="24"/>
      <c r="K24" s="24"/>
      <c r="M24" s="24"/>
    </row>
    <row r="25" spans="3:13" x14ac:dyDescent="0.25">
      <c r="C25" s="10" t="s">
        <v>28</v>
      </c>
      <c r="D25" s="9" t="s">
        <v>17</v>
      </c>
      <c r="E25" s="37">
        <f>E13</f>
        <v>100</v>
      </c>
      <c r="G25" s="24">
        <f>G13</f>
        <v>100</v>
      </c>
      <c r="I25" s="24">
        <f>I13</f>
        <v>100</v>
      </c>
      <c r="K25" s="24">
        <f>K13</f>
        <v>100</v>
      </c>
      <c r="M25" s="24">
        <f>M13</f>
        <v>100</v>
      </c>
    </row>
    <row r="26" spans="3:13" x14ac:dyDescent="0.25">
      <c r="C26" s="10" t="s">
        <v>22</v>
      </c>
      <c r="D26" s="9" t="s">
        <v>17</v>
      </c>
      <c r="E26" s="37">
        <f>E148</f>
        <v>6016.4514129457975</v>
      </c>
      <c r="G26" s="24">
        <f>G148</f>
        <v>6016.4514129457975</v>
      </c>
      <c r="I26" s="24">
        <f>I148</f>
        <v>6016.4514129457975</v>
      </c>
      <c r="K26" s="24">
        <f>K148</f>
        <v>6831.7380371496192</v>
      </c>
      <c r="M26" s="24">
        <f>M148</f>
        <v>5688.880894292477</v>
      </c>
    </row>
    <row r="27" spans="3:13" x14ac:dyDescent="0.25">
      <c r="C27" s="9"/>
      <c r="D27" s="9"/>
      <c r="E27" s="37"/>
      <c r="G27" s="24"/>
      <c r="I27" s="24"/>
      <c r="K27" s="24"/>
      <c r="M27" s="24"/>
    </row>
    <row r="28" spans="3:13" x14ac:dyDescent="0.25">
      <c r="C28" s="14" t="s">
        <v>29</v>
      </c>
      <c r="D28" s="9" t="s">
        <v>17</v>
      </c>
      <c r="E28" s="37">
        <v>23000</v>
      </c>
      <c r="G28" s="24">
        <v>23000</v>
      </c>
      <c r="I28" s="24">
        <v>23000</v>
      </c>
      <c r="K28" s="24">
        <v>23000</v>
      </c>
      <c r="M28" s="24">
        <v>23000</v>
      </c>
    </row>
    <row r="29" spans="3:13" x14ac:dyDescent="0.25">
      <c r="C29" s="9" t="s">
        <v>30</v>
      </c>
      <c r="D29" s="9" t="s">
        <v>17</v>
      </c>
      <c r="E29" s="37">
        <f>E28+E13</f>
        <v>23100</v>
      </c>
      <c r="G29" s="24">
        <f>G28+G13</f>
        <v>23100</v>
      </c>
      <c r="I29" s="24">
        <f>I28+I13</f>
        <v>23100</v>
      </c>
      <c r="K29" s="24">
        <f>K28+K13</f>
        <v>23100</v>
      </c>
      <c r="M29" s="24">
        <f>M28+M13</f>
        <v>23100</v>
      </c>
    </row>
    <row r="30" spans="3:13" x14ac:dyDescent="0.25">
      <c r="C30" s="11" t="s">
        <v>31</v>
      </c>
      <c r="D30" s="9" t="s">
        <v>17</v>
      </c>
      <c r="E30" s="37">
        <v>4000</v>
      </c>
      <c r="G30" s="24">
        <v>4000</v>
      </c>
      <c r="I30" s="24">
        <v>4000</v>
      </c>
      <c r="K30" s="24">
        <v>4000</v>
      </c>
      <c r="M30" s="24">
        <v>4000</v>
      </c>
    </row>
    <row r="31" spans="3:13" x14ac:dyDescent="0.25">
      <c r="C31" s="11" t="s">
        <v>32</v>
      </c>
      <c r="D31" s="9" t="s">
        <v>17</v>
      </c>
      <c r="E31" s="38">
        <v>6000</v>
      </c>
      <c r="G31" s="25">
        <v>6000</v>
      </c>
      <c r="I31" s="25">
        <v>6000</v>
      </c>
      <c r="K31" s="25">
        <v>6000</v>
      </c>
      <c r="M31" s="25">
        <v>6000</v>
      </c>
    </row>
    <row r="32" spans="3:13" x14ac:dyDescent="0.25">
      <c r="C32" s="9"/>
      <c r="D32" s="9"/>
      <c r="E32" s="37"/>
      <c r="G32" s="24"/>
      <c r="I32" s="24"/>
      <c r="K32" s="24"/>
      <c r="M32" s="24"/>
    </row>
    <row r="33" spans="3:13" x14ac:dyDescent="0.25">
      <c r="C33" s="9" t="s">
        <v>33</v>
      </c>
      <c r="D33" s="9"/>
      <c r="E33" s="37"/>
      <c r="G33" s="24"/>
      <c r="I33" s="24"/>
      <c r="K33" s="24"/>
      <c r="M33" s="24"/>
    </row>
    <row r="34" spans="3:13" x14ac:dyDescent="0.25">
      <c r="C34" s="10" t="s">
        <v>13</v>
      </c>
      <c r="D34" s="9" t="s">
        <v>14</v>
      </c>
      <c r="E34" s="37">
        <f>E9</f>
        <v>1000</v>
      </c>
      <c r="G34" s="24">
        <f>G9</f>
        <v>1000</v>
      </c>
      <c r="I34" s="24">
        <f>I9</f>
        <v>1000</v>
      </c>
      <c r="K34" s="24">
        <f>K9</f>
        <v>1000</v>
      </c>
      <c r="M34" s="24">
        <f>M9</f>
        <v>1000</v>
      </c>
    </row>
    <row r="35" spans="3:13" x14ac:dyDescent="0.25">
      <c r="C35" s="9" t="s">
        <v>34</v>
      </c>
      <c r="D35" s="9" t="s">
        <v>7</v>
      </c>
      <c r="E35" s="37">
        <f>SQRT(E9*E10)</f>
        <v>89.442719099991592</v>
      </c>
      <c r="G35" s="24">
        <f>SQRT(G9*G10)</f>
        <v>89.442719099991592</v>
      </c>
      <c r="I35" s="24">
        <f>SQRT(I9*I10)</f>
        <v>89.442719099991592</v>
      </c>
      <c r="K35" s="24">
        <f>SQRT(K9*K10)</f>
        <v>89.442719099991592</v>
      </c>
      <c r="M35" s="24">
        <f>SQRT(M9*M10)</f>
        <v>89.442719099991592</v>
      </c>
    </row>
    <row r="36" spans="3:13" x14ac:dyDescent="0.25">
      <c r="C36" s="9" t="s">
        <v>35</v>
      </c>
      <c r="D36" s="9" t="s">
        <v>7</v>
      </c>
      <c r="E36" s="37">
        <f>1.04*E35</f>
        <v>93.020427863991259</v>
      </c>
      <c r="G36" s="24">
        <f>1.04*G35</f>
        <v>93.020427863991259</v>
      </c>
      <c r="I36" s="24">
        <f>1.04*I35</f>
        <v>93.020427863991259</v>
      </c>
      <c r="K36" s="24">
        <f>1.04*K35</f>
        <v>93.020427863991259</v>
      </c>
      <c r="M36" s="24">
        <f>1.04*M35</f>
        <v>93.020427863991259</v>
      </c>
    </row>
    <row r="37" spans="3:13" x14ac:dyDescent="0.25">
      <c r="C37" s="11" t="s">
        <v>36</v>
      </c>
      <c r="D37" s="9" t="s">
        <v>37</v>
      </c>
      <c r="E37" s="38">
        <v>0</v>
      </c>
      <c r="G37" s="25">
        <v>0</v>
      </c>
      <c r="I37" s="25">
        <v>0</v>
      </c>
      <c r="K37" s="25">
        <v>0</v>
      </c>
      <c r="M37" s="25">
        <v>0</v>
      </c>
    </row>
    <row r="38" spans="3:13" x14ac:dyDescent="0.25">
      <c r="C38" s="11" t="s">
        <v>38</v>
      </c>
      <c r="D38" s="9"/>
      <c r="E38" s="38">
        <v>0.75</v>
      </c>
      <c r="G38" s="25">
        <v>0.75</v>
      </c>
      <c r="I38" s="25">
        <v>0.75</v>
      </c>
      <c r="K38" s="25">
        <v>0.75</v>
      </c>
      <c r="M38" s="25">
        <v>0.75</v>
      </c>
    </row>
    <row r="39" spans="3:13" x14ac:dyDescent="0.25">
      <c r="C39" s="9" t="s">
        <v>39</v>
      </c>
      <c r="D39" s="9" t="s">
        <v>40</v>
      </c>
      <c r="E39" s="37">
        <f>E34/E35*2/(1+E38)*12</f>
        <v>153.33037559998556</v>
      </c>
      <c r="G39" s="24">
        <f>G34/G35*2/(1+G38)*12</f>
        <v>153.33037559998556</v>
      </c>
      <c r="I39" s="24">
        <f>I34/I35*2/(1+I38)*12</f>
        <v>153.33037559998556</v>
      </c>
      <c r="K39" s="24">
        <f>K34/K35*2/(1+K38)*12</f>
        <v>153.33037559998556</v>
      </c>
      <c r="M39" s="24">
        <f>M34/M35*2/(1+M38)*12</f>
        <v>153.33037559998556</v>
      </c>
    </row>
    <row r="40" spans="3:13" x14ac:dyDescent="0.25">
      <c r="C40" s="9" t="s">
        <v>41</v>
      </c>
      <c r="D40" s="9" t="s">
        <v>40</v>
      </c>
      <c r="E40" s="37">
        <f>2/3*E39*((1+E38+E38^2)/(1+E38))</f>
        <v>135.07675945713012</v>
      </c>
      <c r="G40" s="24">
        <f>2/3*G39*((1+G38+G38^2)/(1+G38))</f>
        <v>135.07675945713012</v>
      </c>
      <c r="I40" s="24">
        <f>2/3*I39*((1+I38+I38^2)/(1+I38))</f>
        <v>135.07675945713012</v>
      </c>
      <c r="K40" s="24">
        <f>2/3*K39*((1+K38+K38^2)/(1+K38))</f>
        <v>135.07675945713012</v>
      </c>
      <c r="M40" s="24">
        <f>2/3*M39*((1+M38+M38^2)/(1+M38))</f>
        <v>135.07675945713012</v>
      </c>
    </row>
    <row r="41" spans="3:13" x14ac:dyDescent="0.25">
      <c r="C41" s="9" t="s">
        <v>42</v>
      </c>
      <c r="D41" s="9" t="s">
        <v>40</v>
      </c>
      <c r="E41" s="37">
        <f>E39*E38</f>
        <v>114.99778169998916</v>
      </c>
      <c r="G41" s="24">
        <f>G39*G38</f>
        <v>114.99778169998916</v>
      </c>
      <c r="I41" s="24">
        <f>I39*I38</f>
        <v>114.99778169998916</v>
      </c>
      <c r="K41" s="24">
        <f>K39*K38</f>
        <v>114.99778169998916</v>
      </c>
      <c r="M41" s="24">
        <f>M39*M38</f>
        <v>114.99778169998916</v>
      </c>
    </row>
    <row r="42" spans="3:13" x14ac:dyDescent="0.25">
      <c r="C42" s="9" t="s">
        <v>43</v>
      </c>
      <c r="D42" s="9" t="s">
        <v>14</v>
      </c>
      <c r="E42" s="37">
        <f>(E41+E39)/(2*12)*E35</f>
        <v>999.99999999999977</v>
      </c>
      <c r="G42" s="24">
        <f>(G41+G39)/(2*12)*G35</f>
        <v>999.99999999999977</v>
      </c>
      <c r="I42" s="24">
        <f>(I41+I39)/(2*12)*I35</f>
        <v>999.99999999999977</v>
      </c>
      <c r="K42" s="24">
        <f>(K41+K39)/(2*12)*K35</f>
        <v>999.99999999999977</v>
      </c>
      <c r="M42" s="24">
        <f>(M41+M39)/(2*12)*M35</f>
        <v>999.99999999999977</v>
      </c>
    </row>
    <row r="43" spans="3:13" x14ac:dyDescent="0.25">
      <c r="C43" s="10" t="s">
        <v>15</v>
      </c>
      <c r="D43" s="9"/>
      <c r="E43" s="37">
        <f>E10</f>
        <v>8</v>
      </c>
      <c r="G43" s="24">
        <f>G10</f>
        <v>8</v>
      </c>
      <c r="I43" s="24">
        <f>I10</f>
        <v>8</v>
      </c>
      <c r="K43" s="24">
        <f>K10</f>
        <v>8</v>
      </c>
      <c r="M43" s="24">
        <f>M10</f>
        <v>8</v>
      </c>
    </row>
    <row r="44" spans="3:13" x14ac:dyDescent="0.25">
      <c r="C44" s="9"/>
      <c r="D44" s="9"/>
      <c r="E44" s="37"/>
      <c r="G44" s="24"/>
      <c r="I44" s="24"/>
      <c r="K44" s="24"/>
      <c r="M44" s="24"/>
    </row>
    <row r="45" spans="3:13" x14ac:dyDescent="0.25">
      <c r="C45" s="9" t="s">
        <v>44</v>
      </c>
      <c r="D45" s="9"/>
      <c r="E45" s="37"/>
      <c r="G45" s="24"/>
      <c r="I45" s="24"/>
      <c r="K45" s="24"/>
      <c r="M45" s="24"/>
    </row>
    <row r="46" spans="3:13" x14ac:dyDescent="0.25">
      <c r="C46" s="11" t="s">
        <v>45</v>
      </c>
      <c r="D46" s="9" t="s">
        <v>40</v>
      </c>
      <c r="E46" s="39">
        <v>470</v>
      </c>
      <c r="G46" s="26">
        <v>470</v>
      </c>
      <c r="I46" s="26">
        <v>470</v>
      </c>
      <c r="K46" s="26">
        <v>470</v>
      </c>
      <c r="M46" s="26">
        <v>470</v>
      </c>
    </row>
    <row r="47" spans="3:13" x14ac:dyDescent="0.25">
      <c r="C47" s="11" t="s">
        <v>46</v>
      </c>
      <c r="D47" s="9" t="s">
        <v>40</v>
      </c>
      <c r="E47" s="39">
        <v>90</v>
      </c>
      <c r="G47" s="26">
        <v>90</v>
      </c>
      <c r="I47" s="26">
        <v>90</v>
      </c>
      <c r="K47" s="26">
        <v>90</v>
      </c>
      <c r="M47" s="26">
        <v>90</v>
      </c>
    </row>
    <row r="48" spans="3:13" x14ac:dyDescent="0.25">
      <c r="C48" s="11" t="s">
        <v>47</v>
      </c>
      <c r="D48" s="9" t="s">
        <v>40</v>
      </c>
      <c r="E48" s="39">
        <v>80</v>
      </c>
      <c r="G48" s="26">
        <v>80</v>
      </c>
      <c r="I48" s="26">
        <v>80</v>
      </c>
      <c r="K48" s="26">
        <v>80</v>
      </c>
      <c r="M48" s="26">
        <v>80</v>
      </c>
    </row>
    <row r="49" spans="2:13" x14ac:dyDescent="0.25">
      <c r="C49" s="11" t="s">
        <v>48</v>
      </c>
      <c r="D49" s="9" t="s">
        <v>40</v>
      </c>
      <c r="E49" s="39">
        <v>70</v>
      </c>
      <c r="G49" s="26">
        <v>70</v>
      </c>
      <c r="I49" s="26">
        <v>70</v>
      </c>
      <c r="K49" s="26">
        <v>70</v>
      </c>
      <c r="M49" s="26">
        <v>70</v>
      </c>
    </row>
    <row r="50" spans="2:13" x14ac:dyDescent="0.25">
      <c r="C50" s="9"/>
      <c r="D50" s="9"/>
      <c r="E50" s="37"/>
      <c r="G50" s="24"/>
      <c r="I50" s="24"/>
      <c r="K50" s="24"/>
      <c r="M50" s="24"/>
    </row>
    <row r="51" spans="2:13" x14ac:dyDescent="0.25">
      <c r="C51" s="9"/>
      <c r="D51" s="9"/>
      <c r="E51" s="37"/>
      <c r="G51" s="24"/>
      <c r="I51" s="24"/>
      <c r="K51" s="24"/>
      <c r="M51" s="24"/>
    </row>
    <row r="52" spans="2:13" x14ac:dyDescent="0.25">
      <c r="C52" s="9" t="s">
        <v>49</v>
      </c>
      <c r="D52" s="9" t="s">
        <v>14</v>
      </c>
      <c r="E52" s="37">
        <f>0.25*E34</f>
        <v>250</v>
      </c>
      <c r="G52" s="24">
        <f>0.25*G34</f>
        <v>250</v>
      </c>
      <c r="I52" s="24">
        <f>0.25*I34</f>
        <v>250</v>
      </c>
      <c r="K52" s="24">
        <f>0.25*K34</f>
        <v>250</v>
      </c>
      <c r="M52" s="24">
        <f>0.25*M34</f>
        <v>250</v>
      </c>
    </row>
    <row r="53" spans="2:13" x14ac:dyDescent="0.25">
      <c r="C53" s="9" t="s">
        <v>50</v>
      </c>
      <c r="D53" s="9" t="s">
        <v>14</v>
      </c>
      <c r="E53" s="37">
        <f>0.125*E34</f>
        <v>125</v>
      </c>
      <c r="G53" s="24">
        <f>0.125*G34</f>
        <v>125</v>
      </c>
      <c r="I53" s="24">
        <f>0.125*I34</f>
        <v>125</v>
      </c>
      <c r="K53" s="24">
        <f>0.125*K34</f>
        <v>125</v>
      </c>
      <c r="M53" s="24">
        <f>0.125*M34</f>
        <v>125</v>
      </c>
    </row>
    <row r="54" spans="2:13" x14ac:dyDescent="0.25">
      <c r="C54" s="9"/>
      <c r="D54" s="9"/>
      <c r="E54" s="37"/>
      <c r="G54" s="24"/>
      <c r="I54" s="24"/>
      <c r="K54" s="24"/>
      <c r="M54" s="24"/>
    </row>
    <row r="55" spans="2:13" x14ac:dyDescent="0.25">
      <c r="C55" s="9"/>
      <c r="D55" s="9"/>
      <c r="E55" s="37"/>
      <c r="G55" s="24"/>
      <c r="I55" s="24"/>
      <c r="K55" s="24"/>
      <c r="M55" s="24"/>
    </row>
    <row r="56" spans="2:13" x14ac:dyDescent="0.25">
      <c r="C56" s="11" t="s">
        <v>51</v>
      </c>
      <c r="D56" s="9"/>
      <c r="E56" s="39">
        <v>2</v>
      </c>
      <c r="G56" s="26">
        <v>2</v>
      </c>
      <c r="I56" s="26">
        <v>2</v>
      </c>
      <c r="K56" s="26">
        <v>2</v>
      </c>
      <c r="M56" s="26">
        <v>2</v>
      </c>
    </row>
    <row r="57" spans="2:13" x14ac:dyDescent="0.25">
      <c r="C57" s="10" t="s">
        <v>52</v>
      </c>
      <c r="D57" s="9" t="s">
        <v>17</v>
      </c>
      <c r="E57" s="39">
        <f>E11</f>
        <v>10000</v>
      </c>
      <c r="G57" s="26">
        <f>G11</f>
        <v>10000</v>
      </c>
      <c r="I57" s="26">
        <f>I11</f>
        <v>10000</v>
      </c>
      <c r="K57" s="26">
        <f>K11</f>
        <v>10000</v>
      </c>
      <c r="M57" s="26">
        <f>M11</f>
        <v>10000</v>
      </c>
    </row>
    <row r="58" spans="2:13" x14ac:dyDescent="0.25">
      <c r="C58" s="11" t="s">
        <v>53</v>
      </c>
      <c r="D58" s="9" t="s">
        <v>54</v>
      </c>
      <c r="E58" s="39">
        <v>6.28</v>
      </c>
      <c r="F58" s="7"/>
      <c r="G58" s="26">
        <v>6.28</v>
      </c>
      <c r="I58" s="26">
        <v>6.28</v>
      </c>
      <c r="K58" s="26">
        <v>5</v>
      </c>
      <c r="M58" s="26">
        <v>7</v>
      </c>
    </row>
    <row r="59" spans="2:13" x14ac:dyDescent="0.25">
      <c r="B59" s="6"/>
      <c r="C59" s="15" t="s">
        <v>55</v>
      </c>
      <c r="D59" s="9" t="s">
        <v>17</v>
      </c>
      <c r="E59" s="39">
        <f>E57/E58</f>
        <v>1592.3566878980891</v>
      </c>
      <c r="F59" s="7"/>
      <c r="G59" s="26">
        <f>G57/G58</f>
        <v>1592.3566878980891</v>
      </c>
      <c r="I59" s="26">
        <f>I57/I58</f>
        <v>1592.3566878980891</v>
      </c>
      <c r="K59" s="26">
        <f>K57/K58</f>
        <v>2000</v>
      </c>
      <c r="M59" s="26">
        <f>M57/M58</f>
        <v>1428.5714285714287</v>
      </c>
    </row>
    <row r="60" spans="2:13" x14ac:dyDescent="0.25">
      <c r="C60" s="9" t="s">
        <v>56</v>
      </c>
      <c r="D60" s="9" t="s">
        <v>40</v>
      </c>
      <c r="E60" s="37">
        <f>0.003176895*E57</f>
        <v>31.76895</v>
      </c>
      <c r="F60" s="7"/>
      <c r="G60" s="24">
        <f>0.003176895*G57</f>
        <v>31.76895</v>
      </c>
      <c r="I60" s="24">
        <f>0.003176895*I57</f>
        <v>31.76895</v>
      </c>
      <c r="K60" s="24">
        <f>0.003176895*K57</f>
        <v>31.76895</v>
      </c>
      <c r="M60" s="24">
        <f>0.003176895*M57</f>
        <v>31.76895</v>
      </c>
    </row>
    <row r="61" spans="2:13" x14ac:dyDescent="0.25">
      <c r="B61" s="6"/>
      <c r="C61" s="9" t="s">
        <v>57</v>
      </c>
      <c r="D61" s="9" t="s">
        <v>40</v>
      </c>
      <c r="E61" s="37">
        <f>E60+24</f>
        <v>55.768950000000004</v>
      </c>
      <c r="F61" s="7"/>
      <c r="G61" s="24">
        <f>G60+24</f>
        <v>55.768950000000004</v>
      </c>
      <c r="I61" s="24">
        <f>I60+24</f>
        <v>55.768950000000004</v>
      </c>
      <c r="K61" s="24">
        <f>K60+24</f>
        <v>55.768950000000004</v>
      </c>
      <c r="M61" s="24">
        <f>M60+24</f>
        <v>55.768950000000004</v>
      </c>
    </row>
    <row r="62" spans="2:13" x14ac:dyDescent="0.25">
      <c r="C62" s="11" t="s">
        <v>58</v>
      </c>
      <c r="D62" s="9" t="s">
        <v>40</v>
      </c>
      <c r="E62" s="38">
        <v>134.63999999999999</v>
      </c>
      <c r="G62" s="25">
        <v>134.63999999999999</v>
      </c>
      <c r="I62" s="25">
        <v>134.63999999999999</v>
      </c>
      <c r="K62" s="25">
        <v>134.63999999999999</v>
      </c>
      <c r="M62" s="25">
        <v>134.63999999999999</v>
      </c>
    </row>
    <row r="63" spans="2:13" x14ac:dyDescent="0.25">
      <c r="C63" s="11" t="s">
        <v>59</v>
      </c>
      <c r="D63" s="9" t="s">
        <v>60</v>
      </c>
      <c r="E63" s="38">
        <v>0.36299999999999999</v>
      </c>
      <c r="G63" s="25">
        <v>0.45</v>
      </c>
      <c r="I63" s="25">
        <v>0.3</v>
      </c>
      <c r="K63" s="25">
        <v>0.36299999999999999</v>
      </c>
      <c r="M63" s="25">
        <v>0.36299999999999999</v>
      </c>
    </row>
    <row r="64" spans="2:13" x14ac:dyDescent="0.25">
      <c r="C64" s="9"/>
      <c r="D64" s="9"/>
      <c r="E64" s="37"/>
      <c r="G64" s="24"/>
      <c r="I64" s="24"/>
      <c r="K64" s="24"/>
      <c r="M64" s="24"/>
    </row>
    <row r="65" spans="3:13" x14ac:dyDescent="0.25">
      <c r="C65" s="9"/>
      <c r="D65" s="9"/>
      <c r="E65" s="37"/>
      <c r="G65" s="24"/>
      <c r="I65" s="24"/>
      <c r="K65" s="24"/>
      <c r="M65" s="24"/>
    </row>
    <row r="66" spans="3:13" x14ac:dyDescent="0.25">
      <c r="C66" s="11" t="s">
        <v>61</v>
      </c>
      <c r="D66" s="9"/>
      <c r="E66" s="38">
        <v>8.25</v>
      </c>
      <c r="G66" s="25">
        <v>8.25</v>
      </c>
      <c r="I66" s="25">
        <v>8.25</v>
      </c>
      <c r="K66" s="25">
        <v>8.25</v>
      </c>
      <c r="M66" s="25">
        <v>8.25</v>
      </c>
    </row>
    <row r="67" spans="3:13" x14ac:dyDescent="0.25">
      <c r="C67" s="11" t="s">
        <v>62</v>
      </c>
      <c r="D67" s="9"/>
      <c r="E67" s="38">
        <v>0.16</v>
      </c>
      <c r="G67" s="25">
        <v>0.16</v>
      </c>
      <c r="I67" s="25">
        <v>0.16</v>
      </c>
      <c r="K67" s="25">
        <v>0.16</v>
      </c>
      <c r="M67" s="25">
        <v>0.16</v>
      </c>
    </row>
    <row r="68" spans="3:13" x14ac:dyDescent="0.25">
      <c r="C68" s="11" t="s">
        <v>63</v>
      </c>
      <c r="D68" s="9"/>
      <c r="E68" s="38">
        <v>0</v>
      </c>
      <c r="G68" s="25">
        <v>0</v>
      </c>
      <c r="I68" s="25">
        <v>0</v>
      </c>
      <c r="K68" s="25">
        <v>0</v>
      </c>
      <c r="M68" s="25">
        <v>0</v>
      </c>
    </row>
    <row r="69" spans="3:13" x14ac:dyDescent="0.25">
      <c r="C69" s="9"/>
      <c r="D69" s="9"/>
      <c r="E69" s="37"/>
      <c r="G69" s="24"/>
      <c r="I69" s="24"/>
      <c r="K69" s="24"/>
      <c r="M69" s="24"/>
    </row>
    <row r="70" spans="3:13" x14ac:dyDescent="0.25">
      <c r="C70" s="9" t="s">
        <v>64</v>
      </c>
      <c r="D70" s="9" t="s">
        <v>17</v>
      </c>
      <c r="E70" s="37">
        <f>4.22*E34+1.642*10^-6*((E66*E35^3*SQRT(E20*E21)*(1+2*E38))/(E67*(COS(RADIANS(E68)))^2*E34*(1+E38)))</f>
        <v>6694.8205500679596</v>
      </c>
      <c r="G70" s="24">
        <f>4.22*G34+1.642*10^-6*((G66*G35^3*SQRT(G20*G21)*(1+2*G38))/(G67*(COS(RADIANS(G68)))^2*G34*(1+G38)))</f>
        <v>6694.8205500679596</v>
      </c>
      <c r="I70" s="24">
        <f>4.22*I34+1.642*10^-6*((I66*I35^3*SQRT(I20*I21)*(1+2*I38))/(I67*(COS(RADIANS(I68)))^2*I34*(1+I38)))</f>
        <v>6694.8205500679596</v>
      </c>
      <c r="K70" s="24">
        <f>4.22*K34+1.642*10^-6*((K66*K35^3*SQRT(K20*K21)*(1+2*K38))/(K67*(COS(RADIANS(K68)))^2*K34*(1+K38)))</f>
        <v>6694.8205500679596</v>
      </c>
      <c r="M70" s="24">
        <f>4.22*M34+1.642*10^-6*((M66*M35^3*SQRT(M20*M21)*(1+2*M38))/(M67*(COS(RADIANS(M68)))^2*M34*(1+M38)))</f>
        <v>6694.8205500679596</v>
      </c>
    </row>
    <row r="71" spans="3:13" x14ac:dyDescent="0.25">
      <c r="C71" s="9" t="s">
        <v>65</v>
      </c>
      <c r="D71" s="9" t="s">
        <v>17</v>
      </c>
      <c r="E71" s="37">
        <f>E70+E34</f>
        <v>7694.8205500679596</v>
      </c>
      <c r="G71" s="24">
        <f>G70+G34</f>
        <v>7694.8205500679596</v>
      </c>
      <c r="I71" s="24">
        <f>I70+I34</f>
        <v>7694.8205500679596</v>
      </c>
      <c r="K71" s="24">
        <f>K70+K34</f>
        <v>7694.8205500679596</v>
      </c>
      <c r="M71" s="24">
        <f>M70+M34</f>
        <v>7694.8205500679596</v>
      </c>
    </row>
    <row r="72" spans="3:13" x14ac:dyDescent="0.25">
      <c r="C72" s="9"/>
      <c r="D72" s="9"/>
      <c r="E72" s="37"/>
      <c r="G72" s="24"/>
      <c r="I72" s="24"/>
      <c r="K72" s="24"/>
      <c r="M72" s="24"/>
    </row>
    <row r="73" spans="3:13" x14ac:dyDescent="0.25">
      <c r="C73" s="9"/>
      <c r="D73" s="9"/>
      <c r="E73" s="37"/>
      <c r="G73" s="24"/>
      <c r="I73" s="24"/>
      <c r="K73" s="24"/>
      <c r="M73" s="24"/>
    </row>
    <row r="74" spans="3:13" x14ac:dyDescent="0.25">
      <c r="C74" s="12" t="s">
        <v>66</v>
      </c>
      <c r="D74" s="9"/>
      <c r="E74" s="37"/>
      <c r="G74" s="24"/>
      <c r="I74" s="24"/>
      <c r="K74" s="24"/>
      <c r="M74" s="24"/>
    </row>
    <row r="75" spans="3:13" x14ac:dyDescent="0.25">
      <c r="C75" s="9"/>
      <c r="D75" s="9"/>
      <c r="E75" s="40">
        <v>2.0499999999999998</v>
      </c>
      <c r="G75" s="27">
        <v>2.0499999999999998</v>
      </c>
      <c r="I75" s="27">
        <v>2.0499999999999998</v>
      </c>
      <c r="K75" s="27">
        <v>2.0499999999999998</v>
      </c>
      <c r="M75" s="27">
        <v>2.0499999999999998</v>
      </c>
    </row>
    <row r="76" spans="3:13" x14ac:dyDescent="0.25">
      <c r="C76" s="9"/>
      <c r="D76" s="9"/>
      <c r="E76" s="37"/>
      <c r="G76" s="24"/>
      <c r="I76" s="24"/>
      <c r="K76" s="24"/>
      <c r="M76" s="24"/>
    </row>
    <row r="77" spans="3:13" x14ac:dyDescent="0.25">
      <c r="C77" s="16" t="s">
        <v>67</v>
      </c>
      <c r="D77" s="16" t="s">
        <v>14</v>
      </c>
      <c r="E77" s="41">
        <f>E75*E34</f>
        <v>2050</v>
      </c>
      <c r="G77" s="28">
        <f>G75*G34</f>
        <v>2050</v>
      </c>
      <c r="I77" s="28">
        <f>I75*I34</f>
        <v>2050</v>
      </c>
      <c r="K77" s="28">
        <f>K75*K34</f>
        <v>2050</v>
      </c>
      <c r="M77" s="28">
        <f>M75*M34</f>
        <v>2050</v>
      </c>
    </row>
    <row r="78" spans="3:13" x14ac:dyDescent="0.25">
      <c r="C78" s="16" t="s">
        <v>49</v>
      </c>
      <c r="D78" s="16" t="s">
        <v>14</v>
      </c>
      <c r="E78" s="41">
        <f>E52*E75</f>
        <v>512.5</v>
      </c>
      <c r="G78" s="28">
        <f>G52*G75</f>
        <v>512.5</v>
      </c>
      <c r="I78" s="28">
        <f>I52*I75</f>
        <v>512.5</v>
      </c>
      <c r="K78" s="28">
        <f>K52*K75</f>
        <v>512.5</v>
      </c>
      <c r="M78" s="28">
        <f>M52*M75</f>
        <v>512.5</v>
      </c>
    </row>
    <row r="79" spans="3:13" x14ac:dyDescent="0.25">
      <c r="C79" s="16" t="s">
        <v>50</v>
      </c>
      <c r="D79" s="16" t="s">
        <v>14</v>
      </c>
      <c r="E79" s="41">
        <f>E75*E53</f>
        <v>256.25</v>
      </c>
      <c r="G79" s="28">
        <f>G75*G53</f>
        <v>256.25</v>
      </c>
      <c r="I79" s="28">
        <f>I75*I53</f>
        <v>256.25</v>
      </c>
      <c r="K79" s="28">
        <f>K75*K53</f>
        <v>256.25</v>
      </c>
      <c r="M79" s="28">
        <f>M75*M53</f>
        <v>256.25</v>
      </c>
    </row>
    <row r="80" spans="3:13" x14ac:dyDescent="0.25">
      <c r="C80" s="9"/>
      <c r="D80" s="9"/>
      <c r="E80" s="37"/>
      <c r="G80" s="24"/>
      <c r="I80" s="24"/>
      <c r="K80" s="24"/>
      <c r="M80" s="24"/>
    </row>
    <row r="81" spans="3:13" x14ac:dyDescent="0.25">
      <c r="C81" s="9" t="s">
        <v>68</v>
      </c>
      <c r="D81" s="9" t="s">
        <v>40</v>
      </c>
      <c r="E81" s="37">
        <f>E47/2</f>
        <v>45</v>
      </c>
      <c r="G81" s="24">
        <f>G47/2</f>
        <v>45</v>
      </c>
      <c r="I81" s="24">
        <f>I47/2</f>
        <v>45</v>
      </c>
      <c r="K81" s="24">
        <f>K47/2</f>
        <v>45</v>
      </c>
      <c r="M81" s="24">
        <f>M47/2</f>
        <v>45</v>
      </c>
    </row>
    <row r="82" spans="3:13" x14ac:dyDescent="0.25">
      <c r="C82" s="10" t="s">
        <v>69</v>
      </c>
      <c r="D82" s="9" t="s">
        <v>40</v>
      </c>
      <c r="E82" s="37">
        <f>E48</f>
        <v>80</v>
      </c>
      <c r="G82" s="24">
        <f>G48</f>
        <v>80</v>
      </c>
      <c r="I82" s="24">
        <f>I48</f>
        <v>80</v>
      </c>
      <c r="K82" s="24">
        <f>K48</f>
        <v>80</v>
      </c>
      <c r="M82" s="24">
        <f>M48</f>
        <v>80</v>
      </c>
    </row>
    <row r="83" spans="3:13" x14ac:dyDescent="0.25">
      <c r="C83" s="9" t="s">
        <v>70</v>
      </c>
      <c r="D83" s="9" t="s">
        <v>40</v>
      </c>
      <c r="E83" s="37">
        <f>(E82^2+E81^2)/(2*E81)</f>
        <v>93.611111111111114</v>
      </c>
      <c r="G83" s="24">
        <f>(G82^2+G81^2)/(2*G81)</f>
        <v>93.611111111111114</v>
      </c>
      <c r="I83" s="24">
        <f>(I82^2+I81^2)/(2*I81)</f>
        <v>93.611111111111114</v>
      </c>
      <c r="K83" s="24">
        <f>(K82^2+K81^2)/(2*K81)</f>
        <v>93.611111111111114</v>
      </c>
      <c r="M83" s="24">
        <f>(M82^2+M81^2)/(2*M81)</f>
        <v>93.611111111111114</v>
      </c>
    </row>
    <row r="84" spans="3:13" x14ac:dyDescent="0.25">
      <c r="C84" s="9" t="s">
        <v>71</v>
      </c>
      <c r="D84" s="9" t="s">
        <v>40</v>
      </c>
      <c r="E84" s="37">
        <f>(E82^2-E81^2)/(2*E81)</f>
        <v>48.611111111111114</v>
      </c>
      <c r="G84" s="24">
        <f>(G82^2-G81^2)/(2*G81)</f>
        <v>48.611111111111114</v>
      </c>
      <c r="I84" s="24">
        <f>(I82^2-I81^2)/(2*I81)</f>
        <v>48.611111111111114</v>
      </c>
      <c r="K84" s="24">
        <f>(K82^2-K81^2)/(2*K81)</f>
        <v>48.611111111111114</v>
      </c>
      <c r="M84" s="24">
        <f>(M82^2-M81^2)/(2*M81)</f>
        <v>48.611111111111114</v>
      </c>
    </row>
    <row r="85" spans="3:13" x14ac:dyDescent="0.25">
      <c r="C85" s="9" t="s">
        <v>72</v>
      </c>
      <c r="D85" s="9" t="s">
        <v>73</v>
      </c>
      <c r="E85" s="37">
        <f>2*PI()*E83*((E81-E83)*ASIN(E82/E83)+E82)/144</f>
        <v>123.28967844319835</v>
      </c>
      <c r="G85" s="24">
        <f>2*PI()*G83*((G81-G83)*ASIN(G82/G83)+G82)/144</f>
        <v>123.28967844319835</v>
      </c>
      <c r="I85" s="24">
        <f>2*PI()*I83*((I81-I83)*ASIN(I82/I83)+I82)/144</f>
        <v>123.28967844319835</v>
      </c>
      <c r="K85" s="24">
        <f>2*PI()*K83*((K81-K83)*ASIN(K82/K83)+K82)/144</f>
        <v>123.28967844319835</v>
      </c>
      <c r="M85" s="24">
        <f>2*PI()*M83*((M81-M83)*ASIN(M82/M83)+M82)/144</f>
        <v>123.28967844319835</v>
      </c>
    </row>
    <row r="86" spans="3:13" x14ac:dyDescent="0.25">
      <c r="C86" s="9"/>
      <c r="D86" s="9"/>
      <c r="E86" s="37"/>
      <c r="G86" s="24"/>
      <c r="I86" s="24"/>
      <c r="K86" s="24"/>
      <c r="M86" s="24"/>
    </row>
    <row r="87" spans="3:13" x14ac:dyDescent="0.25">
      <c r="C87" s="9" t="s">
        <v>74</v>
      </c>
      <c r="D87" s="9" t="s">
        <v>14</v>
      </c>
      <c r="E87" s="37">
        <f>(E46-E48-E49)*E47*PI()/144</f>
        <v>628.31853071795865</v>
      </c>
      <c r="G87" s="24">
        <f>(G46-G48-G49)*G47*PI()/144</f>
        <v>628.31853071795865</v>
      </c>
      <c r="I87" s="24">
        <f>(I46-I48-I49)*I47*PI()/144</f>
        <v>628.31853071795865</v>
      </c>
      <c r="K87" s="24">
        <f>(K46-K48-K49)*K47*PI()/144</f>
        <v>628.31853071795865</v>
      </c>
      <c r="M87" s="24">
        <f>(M46-M48-M49)*M47*PI()/144</f>
        <v>628.31853071795865</v>
      </c>
    </row>
    <row r="88" spans="3:13" x14ac:dyDescent="0.25">
      <c r="C88" s="9"/>
      <c r="D88" s="9"/>
      <c r="E88" s="37"/>
      <c r="G88" s="24"/>
      <c r="I88" s="24"/>
      <c r="K88" s="24"/>
      <c r="M88" s="24"/>
    </row>
    <row r="89" spans="3:13" x14ac:dyDescent="0.25">
      <c r="C89" s="9" t="s">
        <v>75</v>
      </c>
      <c r="D89" s="9" t="s">
        <v>40</v>
      </c>
      <c r="E89" s="37">
        <f>E47/2</f>
        <v>45</v>
      </c>
      <c r="G89" s="24">
        <f>G47/2</f>
        <v>45</v>
      </c>
      <c r="I89" s="24">
        <f>I47/2</f>
        <v>45</v>
      </c>
      <c r="K89" s="24">
        <f>K47/2</f>
        <v>45</v>
      </c>
      <c r="M89" s="24">
        <f>M47/2</f>
        <v>45</v>
      </c>
    </row>
    <row r="90" spans="3:13" x14ac:dyDescent="0.25">
      <c r="C90" s="10" t="s">
        <v>76</v>
      </c>
      <c r="D90" s="9" t="s">
        <v>40</v>
      </c>
      <c r="E90" s="37">
        <f>E49</f>
        <v>70</v>
      </c>
      <c r="G90" s="24">
        <f>G49</f>
        <v>70</v>
      </c>
      <c r="I90" s="24">
        <f>I49</f>
        <v>70</v>
      </c>
      <c r="K90" s="24">
        <f>K49</f>
        <v>70</v>
      </c>
      <c r="M90" s="24">
        <f>M49</f>
        <v>70</v>
      </c>
    </row>
    <row r="91" spans="3:13" x14ac:dyDescent="0.25">
      <c r="C91" s="9" t="s">
        <v>70</v>
      </c>
      <c r="D91" s="9" t="s">
        <v>40</v>
      </c>
      <c r="E91" s="42">
        <f>(E90^2+E89^2)/(2*E89)</f>
        <v>76.944444444444443</v>
      </c>
      <c r="G91" s="29">
        <f>(G90^2+G89^2)/(2*G89)</f>
        <v>76.944444444444443</v>
      </c>
      <c r="I91" s="29">
        <f>(I90^2+I89^2)/(2*I89)</f>
        <v>76.944444444444443</v>
      </c>
      <c r="K91" s="29">
        <f>(K90^2+K89^2)/(2*K89)</f>
        <v>76.944444444444443</v>
      </c>
      <c r="M91" s="29">
        <f>(M90^2+M89^2)/(2*M89)</f>
        <v>76.944444444444443</v>
      </c>
    </row>
    <row r="92" spans="3:13" x14ac:dyDescent="0.25">
      <c r="C92" s="9" t="s">
        <v>71</v>
      </c>
      <c r="D92" s="9" t="s">
        <v>40</v>
      </c>
      <c r="E92" s="37">
        <f>(E90^2-E89^2)/(2*E89)</f>
        <v>31.944444444444443</v>
      </c>
      <c r="G92" s="24">
        <f>(G90^2-G89^2)/(2*G89)</f>
        <v>31.944444444444443</v>
      </c>
      <c r="I92" s="24">
        <f>(I90^2-I89^2)/(2*I89)</f>
        <v>31.944444444444443</v>
      </c>
      <c r="K92" s="24">
        <f>(K90^2-K89^2)/(2*K89)</f>
        <v>31.944444444444443</v>
      </c>
      <c r="M92" s="24">
        <f>(M90^2-M89^2)/(2*M89)</f>
        <v>31.944444444444443</v>
      </c>
    </row>
    <row r="93" spans="3:13" x14ac:dyDescent="0.25">
      <c r="C93" s="9" t="s">
        <v>77</v>
      </c>
      <c r="D93" s="9" t="s">
        <v>73</v>
      </c>
      <c r="E93" s="37">
        <f>2*PI()*E91*((E89-E91)*ASIN(E90/E91)+E90)/144</f>
        <v>112.46360715051117</v>
      </c>
      <c r="G93" s="24">
        <f>2*PI()*G91*((G89-G91)*ASIN(G90/G91)+G90)/144</f>
        <v>112.46360715051117</v>
      </c>
      <c r="I93" s="24">
        <f>2*PI()*I91*((I89-I91)*ASIN(I90/I91)+I90)/144</f>
        <v>112.46360715051117</v>
      </c>
      <c r="K93" s="24">
        <f>2*PI()*K91*((K89-K91)*ASIN(K90/K91)+K90)/144</f>
        <v>112.46360715051117</v>
      </c>
      <c r="M93" s="24">
        <f>2*PI()*M91*((M89-M91)*ASIN(M90/M91)+M90)/144</f>
        <v>112.46360715051117</v>
      </c>
    </row>
    <row r="94" spans="3:13" x14ac:dyDescent="0.25">
      <c r="C94" s="9"/>
      <c r="D94" s="9"/>
      <c r="E94" s="37"/>
      <c r="G94" s="24"/>
      <c r="I94" s="24"/>
      <c r="K94" s="24"/>
      <c r="M94" s="24"/>
    </row>
    <row r="95" spans="3:13" x14ac:dyDescent="0.25">
      <c r="C95" s="16" t="s">
        <v>44</v>
      </c>
      <c r="D95" s="16" t="s">
        <v>14</v>
      </c>
      <c r="E95" s="41">
        <f>E93+E87+E85</f>
        <v>864.07181631166816</v>
      </c>
      <c r="G95" s="28">
        <f>G93+G87+G85</f>
        <v>864.07181631166816</v>
      </c>
      <c r="I95" s="28">
        <f>I93+I87+I85</f>
        <v>864.07181631166816</v>
      </c>
      <c r="K95" s="28">
        <f>K93+K87+K85</f>
        <v>864.07181631166816</v>
      </c>
      <c r="M95" s="28">
        <f>M93+M87+M85</f>
        <v>864.07181631166816</v>
      </c>
    </row>
    <row r="96" spans="3:13" x14ac:dyDescent="0.25">
      <c r="C96" s="16" t="s">
        <v>78</v>
      </c>
      <c r="D96" s="16" t="s">
        <v>14</v>
      </c>
      <c r="E96" s="41">
        <f>E61*E62/144*PI()*E56*0.85*1.1</f>
        <v>306.33425118062036</v>
      </c>
      <c r="G96" s="28">
        <f>G61*G62/144*PI()*G56*0.85*1.1</f>
        <v>306.33425118062036</v>
      </c>
      <c r="I96" s="28">
        <f>I61*I62/144*PI()*I56*0.85*1.1</f>
        <v>306.33425118062036</v>
      </c>
      <c r="K96" s="28">
        <f>K61*K62/144*PI()*K56*0.85*1.1</f>
        <v>306.33425118062036</v>
      </c>
      <c r="M96" s="28">
        <f>M61*M62/144*PI()*M56*0.85*1.1</f>
        <v>306.33425118062036</v>
      </c>
    </row>
    <row r="97" spans="3:13" x14ac:dyDescent="0.25">
      <c r="C97" s="9"/>
      <c r="D97" s="9"/>
      <c r="E97" s="37"/>
      <c r="G97" s="24"/>
      <c r="I97" s="24"/>
      <c r="K97" s="24"/>
      <c r="M97" s="24"/>
    </row>
    <row r="98" spans="3:13" x14ac:dyDescent="0.25">
      <c r="C98" s="16" t="s">
        <v>79</v>
      </c>
      <c r="D98" s="16" t="s">
        <v>14</v>
      </c>
      <c r="E98" s="41">
        <f>E96+E95+E79+E78+E77</f>
        <v>3989.1560674922885</v>
      </c>
      <c r="G98" s="28">
        <f>G96+G95+G79+G78+G77</f>
        <v>3989.1560674922885</v>
      </c>
      <c r="I98" s="28">
        <f>I96+I95+I79+I78+I77</f>
        <v>3989.1560674922885</v>
      </c>
      <c r="K98" s="28">
        <f>K96+K95+K79+K78+K77</f>
        <v>3989.1560674922885</v>
      </c>
      <c r="M98" s="28">
        <f>M96+M95+M79+M78+M77</f>
        <v>3989.1560674922885</v>
      </c>
    </row>
    <row r="99" spans="3:13" ht="15.75" thickBot="1" x14ac:dyDescent="0.3">
      <c r="C99" s="9" t="s">
        <v>80</v>
      </c>
      <c r="D99" s="9"/>
      <c r="E99" s="37">
        <f>E98/E34</f>
        <v>3.9891560674922886</v>
      </c>
      <c r="G99" s="24">
        <f>G98/G34</f>
        <v>3.9891560674922886</v>
      </c>
      <c r="I99" s="24">
        <f>I98/I34</f>
        <v>3.9891560674922886</v>
      </c>
      <c r="K99" s="24">
        <f>K98/K34</f>
        <v>3.9891560674922886</v>
      </c>
      <c r="M99" s="24">
        <f>M98/M34</f>
        <v>3.9891560674922886</v>
      </c>
    </row>
    <row r="100" spans="3:13" x14ac:dyDescent="0.25">
      <c r="C100" s="17" t="s">
        <v>81</v>
      </c>
      <c r="D100" s="9"/>
      <c r="E100" s="37">
        <f>IF(E155&lt;36089,1-0.00000687535*E155 + E156*(9/5)/518.67,0.75187 + E156*(9/5)/518.67)</f>
        <v>0.82811625</v>
      </c>
      <c r="G100" s="24">
        <f>IF(G155&lt;36089,1-0.00000687535*G155 + G156*(9/5)/518.67,0.75187 + G156*(9/5)/518.67)</f>
        <v>0.82811625</v>
      </c>
      <c r="I100" s="24">
        <f>IF(I155&lt;36089,1-0.00000687535*I155 + I156*(9/5)/518.67,0.75187 + I156*(9/5)/518.67)</f>
        <v>0.82811625</v>
      </c>
      <c r="K100" s="24">
        <f>IF(K155&lt;36089,1-0.00000687535*K155 + K156*(9/5)/518.67,0.75187 + K156*(9/5)/518.67)</f>
        <v>0.82811625</v>
      </c>
      <c r="M100" s="24">
        <f>IF(M155&lt;36089,1-0.00000687535*M155 + M156*(9/5)/518.67,0.75187 + M156*(9/5)/518.67)</f>
        <v>0.82811625</v>
      </c>
    </row>
    <row r="101" spans="3:13" x14ac:dyDescent="0.25">
      <c r="C101" s="18" t="s">
        <v>82</v>
      </c>
      <c r="D101" s="9"/>
      <c r="E101" s="37">
        <f>518.67*E100</f>
        <v>429.51905538749998</v>
      </c>
      <c r="G101" s="24">
        <f>518.67*G100</f>
        <v>429.51905538749998</v>
      </c>
      <c r="I101" s="24">
        <f>518.67*I100</f>
        <v>429.51905538749998</v>
      </c>
      <c r="K101" s="24">
        <f>518.67*K100</f>
        <v>429.51905538749998</v>
      </c>
      <c r="M101" s="24">
        <f>518.67*M100</f>
        <v>429.51905538749998</v>
      </c>
    </row>
    <row r="102" spans="3:13" x14ac:dyDescent="0.25">
      <c r="C102" s="18" t="s">
        <v>166</v>
      </c>
      <c r="D102" s="9"/>
      <c r="E102" s="37">
        <f>IF(E155&lt;36089,1-(6.87535*10^-6)*E155, 0.75187)</f>
        <v>0.82811625</v>
      </c>
      <c r="G102" s="24">
        <f>IF(G155&lt;36089,1-(6.87535*10^-6)*G155, 0.75187)</f>
        <v>0.82811625</v>
      </c>
      <c r="I102" s="24">
        <f>IF(I155&lt;36089,1-(6.87535*10^-6)*I155, 0.75187)</f>
        <v>0.82811625</v>
      </c>
      <c r="K102" s="24">
        <f>IF(K155&lt;36089,1-(6.87535*10^-6)*K155, 0.75187)</f>
        <v>0.82811625</v>
      </c>
      <c r="M102" s="24">
        <f>IF(M155&lt;36089,1-(6.87535*10^-6)*M155, 0.75187)</f>
        <v>0.82811625</v>
      </c>
    </row>
    <row r="103" spans="3:13" x14ac:dyDescent="0.25">
      <c r="C103" s="19" t="s">
        <v>83</v>
      </c>
      <c r="D103" s="9"/>
      <c r="E103" s="37">
        <f>IF(E155&lt;36089,E102^5.2561,0.22336*EXP((36089-E155)/20806.7))</f>
        <v>0.37109039859667781</v>
      </c>
      <c r="G103" s="24">
        <f>IF(G155&lt;36089,G102^5.2561,0.22336*EXP((36089-G155)/20806.7))</f>
        <v>0.37109039859667781</v>
      </c>
      <c r="I103" s="24">
        <f>IF(I155&lt;36089,I102^5.2561,0.22336*EXP((36089-I155)/20806.7))</f>
        <v>0.37109039859667781</v>
      </c>
      <c r="K103" s="24">
        <f>IF(K155&lt;36089,K102^5.2561,0.22336*EXP((36089-K155)/20806.7))</f>
        <v>0.37109039859667781</v>
      </c>
      <c r="M103" s="24">
        <f>IF(M155&lt;36089,M102^5.2561,0.22336*EXP((36089-M155)/20806.7))</f>
        <v>0.37109039859667781</v>
      </c>
    </row>
    <row r="104" spans="3:13" x14ac:dyDescent="0.25">
      <c r="C104" s="19" t="s">
        <v>84</v>
      </c>
      <c r="D104" s="9"/>
      <c r="E104" s="37">
        <f>E103*2116.22</f>
        <v>785.30892331826146</v>
      </c>
      <c r="G104" s="24">
        <f>G103*2116.22</f>
        <v>785.30892331826146</v>
      </c>
      <c r="I104" s="24">
        <f>I103*2116.22</f>
        <v>785.30892331826146</v>
      </c>
      <c r="K104" s="24">
        <f>K103*2116.22</f>
        <v>785.30892331826146</v>
      </c>
      <c r="M104" s="24">
        <f>M103*2116.22</f>
        <v>785.30892331826146</v>
      </c>
    </row>
    <row r="105" spans="3:13" x14ac:dyDescent="0.25">
      <c r="C105" s="19" t="s">
        <v>85</v>
      </c>
      <c r="D105" s="9"/>
      <c r="E105" s="37">
        <f>E103/E100</f>
        <v>0.44811389535790153</v>
      </c>
      <c r="G105" s="24">
        <f>G103/G100</f>
        <v>0.44811389535790153</v>
      </c>
      <c r="I105" s="24">
        <f>I103/I100</f>
        <v>0.44811389535790153</v>
      </c>
      <c r="K105" s="24">
        <f>K103/K100</f>
        <v>0.44811389535790153</v>
      </c>
      <c r="M105" s="24">
        <f>M103/M100</f>
        <v>0.44811389535790153</v>
      </c>
    </row>
    <row r="106" spans="3:13" x14ac:dyDescent="0.25">
      <c r="C106" s="19" t="s">
        <v>86</v>
      </c>
      <c r="D106" s="9"/>
      <c r="E106" s="37">
        <f>E105*0.0023769</f>
        <v>1.0651219178761961E-3</v>
      </c>
      <c r="G106" s="24">
        <f>G105*0.0023769</f>
        <v>1.0651219178761961E-3</v>
      </c>
      <c r="I106" s="24">
        <f>I105*0.0023769</f>
        <v>1.0651219178761961E-3</v>
      </c>
      <c r="K106" s="24">
        <f>K105*0.0023769</f>
        <v>1.0651219178761961E-3</v>
      </c>
      <c r="M106" s="24">
        <f>M105*0.0023769</f>
        <v>1.0651219178761961E-3</v>
      </c>
    </row>
    <row r="107" spans="3:13" x14ac:dyDescent="0.25">
      <c r="C107" s="19" t="s">
        <v>87</v>
      </c>
      <c r="D107" s="9"/>
      <c r="E107" s="43">
        <f>(0.000000022697*E101^(3/2))/(E101+198.72)</f>
        <v>3.2160084410590666E-7</v>
      </c>
      <c r="G107" s="30">
        <f>(0.000000022697*G101^(3/2))/(G101+198.72)</f>
        <v>3.2160084410590666E-7</v>
      </c>
      <c r="I107" s="30">
        <f>(0.000000022697*I101^(3/2))/(I101+198.72)</f>
        <v>3.2160084410590666E-7</v>
      </c>
      <c r="K107" s="30">
        <f>(0.000000022697*K101^(3/2))/(K101+198.72)</f>
        <v>3.2160084410590666E-7</v>
      </c>
      <c r="M107" s="30">
        <f>(0.000000022697*M101^(3/2))/(M101+198.72)</f>
        <v>3.2160084410590666E-7</v>
      </c>
    </row>
    <row r="108" spans="3:13" x14ac:dyDescent="0.25">
      <c r="C108" s="19" t="s">
        <v>88</v>
      </c>
      <c r="D108" s="9"/>
      <c r="E108" s="37">
        <f>E107/E106</f>
        <v>3.0193805864699874E-4</v>
      </c>
      <c r="G108" s="24">
        <f>G107/G106</f>
        <v>3.0193805864699874E-4</v>
      </c>
      <c r="I108" s="24">
        <f>I107/I106</f>
        <v>3.0193805864699874E-4</v>
      </c>
      <c r="K108" s="24">
        <f>K107/K106</f>
        <v>3.0193805864699874E-4</v>
      </c>
      <c r="M108" s="24">
        <f>M107/M106</f>
        <v>3.0193805864699874E-4</v>
      </c>
    </row>
    <row r="109" spans="3:13" ht="15.75" thickBot="1" x14ac:dyDescent="0.3">
      <c r="C109" s="20" t="s">
        <v>89</v>
      </c>
      <c r="D109" s="9"/>
      <c r="E109" s="37">
        <f>SQRT(1.4*(E104/E106))</f>
        <v>1015.9787470751507</v>
      </c>
      <c r="G109" s="24">
        <f>SQRT(1.4*(G104/G106))</f>
        <v>1015.9787470751507</v>
      </c>
      <c r="I109" s="24">
        <f>SQRT(1.4*(I104/I106))</f>
        <v>1015.9787470751507</v>
      </c>
      <c r="K109" s="24">
        <f>SQRT(1.4*(K104/K106))</f>
        <v>1015.9787470751507</v>
      </c>
      <c r="M109" s="24">
        <f>SQRT(1.4*(M104/M106))</f>
        <v>1015.9787470751507</v>
      </c>
    </row>
    <row r="110" spans="3:13" x14ac:dyDescent="0.25">
      <c r="C110" s="9" t="s">
        <v>90</v>
      </c>
      <c r="D110" s="9" t="s">
        <v>91</v>
      </c>
      <c r="E110" s="37">
        <f>(E160/E108)</f>
        <v>1682429.0909662202</v>
      </c>
      <c r="G110" s="24">
        <f>(G160/G108)</f>
        <v>1682429.0909662202</v>
      </c>
      <c r="I110" s="24">
        <f>(I160/I108)</f>
        <v>1682429.0909662202</v>
      </c>
      <c r="K110" s="24">
        <f>(K160/K108)</f>
        <v>1682429.0909662202</v>
      </c>
      <c r="M110" s="24">
        <f>(M160/M108)</f>
        <v>1682429.0909662202</v>
      </c>
    </row>
    <row r="111" spans="3:13" x14ac:dyDescent="0.25">
      <c r="C111" s="9" t="s">
        <v>92</v>
      </c>
      <c r="D111" s="9"/>
      <c r="E111" s="37">
        <f>E110*(E39/12)</f>
        <v>21497290.369849402</v>
      </c>
      <c r="G111" s="24">
        <f>G110*(G39/12)</f>
        <v>21497290.369849402</v>
      </c>
      <c r="I111" s="24">
        <f>I110*(I39/12)</f>
        <v>21497290.369849402</v>
      </c>
      <c r="K111" s="24">
        <f>K110*(K39/12)</f>
        <v>21497290.369849402</v>
      </c>
      <c r="M111" s="24">
        <f>M110*(M39/12)</f>
        <v>21497290.369849402</v>
      </c>
    </row>
    <row r="112" spans="3:13" x14ac:dyDescent="0.25">
      <c r="C112" s="9" t="s">
        <v>93</v>
      </c>
      <c r="D112" s="9"/>
      <c r="E112" s="37">
        <f>1.328/SQRT(E111)</f>
        <v>2.8642189497383731E-4</v>
      </c>
      <c r="G112" s="24">
        <f>1.328/SQRT(G111)</f>
        <v>2.8642189497383731E-4</v>
      </c>
      <c r="I112" s="24">
        <f>1.328/SQRT(I111)</f>
        <v>2.8642189497383731E-4</v>
      </c>
      <c r="K112" s="24">
        <f>1.328/SQRT(K111)</f>
        <v>2.8642189497383731E-4</v>
      </c>
      <c r="M112" s="24">
        <f>1.328/SQRT(M111)</f>
        <v>2.8642189497383731E-4</v>
      </c>
    </row>
    <row r="113" spans="3:13" x14ac:dyDescent="0.25">
      <c r="C113" s="9" t="s">
        <v>94</v>
      </c>
      <c r="D113" s="9"/>
      <c r="E113" s="37">
        <v>3.0000000000000001E-3</v>
      </c>
      <c r="G113" s="24">
        <v>3.0000000000000001E-3</v>
      </c>
      <c r="I113" s="24">
        <v>3.0000000000000001E-3</v>
      </c>
      <c r="K113" s="24">
        <v>3.0000000000000001E-3</v>
      </c>
      <c r="M113" s="24">
        <v>3.0000000000000001E-3</v>
      </c>
    </row>
    <row r="114" spans="3:13" x14ac:dyDescent="0.25">
      <c r="C114" s="9" t="s">
        <v>95</v>
      </c>
      <c r="D114" s="9"/>
      <c r="E114" s="37">
        <f>E113*E99</f>
        <v>1.1967468202476865E-2</v>
      </c>
      <c r="G114" s="24">
        <f>G113*G99</f>
        <v>1.1967468202476865E-2</v>
      </c>
      <c r="I114" s="24">
        <f>I113*I99</f>
        <v>1.1967468202476865E-2</v>
      </c>
      <c r="K114" s="24">
        <f>K113*K99</f>
        <v>1.1967468202476865E-2</v>
      </c>
      <c r="M114" s="24">
        <f>M113*M99</f>
        <v>1.1967468202476865E-2</v>
      </c>
    </row>
    <row r="115" spans="3:13" x14ac:dyDescent="0.25">
      <c r="C115" s="14" t="s">
        <v>96</v>
      </c>
      <c r="D115" s="9"/>
      <c r="E115" s="37">
        <v>0.06</v>
      </c>
      <c r="G115" s="24">
        <v>0.06</v>
      </c>
      <c r="I115" s="24">
        <v>0.06</v>
      </c>
      <c r="K115" s="24">
        <v>0.06</v>
      </c>
      <c r="M115" s="24">
        <v>0.06</v>
      </c>
    </row>
    <row r="116" spans="3:13" x14ac:dyDescent="0.25">
      <c r="C116" s="14" t="s">
        <v>97</v>
      </c>
      <c r="D116" s="9"/>
      <c r="E116" s="37">
        <v>6.5339999999999998</v>
      </c>
      <c r="G116" s="24">
        <v>6.5339999999999998</v>
      </c>
      <c r="I116" s="24">
        <v>6.5339999999999998</v>
      </c>
      <c r="K116" s="24">
        <v>6.5339999999999998</v>
      </c>
      <c r="M116" s="24">
        <v>6.5339999999999998</v>
      </c>
    </row>
    <row r="117" spans="3:13" x14ac:dyDescent="0.25">
      <c r="C117" s="14" t="s">
        <v>98</v>
      </c>
      <c r="D117" s="9"/>
      <c r="E117" s="37">
        <f>E115*E116/E10</f>
        <v>4.9005E-2</v>
      </c>
      <c r="G117" s="24">
        <f>G115*G116/G10</f>
        <v>4.9005E-2</v>
      </c>
      <c r="I117" s="24">
        <f>I115*I116/I10</f>
        <v>4.9005E-2</v>
      </c>
      <c r="K117" s="24">
        <f>K115*K116/K10</f>
        <v>4.9005E-2</v>
      </c>
      <c r="M117" s="24">
        <f>M115*M116/M10</f>
        <v>4.9005E-2</v>
      </c>
    </row>
    <row r="118" spans="3:13" x14ac:dyDescent="0.25">
      <c r="C118" s="9"/>
      <c r="D118" s="9"/>
      <c r="E118" s="37"/>
      <c r="G118" s="24"/>
      <c r="I118" s="24"/>
      <c r="K118" s="24"/>
      <c r="M118" s="24"/>
    </row>
    <row r="119" spans="3:13" x14ac:dyDescent="0.25">
      <c r="C119" s="9"/>
      <c r="D119" s="9"/>
      <c r="E119" s="37"/>
      <c r="G119" s="24"/>
      <c r="I119" s="24"/>
      <c r="K119" s="24"/>
      <c r="M119" s="24"/>
    </row>
    <row r="120" spans="3:13" x14ac:dyDescent="0.25">
      <c r="C120" s="12" t="s">
        <v>99</v>
      </c>
      <c r="D120" s="9"/>
      <c r="E120" s="37"/>
      <c r="G120" s="24"/>
      <c r="I120" s="24"/>
      <c r="K120" s="24"/>
      <c r="M120" s="24"/>
    </row>
    <row r="121" spans="3:13" x14ac:dyDescent="0.25">
      <c r="C121" s="10" t="s">
        <v>100</v>
      </c>
      <c r="D121" s="9" t="s">
        <v>17</v>
      </c>
      <c r="E121" s="37">
        <f>E71</f>
        <v>7694.8205500679596</v>
      </c>
      <c r="G121" s="24">
        <f>G71</f>
        <v>7694.8205500679596</v>
      </c>
      <c r="I121" s="24">
        <f>I71</f>
        <v>7694.8205500679596</v>
      </c>
      <c r="K121" s="24">
        <f>K71</f>
        <v>7694.8205500679596</v>
      </c>
      <c r="M121" s="24">
        <f>M71</f>
        <v>7694.8205500679596</v>
      </c>
    </row>
    <row r="122" spans="3:13" x14ac:dyDescent="0.25">
      <c r="C122" s="14" t="s">
        <v>101</v>
      </c>
      <c r="D122" s="9" t="s">
        <v>17</v>
      </c>
      <c r="E122" s="44">
        <f>3731.75*0.9</f>
        <v>3358.5750000000003</v>
      </c>
      <c r="G122" s="31">
        <f>3731.75*0.9</f>
        <v>3358.5750000000003</v>
      </c>
      <c r="I122" s="31">
        <f>3731.75*0.9</f>
        <v>3358.5750000000003</v>
      </c>
      <c r="K122" s="31">
        <f>3731.75*0.9</f>
        <v>3358.5750000000003</v>
      </c>
      <c r="M122" s="31">
        <f>3731.75*0.9</f>
        <v>3358.5750000000003</v>
      </c>
    </row>
    <row r="123" spans="3:13" x14ac:dyDescent="0.25">
      <c r="C123" s="9" t="s">
        <v>102</v>
      </c>
      <c r="D123" s="9" t="s">
        <v>17</v>
      </c>
      <c r="E123" s="37">
        <f>E121-E122</f>
        <v>4336.2455500679589</v>
      </c>
      <c r="G123" s="24">
        <f>G121-G122</f>
        <v>4336.2455500679589</v>
      </c>
      <c r="I123" s="24">
        <f>I121-I122</f>
        <v>4336.2455500679589</v>
      </c>
      <c r="K123" s="24">
        <f>K121-K122</f>
        <v>4336.2455500679589</v>
      </c>
      <c r="M123" s="24">
        <f>M121-M122</f>
        <v>4336.2455500679589</v>
      </c>
    </row>
    <row r="124" spans="3:13" x14ac:dyDescent="0.25">
      <c r="C124" s="9"/>
      <c r="D124" s="9"/>
      <c r="E124" s="37"/>
      <c r="G124" s="24"/>
      <c r="I124" s="24"/>
      <c r="K124" s="24"/>
      <c r="M124" s="24"/>
    </row>
    <row r="125" spans="3:13" x14ac:dyDescent="0.25">
      <c r="C125" s="11" t="s">
        <v>168</v>
      </c>
      <c r="D125" s="9" t="s">
        <v>105</v>
      </c>
      <c r="E125" s="37">
        <v>4.0999999999999996</v>
      </c>
      <c r="G125" s="24">
        <v>4.0999999999999996</v>
      </c>
      <c r="I125" s="24">
        <v>4.0999999999999996</v>
      </c>
      <c r="K125" s="24">
        <v>4.0999999999999996</v>
      </c>
      <c r="M125" s="24">
        <v>4.0999999999999996</v>
      </c>
    </row>
    <row r="126" spans="3:13" x14ac:dyDescent="0.25">
      <c r="C126" s="14" t="s">
        <v>169</v>
      </c>
      <c r="D126" s="9" t="s">
        <v>14</v>
      </c>
      <c r="E126" s="45">
        <f>716.4361*0.9</f>
        <v>644.79249000000004</v>
      </c>
      <c r="G126" s="32">
        <f>716.4361*0.9</f>
        <v>644.79249000000004</v>
      </c>
      <c r="I126" s="32">
        <f>716.4361*0.9</f>
        <v>644.79249000000004</v>
      </c>
      <c r="K126" s="32">
        <f>716.4361*0.9</f>
        <v>644.79249000000004</v>
      </c>
      <c r="M126" s="32">
        <f>716.4361*0.9</f>
        <v>644.79249000000004</v>
      </c>
    </row>
    <row r="127" spans="3:13" x14ac:dyDescent="0.25">
      <c r="C127" s="9" t="s">
        <v>103</v>
      </c>
      <c r="D127" s="9" t="s">
        <v>17</v>
      </c>
      <c r="E127" s="37">
        <f>(E95-E126)*E125</f>
        <v>899.04523787783921</v>
      </c>
      <c r="G127" s="24">
        <f>(G95-G126)*G125</f>
        <v>899.04523787783921</v>
      </c>
      <c r="I127" s="24">
        <f>(I95-I126)*I125</f>
        <v>899.04523787783921</v>
      </c>
      <c r="K127" s="24">
        <f>(K95-K126)*K125</f>
        <v>899.04523787783921</v>
      </c>
      <c r="M127" s="24">
        <f>(M95-M126)*M125</f>
        <v>899.04523787783921</v>
      </c>
    </row>
    <row r="128" spans="3:13" x14ac:dyDescent="0.25">
      <c r="C128" s="9"/>
      <c r="D128" s="9"/>
      <c r="E128" s="37"/>
      <c r="G128" s="24"/>
      <c r="I128" s="24"/>
      <c r="K128" s="24"/>
      <c r="M128" s="24"/>
    </row>
    <row r="129" spans="3:13" x14ac:dyDescent="0.25">
      <c r="C129" s="11" t="s">
        <v>104</v>
      </c>
      <c r="D129" s="9" t="s">
        <v>105</v>
      </c>
      <c r="E129" s="37">
        <v>3.5</v>
      </c>
      <c r="G129" s="24">
        <v>3.5</v>
      </c>
      <c r="I129" s="24">
        <v>3.5</v>
      </c>
      <c r="K129" s="24">
        <v>3.5</v>
      </c>
      <c r="M129" s="24">
        <v>3.5</v>
      </c>
    </row>
    <row r="130" spans="3:13" x14ac:dyDescent="0.25">
      <c r="C130" s="14" t="s">
        <v>106</v>
      </c>
      <c r="D130" s="9" t="s">
        <v>14</v>
      </c>
      <c r="E130" s="45">
        <f>0.25*506*0.9</f>
        <v>113.85000000000001</v>
      </c>
      <c r="G130" s="32">
        <f>0.25*506*0.9</f>
        <v>113.85000000000001</v>
      </c>
      <c r="I130" s="32">
        <f>0.25*506*0.9</f>
        <v>113.85000000000001</v>
      </c>
      <c r="K130" s="32">
        <f>0.25*506*0.9</f>
        <v>113.85000000000001</v>
      </c>
      <c r="M130" s="32">
        <f>0.25*506*0.9</f>
        <v>113.85000000000001</v>
      </c>
    </row>
    <row r="131" spans="3:13" x14ac:dyDescent="0.25">
      <c r="C131" s="9" t="s">
        <v>107</v>
      </c>
      <c r="D131" s="9" t="s">
        <v>17</v>
      </c>
      <c r="E131" s="37">
        <f>(E52-E130)*E129</f>
        <v>476.52499999999992</v>
      </c>
      <c r="G131" s="24">
        <f>(G52-G130)*G129</f>
        <v>476.52499999999992</v>
      </c>
      <c r="I131" s="24">
        <f>(I52-I130)*I129</f>
        <v>476.52499999999992</v>
      </c>
      <c r="K131" s="24">
        <f>(K52-K130)*K129</f>
        <v>476.52499999999992</v>
      </c>
      <c r="M131" s="24">
        <f>(M52-M130)*M129</f>
        <v>476.52499999999992</v>
      </c>
    </row>
    <row r="132" spans="3:13" x14ac:dyDescent="0.25">
      <c r="C132" s="9"/>
      <c r="D132" s="9"/>
      <c r="E132" s="37"/>
      <c r="G132" s="24"/>
      <c r="I132" s="24"/>
      <c r="K132" s="24"/>
      <c r="M132" s="24"/>
    </row>
    <row r="133" spans="3:13" x14ac:dyDescent="0.25">
      <c r="C133" s="11" t="s">
        <v>108</v>
      </c>
      <c r="D133" s="9" t="s">
        <v>105</v>
      </c>
      <c r="E133" s="37">
        <v>4.4749999999999996</v>
      </c>
      <c r="G133" s="24">
        <v>4.4749999999999996</v>
      </c>
      <c r="I133" s="24">
        <v>4.4749999999999996</v>
      </c>
      <c r="K133" s="24">
        <v>4.4749999999999996</v>
      </c>
      <c r="M133" s="24">
        <v>4.4749999999999996</v>
      </c>
    </row>
    <row r="134" spans="3:13" x14ac:dyDescent="0.25">
      <c r="C134" s="14" t="s">
        <v>109</v>
      </c>
      <c r="D134" s="9" t="s">
        <v>14</v>
      </c>
      <c r="E134" s="45">
        <f>0.125*506*0.9</f>
        <v>56.925000000000004</v>
      </c>
      <c r="G134" s="32">
        <f>0.125*506*0.9</f>
        <v>56.925000000000004</v>
      </c>
      <c r="I134" s="32">
        <f>0.125*506*0.9</f>
        <v>56.925000000000004</v>
      </c>
      <c r="K134" s="32">
        <f>0.125*506*0.9</f>
        <v>56.925000000000004</v>
      </c>
      <c r="M134" s="32">
        <f>0.125*506*0.9</f>
        <v>56.925000000000004</v>
      </c>
    </row>
    <row r="135" spans="3:13" x14ac:dyDescent="0.25">
      <c r="C135" s="9" t="s">
        <v>110</v>
      </c>
      <c r="D135" s="9" t="s">
        <v>17</v>
      </c>
      <c r="E135" s="37">
        <f>(E53-E134)*E133</f>
        <v>304.63562499999995</v>
      </c>
      <c r="G135" s="24">
        <f>(G53-G134)*G133</f>
        <v>304.63562499999995</v>
      </c>
      <c r="I135" s="24">
        <f>(I53-I134)*I133</f>
        <v>304.63562499999995</v>
      </c>
      <c r="K135" s="24">
        <f>(K53-K134)*K133</f>
        <v>304.63562499999995</v>
      </c>
      <c r="M135" s="24">
        <f>(M53-M134)*M133</f>
        <v>304.63562499999995</v>
      </c>
    </row>
    <row r="136" spans="3:13" x14ac:dyDescent="0.25">
      <c r="C136" s="9"/>
      <c r="D136" s="9"/>
      <c r="E136" s="37"/>
      <c r="G136" s="24"/>
      <c r="I136" s="24"/>
      <c r="K136" s="24"/>
      <c r="M136" s="24"/>
    </row>
    <row r="137" spans="3:13" x14ac:dyDescent="0.25">
      <c r="C137" s="9" t="s">
        <v>111</v>
      </c>
      <c r="D137" s="9"/>
      <c r="E137" s="37"/>
      <c r="G137" s="24"/>
      <c r="I137" s="24"/>
      <c r="K137" s="24"/>
      <c r="M137" s="24"/>
    </row>
    <row r="138" spans="3:13" x14ac:dyDescent="0.25">
      <c r="C138" s="14" t="s">
        <v>112</v>
      </c>
      <c r="D138" s="9" t="s">
        <v>17</v>
      </c>
      <c r="E138" s="45">
        <v>9000</v>
      </c>
      <c r="G138" s="32">
        <v>9000</v>
      </c>
      <c r="I138" s="32">
        <v>9000</v>
      </c>
      <c r="K138" s="32">
        <v>9000</v>
      </c>
      <c r="M138" s="32">
        <v>9000</v>
      </c>
    </row>
    <row r="139" spans="3:13" x14ac:dyDescent="0.25">
      <c r="C139" s="14" t="s">
        <v>113</v>
      </c>
      <c r="D139" s="9" t="s">
        <v>54</v>
      </c>
      <c r="E139" s="45">
        <f>6.28*0.9</f>
        <v>5.6520000000000001</v>
      </c>
      <c r="G139" s="32">
        <f>6.28*0.9</f>
        <v>5.6520000000000001</v>
      </c>
      <c r="I139" s="32">
        <f>6.28*0.9</f>
        <v>5.6520000000000001</v>
      </c>
      <c r="K139" s="32">
        <f>6.28*0.9</f>
        <v>5.6520000000000001</v>
      </c>
      <c r="M139" s="32">
        <f>6.28*0.9</f>
        <v>5.6520000000000001</v>
      </c>
    </row>
    <row r="140" spans="3:13" x14ac:dyDescent="0.25">
      <c r="C140" s="14" t="s">
        <v>114</v>
      </c>
      <c r="D140" s="9" t="s">
        <v>17</v>
      </c>
      <c r="E140" s="37">
        <f>E138/E139</f>
        <v>1592.3566878980891</v>
      </c>
      <c r="G140" s="24">
        <f>G138/G139</f>
        <v>1592.3566878980891</v>
      </c>
      <c r="I140" s="24">
        <f>I138/I139</f>
        <v>1592.3566878980891</v>
      </c>
      <c r="K140" s="24">
        <f>K138/K139</f>
        <v>1592.3566878980891</v>
      </c>
      <c r="M140" s="24">
        <f>M138/M139</f>
        <v>1592.3566878980891</v>
      </c>
    </row>
    <row r="141" spans="3:13" x14ac:dyDescent="0.25">
      <c r="C141" s="9"/>
      <c r="D141" s="9"/>
      <c r="E141" s="37"/>
      <c r="G141" s="24"/>
      <c r="I141" s="24"/>
      <c r="K141" s="24"/>
      <c r="M141" s="24"/>
    </row>
    <row r="142" spans="3:13" x14ac:dyDescent="0.25">
      <c r="C142" s="10" t="s">
        <v>115</v>
      </c>
      <c r="D142" s="9" t="s">
        <v>17</v>
      </c>
      <c r="E142" s="37">
        <f>E59</f>
        <v>1592.3566878980891</v>
      </c>
      <c r="G142" s="24">
        <f>G59</f>
        <v>1592.3566878980891</v>
      </c>
      <c r="I142" s="24">
        <f>I59</f>
        <v>1592.3566878980891</v>
      </c>
      <c r="K142" s="24">
        <f>K59</f>
        <v>2000</v>
      </c>
      <c r="M142" s="24">
        <f>M59</f>
        <v>1428.5714285714287</v>
      </c>
    </row>
    <row r="143" spans="3:13" x14ac:dyDescent="0.25">
      <c r="C143" s="9" t="s">
        <v>116</v>
      </c>
      <c r="D143" s="9" t="s">
        <v>17</v>
      </c>
      <c r="E143" s="37">
        <f>E184/E58</f>
        <v>346.84084577543325</v>
      </c>
      <c r="G143" s="24">
        <f>G184/G58</f>
        <v>346.84084577543325</v>
      </c>
      <c r="I143" s="24">
        <f>I184/I58</f>
        <v>346.84084577543325</v>
      </c>
      <c r="K143" s="24">
        <f>K184/K58</f>
        <v>435.63210229394417</v>
      </c>
      <c r="M143" s="24">
        <f>M184/M58</f>
        <v>311.16578735281729</v>
      </c>
    </row>
    <row r="144" spans="3:13" x14ac:dyDescent="0.25">
      <c r="C144" s="9"/>
      <c r="D144" s="9"/>
      <c r="E144" s="37"/>
      <c r="G144" s="24"/>
      <c r="I144" s="24"/>
      <c r="K144" s="24"/>
      <c r="M144" s="24"/>
    </row>
    <row r="145" spans="3:13" x14ac:dyDescent="0.25">
      <c r="C145" s="9" t="s">
        <v>117</v>
      </c>
      <c r="D145" s="9" t="s">
        <v>17</v>
      </c>
      <c r="E145" s="37">
        <f>MAX(E142,E143)</f>
        <v>1592.3566878980891</v>
      </c>
      <c r="G145" s="24">
        <f>MAX(G142,G143)</f>
        <v>1592.3566878980891</v>
      </c>
      <c r="I145" s="24">
        <f>MAX(I142,I143)</f>
        <v>1592.3566878980891</v>
      </c>
      <c r="K145" s="24">
        <f>MAX(K142,K143)</f>
        <v>2000</v>
      </c>
      <c r="M145" s="24">
        <f>MAX(M142,M143)</f>
        <v>1428.5714285714287</v>
      </c>
    </row>
    <row r="146" spans="3:13" x14ac:dyDescent="0.25">
      <c r="C146" s="9" t="s">
        <v>118</v>
      </c>
      <c r="D146" s="9" t="s">
        <v>17</v>
      </c>
      <c r="E146" s="37">
        <f>(E145-E140)*E56</f>
        <v>0</v>
      </c>
      <c r="F146" s="7"/>
      <c r="G146" s="24">
        <f>(G145-G140)*G56</f>
        <v>0</v>
      </c>
      <c r="I146" s="24">
        <f>(I145-I140)*I56</f>
        <v>0</v>
      </c>
      <c r="K146" s="24">
        <f>(K145-K140)*K56</f>
        <v>815.2866242038217</v>
      </c>
      <c r="M146" s="24">
        <f>(M145-M140)*M56</f>
        <v>-327.57051865332096</v>
      </c>
    </row>
    <row r="147" spans="3:13" x14ac:dyDescent="0.25">
      <c r="C147" s="9"/>
      <c r="D147" s="9"/>
      <c r="E147" s="37"/>
      <c r="G147" s="24"/>
      <c r="I147" s="24"/>
      <c r="K147" s="24"/>
      <c r="M147" s="24"/>
    </row>
    <row r="148" spans="3:13" x14ac:dyDescent="0.25">
      <c r="C148" s="9" t="s">
        <v>119</v>
      </c>
      <c r="D148" s="9" t="s">
        <v>17</v>
      </c>
      <c r="E148" s="37">
        <f>E123+E127+E131+E135+E146</f>
        <v>6016.4514129457975</v>
      </c>
      <c r="G148" s="24">
        <f>G123+G127+G131+G135+G146</f>
        <v>6016.4514129457975</v>
      </c>
      <c r="I148" s="24">
        <f>I123+I127+I131+I135+I146</f>
        <v>6016.4514129457975</v>
      </c>
      <c r="K148" s="24">
        <f>K123+K127+K131+K135+K146</f>
        <v>6831.7380371496192</v>
      </c>
      <c r="M148" s="24">
        <f>M123+M127+M131+M135+M146</f>
        <v>5688.880894292477</v>
      </c>
    </row>
    <row r="149" spans="3:13" x14ac:dyDescent="0.25">
      <c r="C149" s="9"/>
      <c r="D149" s="9"/>
      <c r="E149" s="37"/>
      <c r="G149" s="24"/>
      <c r="I149" s="24"/>
      <c r="K149" s="24"/>
      <c r="M149" s="24"/>
    </row>
    <row r="150" spans="3:13" x14ac:dyDescent="0.25">
      <c r="C150" s="9"/>
      <c r="D150" s="9"/>
      <c r="E150" s="37"/>
      <c r="G150" s="24"/>
      <c r="I150" s="24"/>
      <c r="K150" s="24"/>
      <c r="M150" s="24"/>
    </row>
    <row r="151" spans="3:13" x14ac:dyDescent="0.25">
      <c r="C151" s="12" t="s">
        <v>120</v>
      </c>
      <c r="D151" s="9"/>
      <c r="E151" s="37"/>
      <c r="G151" s="24"/>
      <c r="I151" s="24"/>
      <c r="K151" s="24"/>
      <c r="M151" s="24"/>
    </row>
    <row r="152" spans="3:13" x14ac:dyDescent="0.25">
      <c r="C152" s="11" t="s">
        <v>121</v>
      </c>
      <c r="D152" s="9"/>
      <c r="E152" s="38">
        <v>0.97</v>
      </c>
      <c r="G152" s="25">
        <v>0.97</v>
      </c>
      <c r="I152" s="25">
        <v>0.97</v>
      </c>
      <c r="K152" s="25">
        <v>0.97</v>
      </c>
      <c r="M152" s="25">
        <v>0.97</v>
      </c>
    </row>
    <row r="153" spans="3:13" x14ac:dyDescent="0.25">
      <c r="C153" s="9" t="s">
        <v>122</v>
      </c>
      <c r="D153" s="9" t="s">
        <v>17</v>
      </c>
      <c r="E153" s="37">
        <f>E20*E152</f>
        <v>27257</v>
      </c>
      <c r="G153" s="24">
        <f>G20*G152</f>
        <v>27257</v>
      </c>
      <c r="I153" s="24">
        <f>I20*I152</f>
        <v>27257</v>
      </c>
      <c r="K153" s="24">
        <f>K20*K152</f>
        <v>27257</v>
      </c>
      <c r="M153" s="24">
        <f>M20*M152</f>
        <v>27257</v>
      </c>
    </row>
    <row r="154" spans="3:13" x14ac:dyDescent="0.25">
      <c r="C154" s="9"/>
      <c r="D154" s="9"/>
      <c r="E154" s="37"/>
      <c r="G154" s="24"/>
      <c r="I154" s="24"/>
      <c r="K154" s="24"/>
      <c r="M154" s="24"/>
    </row>
    <row r="155" spans="3:13" x14ac:dyDescent="0.25">
      <c r="C155" s="11" t="s">
        <v>123</v>
      </c>
      <c r="D155" s="9" t="s">
        <v>7</v>
      </c>
      <c r="E155" s="37">
        <v>25000</v>
      </c>
      <c r="G155" s="24">
        <v>25000</v>
      </c>
      <c r="I155" s="24">
        <v>25000</v>
      </c>
      <c r="K155" s="24">
        <v>25000</v>
      </c>
      <c r="M155" s="24">
        <v>25000</v>
      </c>
    </row>
    <row r="156" spans="3:13" x14ac:dyDescent="0.25">
      <c r="C156" s="11" t="s">
        <v>124</v>
      </c>
      <c r="D156" s="9" t="s">
        <v>167</v>
      </c>
      <c r="E156" s="37">
        <v>0</v>
      </c>
      <c r="G156" s="24">
        <v>0</v>
      </c>
      <c r="I156" s="24">
        <v>0</v>
      </c>
      <c r="K156" s="24">
        <v>0</v>
      </c>
      <c r="M156" s="24">
        <v>0</v>
      </c>
    </row>
    <row r="157" spans="3:13" x14ac:dyDescent="0.25">
      <c r="C157" s="11" t="s">
        <v>126</v>
      </c>
      <c r="D157" s="9"/>
      <c r="E157" s="37">
        <v>0.5</v>
      </c>
      <c r="G157" s="24">
        <v>0.5</v>
      </c>
      <c r="I157" s="24">
        <v>0.5</v>
      </c>
      <c r="K157" s="24">
        <v>0.5</v>
      </c>
      <c r="M157" s="24">
        <v>0.5</v>
      </c>
    </row>
    <row r="158" spans="3:13" x14ac:dyDescent="0.25">
      <c r="C158" s="9" t="s">
        <v>127</v>
      </c>
      <c r="D158" s="9" t="s">
        <v>128</v>
      </c>
      <c r="E158" s="37">
        <f>1481.6519*E103*E157^2</f>
        <v>137.45669853813126</v>
      </c>
      <c r="G158" s="24">
        <f>1481.6519*G103*G157^2</f>
        <v>137.45669853813126</v>
      </c>
      <c r="I158" s="24">
        <f>1481.6519*I103*I157^2</f>
        <v>137.45669853813126</v>
      </c>
      <c r="K158" s="24">
        <f>1481.6519*K103*K157^2</f>
        <v>137.45669853813126</v>
      </c>
      <c r="M158" s="24">
        <f>1481.6519*M103*M157^2</f>
        <v>137.45669853813126</v>
      </c>
    </row>
    <row r="159" spans="3:13" x14ac:dyDescent="0.25">
      <c r="C159" s="9" t="s">
        <v>129</v>
      </c>
      <c r="D159" s="9" t="s">
        <v>130</v>
      </c>
      <c r="E159" s="37">
        <f>E160*0.592484</f>
        <v>300.97557599103681</v>
      </c>
      <c r="G159" s="24">
        <f>G160*0.592484</f>
        <v>300.97557599103681</v>
      </c>
      <c r="I159" s="24">
        <f>I160*0.592484</f>
        <v>300.97557599103681</v>
      </c>
      <c r="K159" s="24">
        <f>K160*0.592484</f>
        <v>300.97557599103681</v>
      </c>
      <c r="M159" s="24">
        <f>M160*0.592484</f>
        <v>300.97557599103681</v>
      </c>
    </row>
    <row r="160" spans="3:13" x14ac:dyDescent="0.25">
      <c r="C160" s="9" t="s">
        <v>131</v>
      </c>
      <c r="D160" s="9" t="s">
        <v>132</v>
      </c>
      <c r="E160" s="37">
        <f>E109*E157</f>
        <v>507.98937353757537</v>
      </c>
      <c r="G160" s="24">
        <f>G109*G157</f>
        <v>507.98937353757537</v>
      </c>
      <c r="I160" s="24">
        <f>I109*I157</f>
        <v>507.98937353757537</v>
      </c>
      <c r="K160" s="24">
        <f>K109*K157</f>
        <v>507.98937353757537</v>
      </c>
      <c r="M160" s="24">
        <f>M109*M157</f>
        <v>507.98937353757537</v>
      </c>
    </row>
    <row r="161" spans="3:13" x14ac:dyDescent="0.25">
      <c r="C161" s="9" t="s">
        <v>166</v>
      </c>
      <c r="D161" s="9"/>
      <c r="E161" s="37">
        <f>IF(E155&lt;36089,1-(6.87535*10^-6)*E155, 0.75187)</f>
        <v>0.82811625</v>
      </c>
      <c r="G161" s="24">
        <f>IF(G155&lt;36089,1-(6.87535*10^-6)*G155, 0.75187)</f>
        <v>0.82811625</v>
      </c>
      <c r="I161" s="24">
        <f>IF(I155&lt;36089,1-(6.87535*10^-6)*I155, 0.75187)</f>
        <v>0.82811625</v>
      </c>
      <c r="K161" s="24">
        <f>IF(K155&lt;36089,1-(6.87535*10^-6)*K155, 0.75187)</f>
        <v>0.82811625</v>
      </c>
      <c r="M161" s="24">
        <f>IF(M155&lt;36089,1-(6.87535*10^-6)*M155, 0.75187)</f>
        <v>0.82811625</v>
      </c>
    </row>
    <row r="162" spans="3:13" x14ac:dyDescent="0.25">
      <c r="C162" s="9" t="s">
        <v>133</v>
      </c>
      <c r="D162" s="9"/>
      <c r="E162" s="37">
        <f>IF(E155&lt;36089,E161^5.2561,0.22336*EXP((36089-E155)/20806.7))</f>
        <v>0.37109039859667781</v>
      </c>
      <c r="G162" s="24">
        <f>IF(G155&lt;36089,G161^5.2561,0.22336*EXP((36089-G155)/20806.7))</f>
        <v>0.37109039859667781</v>
      </c>
      <c r="I162" s="24">
        <f>IF(I155&lt;36089,I161^5.2561,0.22336*EXP((36089-I155)/20806.7))</f>
        <v>0.37109039859667781</v>
      </c>
      <c r="K162" s="24">
        <f>IF(K155&lt;36089,K161^5.2561,0.22336*EXP((36089-K155)/20806.7))</f>
        <v>0.37109039859667781</v>
      </c>
      <c r="M162" s="24">
        <f>IF(M155&lt;36089,M161^5.2561,0.22336*EXP((36089-M155)/20806.7))</f>
        <v>0.37109039859667781</v>
      </c>
    </row>
    <row r="163" spans="3:13" x14ac:dyDescent="0.25">
      <c r="C163" s="9"/>
      <c r="D163" s="9"/>
      <c r="E163" s="37"/>
      <c r="G163" s="24"/>
      <c r="I163" s="24"/>
      <c r="K163" s="24"/>
      <c r="M163" s="24"/>
    </row>
    <row r="164" spans="3:13" x14ac:dyDescent="0.25">
      <c r="C164" s="9" t="s">
        <v>134</v>
      </c>
      <c r="D164" s="9"/>
      <c r="E164" s="37">
        <f>E153/(E158*E34)</f>
        <v>0.19829517433403768</v>
      </c>
      <c r="G164" s="24">
        <f>G153/(G158*G34)</f>
        <v>0.19829517433403768</v>
      </c>
      <c r="I164" s="24">
        <f>I153/(I158*I34)</f>
        <v>0.19829517433403768</v>
      </c>
      <c r="K164" s="24">
        <f>K153/(K158*K34)</f>
        <v>0.19829517433403768</v>
      </c>
      <c r="M164" s="24">
        <f>M153/(M158*M34)</f>
        <v>0.19829517433403768</v>
      </c>
    </row>
    <row r="165" spans="3:13" x14ac:dyDescent="0.25">
      <c r="C165" s="9" t="s">
        <v>135</v>
      </c>
      <c r="D165" s="9"/>
      <c r="E165" s="37">
        <f>E164*(1/(E166))</f>
        <v>1.3894392639401841E-2</v>
      </c>
      <c r="G165" s="24">
        <f>G164*(1/(G166))</f>
        <v>1.3894392639401841E-2</v>
      </c>
      <c r="I165" s="24">
        <f>I164*(1/(I166))</f>
        <v>1.3894392639401841E-2</v>
      </c>
      <c r="K165" s="24">
        <f>K164*(1/(K166))</f>
        <v>1.3894392639401841E-2</v>
      </c>
      <c r="M165" s="24">
        <f>M164*(1/(M166))</f>
        <v>1.3894392639401841E-2</v>
      </c>
    </row>
    <row r="166" spans="3:13" x14ac:dyDescent="0.25">
      <c r="C166" s="9" t="s">
        <v>136</v>
      </c>
      <c r="D166" s="9"/>
      <c r="E166" s="37">
        <f>(E153/(E158*E34*(E114+E117*E164^2)))</f>
        <v>14.271597145722692</v>
      </c>
      <c r="G166" s="24">
        <f>(G153/(G158*G34*(G114+G117*G164^2)))</f>
        <v>14.271597145722692</v>
      </c>
      <c r="I166" s="24">
        <f>(I153/(I158*I34*(I114+I117*I164^2)))</f>
        <v>14.271597145722692</v>
      </c>
      <c r="K166" s="24">
        <f>(K153/(K158*K34*(K114+K117*K164^2)))</f>
        <v>14.271597145722692</v>
      </c>
      <c r="M166" s="24">
        <f>(M153/(M158*M34*(M114+M117*M164^2)))</f>
        <v>14.271597145722692</v>
      </c>
    </row>
    <row r="167" spans="3:13" x14ac:dyDescent="0.25">
      <c r="C167" s="9"/>
      <c r="D167" s="9"/>
      <c r="E167" s="37"/>
      <c r="G167" s="24"/>
      <c r="I167" s="24"/>
      <c r="K167" s="24"/>
      <c r="M167" s="24"/>
    </row>
    <row r="168" spans="3:13" x14ac:dyDescent="0.25">
      <c r="C168" s="9"/>
      <c r="D168" s="9"/>
      <c r="E168" s="37"/>
      <c r="G168" s="24"/>
      <c r="I168" s="24"/>
      <c r="K168" s="24"/>
      <c r="M168" s="24"/>
    </row>
    <row r="169" spans="3:13" x14ac:dyDescent="0.25">
      <c r="C169" s="11" t="s">
        <v>137</v>
      </c>
      <c r="D169" s="9"/>
      <c r="E169" s="37">
        <v>0.05</v>
      </c>
      <c r="G169" s="24">
        <v>0.05</v>
      </c>
      <c r="I169" s="24">
        <v>0.05</v>
      </c>
      <c r="K169" s="24">
        <v>0.05</v>
      </c>
      <c r="M169" s="24">
        <v>0.05</v>
      </c>
    </row>
    <row r="170" spans="3:13" x14ac:dyDescent="0.25">
      <c r="C170" s="9" t="s">
        <v>138</v>
      </c>
      <c r="D170" s="9" t="s">
        <v>17</v>
      </c>
      <c r="E170" s="37">
        <f>(E29+E30)*E169</f>
        <v>1355</v>
      </c>
      <c r="G170" s="24">
        <f>(G29+G30)*G169</f>
        <v>1355</v>
      </c>
      <c r="I170" s="24">
        <f>(I29+I30)*I169</f>
        <v>1355</v>
      </c>
      <c r="K170" s="24">
        <f>(K29+K30)*K169</f>
        <v>1355</v>
      </c>
      <c r="M170" s="24">
        <f>(M29+M30)*M169</f>
        <v>1355</v>
      </c>
    </row>
    <row r="171" spans="3:13" x14ac:dyDescent="0.25">
      <c r="C171" s="9" t="s">
        <v>139</v>
      </c>
      <c r="D171" s="9" t="s">
        <v>17</v>
      </c>
      <c r="E171" s="37">
        <f>E23-E170</f>
        <v>-355</v>
      </c>
      <c r="G171" s="24">
        <f>G23-G170</f>
        <v>-355</v>
      </c>
      <c r="I171" s="24">
        <f>I23-I170</f>
        <v>-355</v>
      </c>
      <c r="K171" s="24">
        <f>K23-K170</f>
        <v>-355</v>
      </c>
      <c r="M171" s="24">
        <f>M23-M170</f>
        <v>-355</v>
      </c>
    </row>
    <row r="172" spans="3:13" x14ac:dyDescent="0.25">
      <c r="C172" s="9"/>
      <c r="D172" s="9"/>
      <c r="E172" s="37"/>
      <c r="G172" s="24"/>
      <c r="I172" s="24"/>
      <c r="K172" s="24"/>
      <c r="M172" s="24"/>
    </row>
    <row r="173" spans="3:13" x14ac:dyDescent="0.25">
      <c r="C173" s="11" t="s">
        <v>140</v>
      </c>
      <c r="D173" s="9"/>
      <c r="E173" s="37">
        <v>0.91</v>
      </c>
      <c r="G173" s="24">
        <v>0.91</v>
      </c>
      <c r="I173" s="24">
        <v>0.91</v>
      </c>
      <c r="K173" s="24">
        <v>0.91</v>
      </c>
      <c r="M173" s="24">
        <v>0.91</v>
      </c>
    </row>
    <row r="174" spans="3:13" x14ac:dyDescent="0.25">
      <c r="C174" s="9" t="s">
        <v>141</v>
      </c>
      <c r="D174" s="9" t="s">
        <v>4</v>
      </c>
      <c r="E174" s="37">
        <f>(E173*E159*E166)/E63*LN(E20/(E20-E171))</f>
        <v>-135.18597750404032</v>
      </c>
      <c r="G174" s="24">
        <f>(G173*G159*G166)/G63*LN(G20/(G20-G171))</f>
        <v>-109.05002185325918</v>
      </c>
      <c r="I174" s="24">
        <f>(I173*I159*I166)/I63*LN(I20/(I20-I171))</f>
        <v>-163.57503277988877</v>
      </c>
      <c r="K174" s="24">
        <f>(K173*K159*K166)/K63*LN(K20/(K20-K171))</f>
        <v>-135.18597750404032</v>
      </c>
      <c r="M174" s="24">
        <f>(M173*M159*M166)/M63*LN(M20/(M20-M171))</f>
        <v>-135.18597750404032</v>
      </c>
    </row>
    <row r="175" spans="3:13" x14ac:dyDescent="0.25">
      <c r="C175" s="9"/>
      <c r="D175" s="9"/>
      <c r="E175" s="37"/>
      <c r="G175" s="24"/>
      <c r="I175" s="24"/>
      <c r="K175" s="24"/>
      <c r="M175" s="24"/>
    </row>
    <row r="176" spans="3:13" x14ac:dyDescent="0.25">
      <c r="C176" s="9"/>
      <c r="D176" s="9"/>
      <c r="E176" s="37"/>
      <c r="G176" s="24"/>
      <c r="I176" s="24"/>
      <c r="K176" s="24"/>
      <c r="M176" s="24"/>
    </row>
    <row r="177" spans="3:13" x14ac:dyDescent="0.25">
      <c r="C177" s="11" t="s">
        <v>142</v>
      </c>
      <c r="D177" s="9" t="s">
        <v>143</v>
      </c>
      <c r="E177" s="38">
        <v>300</v>
      </c>
      <c r="G177" s="25">
        <v>300</v>
      </c>
      <c r="I177" s="25">
        <v>300</v>
      </c>
      <c r="K177" s="25">
        <v>300</v>
      </c>
      <c r="M177" s="25">
        <v>300</v>
      </c>
    </row>
    <row r="178" spans="3:13" x14ac:dyDescent="0.25">
      <c r="C178" s="9" t="s">
        <v>144</v>
      </c>
      <c r="D178" s="9" t="s">
        <v>17</v>
      </c>
      <c r="E178" s="37">
        <f>E153/E166</f>
        <v>1909.8773404046885</v>
      </c>
      <c r="G178" s="24">
        <f>G153/G166</f>
        <v>1909.8773404046885</v>
      </c>
      <c r="I178" s="24">
        <f>I153/I166</f>
        <v>1909.8773404046885</v>
      </c>
      <c r="K178" s="24">
        <f>K153/K166</f>
        <v>1909.8773404046885</v>
      </c>
      <c r="M178" s="24">
        <f>M153/M166</f>
        <v>1909.8773404046885</v>
      </c>
    </row>
    <row r="179" spans="3:13" x14ac:dyDescent="0.25">
      <c r="C179" s="9" t="s">
        <v>145</v>
      </c>
      <c r="D179" s="9" t="s">
        <v>17</v>
      </c>
      <c r="E179" s="37">
        <f>E153/E166+(E177/60)/(E160)*E153</f>
        <v>2178.1605114697209</v>
      </c>
      <c r="G179" s="24">
        <f>G153/G166+(G177/60)/(G160)*G153</f>
        <v>2178.1605114697209</v>
      </c>
      <c r="I179" s="24">
        <f>I153/I166+(I177/60)/(I160)*I153</f>
        <v>2178.1605114697209</v>
      </c>
      <c r="K179" s="24">
        <f>K153/K166+(K177/60)/(K160)*K153</f>
        <v>2178.1605114697209</v>
      </c>
      <c r="M179" s="24">
        <f>M153/M166+(M177/60)/(M160)*M153</f>
        <v>2178.1605114697209</v>
      </c>
    </row>
    <row r="180" spans="3:13" x14ac:dyDescent="0.25">
      <c r="C180" s="9"/>
      <c r="D180" s="9"/>
      <c r="E180" s="37"/>
      <c r="G180" s="24"/>
      <c r="I180" s="24"/>
      <c r="K180" s="24"/>
      <c r="M180" s="24"/>
    </row>
    <row r="181" spans="3:13" x14ac:dyDescent="0.25">
      <c r="C181" s="9" t="s">
        <v>146</v>
      </c>
      <c r="D181" s="9" t="s">
        <v>17</v>
      </c>
      <c r="E181" s="37">
        <f>E179/E56</f>
        <v>1089.0802557348604</v>
      </c>
      <c r="G181" s="24">
        <f>G179/G56</f>
        <v>1089.0802557348604</v>
      </c>
      <c r="I181" s="24">
        <f>I179/I56</f>
        <v>1089.0802557348604</v>
      </c>
      <c r="K181" s="24">
        <f>K179/K56</f>
        <v>1089.0802557348604</v>
      </c>
      <c r="M181" s="24">
        <f>M179/M56</f>
        <v>1089.0802557348604</v>
      </c>
    </row>
    <row r="182" spans="3:13" x14ac:dyDescent="0.25">
      <c r="C182" s="11" t="s">
        <v>147</v>
      </c>
      <c r="D182" s="9" t="s">
        <v>148</v>
      </c>
      <c r="E182" s="38">
        <v>0.5</v>
      </c>
      <c r="G182" s="25">
        <v>0.5</v>
      </c>
      <c r="I182" s="25">
        <v>0.5</v>
      </c>
      <c r="K182" s="25">
        <v>0.5</v>
      </c>
      <c r="M182" s="25">
        <v>0.5</v>
      </c>
    </row>
    <row r="183" spans="3:13" x14ac:dyDescent="0.25">
      <c r="C183" s="9"/>
      <c r="D183" s="9"/>
      <c r="E183" s="37"/>
      <c r="G183" s="24"/>
      <c r="I183" s="24"/>
      <c r="K183" s="24"/>
      <c r="M183" s="24"/>
    </row>
    <row r="184" spans="3:13" x14ac:dyDescent="0.25">
      <c r="C184" s="9" t="s">
        <v>149</v>
      </c>
      <c r="D184" s="9" t="s">
        <v>17</v>
      </c>
      <c r="E184" s="37">
        <f>E181/E182</f>
        <v>2178.1605114697209</v>
      </c>
      <c r="F184" s="7"/>
      <c r="G184" s="24">
        <f>G181/G182</f>
        <v>2178.1605114697209</v>
      </c>
      <c r="I184" s="24">
        <f>I181/I182</f>
        <v>2178.1605114697209</v>
      </c>
      <c r="K184" s="24">
        <f>K181/K182</f>
        <v>2178.1605114697209</v>
      </c>
      <c r="M184" s="24">
        <f>M181/M182</f>
        <v>2178.1605114697209</v>
      </c>
    </row>
    <row r="185" spans="3:13" x14ac:dyDescent="0.25">
      <c r="C185" s="9"/>
      <c r="D185" s="9"/>
      <c r="E185" s="37"/>
      <c r="G185" s="24"/>
      <c r="I185" s="24"/>
      <c r="K185" s="24"/>
      <c r="M185" s="24"/>
    </row>
    <row r="186" spans="3:13" x14ac:dyDescent="0.25">
      <c r="C186" s="9"/>
      <c r="D186" s="9"/>
      <c r="E186" s="37"/>
      <c r="G186" s="24"/>
      <c r="I186" s="24"/>
      <c r="K186" s="24"/>
      <c r="M186" s="24"/>
    </row>
    <row r="187" spans="3:13" x14ac:dyDescent="0.25">
      <c r="C187" s="11" t="s">
        <v>150</v>
      </c>
      <c r="D187" s="9"/>
      <c r="E187" s="38">
        <v>38</v>
      </c>
      <c r="G187" s="25">
        <v>38</v>
      </c>
      <c r="I187" s="25">
        <v>38</v>
      </c>
      <c r="K187" s="25">
        <v>38</v>
      </c>
      <c r="M187" s="25">
        <v>38</v>
      </c>
    </row>
    <row r="188" spans="3:13" x14ac:dyDescent="0.25">
      <c r="C188" s="9" t="s">
        <v>151</v>
      </c>
      <c r="D188" s="9" t="s">
        <v>128</v>
      </c>
      <c r="E188" s="37">
        <f>E20/E34</f>
        <v>28.1</v>
      </c>
      <c r="G188" s="24">
        <f>G20/G34</f>
        <v>28.1</v>
      </c>
      <c r="I188" s="24">
        <f>I20/I34</f>
        <v>28.1</v>
      </c>
      <c r="K188" s="24">
        <f>K20/K34</f>
        <v>28.1</v>
      </c>
      <c r="M188" s="24">
        <f>M20/M34</f>
        <v>28.1</v>
      </c>
    </row>
    <row r="189" spans="3:13" x14ac:dyDescent="0.25">
      <c r="C189" s="11" t="s">
        <v>152</v>
      </c>
      <c r="D189" s="9"/>
      <c r="E189" s="38">
        <v>1.7</v>
      </c>
      <c r="G189" s="25">
        <v>1.7</v>
      </c>
      <c r="I189" s="25">
        <v>1.7</v>
      </c>
      <c r="K189" s="25">
        <v>1.7</v>
      </c>
      <c r="M189" s="25">
        <v>1.7</v>
      </c>
    </row>
    <row r="190" spans="3:13" x14ac:dyDescent="0.25">
      <c r="C190" s="9" t="s">
        <v>153</v>
      </c>
      <c r="D190" s="9"/>
      <c r="E190" s="37">
        <f>E56*E57/E20</f>
        <v>0.71174377224199292</v>
      </c>
      <c r="G190" s="24">
        <f>G56*G57/G20</f>
        <v>0.71174377224199292</v>
      </c>
      <c r="I190" s="24">
        <f>I56*I57/I20</f>
        <v>0.71174377224199292</v>
      </c>
      <c r="K190" s="24">
        <f>K56*K57/K20</f>
        <v>0.71174377224199292</v>
      </c>
      <c r="M190" s="24">
        <f>M56*M57/M20</f>
        <v>0.71174377224199292</v>
      </c>
    </row>
    <row r="191" spans="3:13" x14ac:dyDescent="0.25">
      <c r="C191" s="9"/>
      <c r="D191" s="9"/>
      <c r="E191" s="37"/>
      <c r="G191" s="24"/>
      <c r="I191" s="24"/>
      <c r="K191" s="24"/>
      <c r="M191" s="24"/>
    </row>
    <row r="192" spans="3:13" x14ac:dyDescent="0.25">
      <c r="C192" s="9" t="s">
        <v>170</v>
      </c>
      <c r="D192" s="9" t="s">
        <v>128</v>
      </c>
      <c r="E192" s="37">
        <f>E22/E34</f>
        <v>24.587499999999999</v>
      </c>
      <c r="G192" s="24">
        <f>G22/G34</f>
        <v>24.587499999999999</v>
      </c>
      <c r="I192" s="24">
        <f>I22/I34</f>
        <v>24.587499999999999</v>
      </c>
      <c r="K192" s="24">
        <f>K22/K34</f>
        <v>24.587499999999999</v>
      </c>
      <c r="M192" s="24">
        <f>M22/M34</f>
        <v>24.587499999999999</v>
      </c>
    </row>
    <row r="193" spans="3:13" x14ac:dyDescent="0.25">
      <c r="C193" s="21" t="s">
        <v>171</v>
      </c>
      <c r="D193" s="9" t="s">
        <v>7</v>
      </c>
      <c r="E193" s="37">
        <v>50</v>
      </c>
      <c r="G193" s="24">
        <v>50</v>
      </c>
      <c r="I193" s="24">
        <v>50</v>
      </c>
      <c r="K193" s="24">
        <v>50</v>
      </c>
      <c r="M193" s="24">
        <v>50</v>
      </c>
    </row>
    <row r="194" spans="3:13" x14ac:dyDescent="0.25">
      <c r="C194" s="9"/>
      <c r="D194" s="9"/>
      <c r="E194" s="37"/>
      <c r="G194" s="24"/>
      <c r="I194" s="24"/>
      <c r="K194" s="24"/>
      <c r="M194" s="24"/>
    </row>
    <row r="195" spans="3:13" x14ac:dyDescent="0.25">
      <c r="C195" s="11" t="s">
        <v>123</v>
      </c>
      <c r="D195" s="9" t="s">
        <v>7</v>
      </c>
      <c r="E195" s="37">
        <v>0</v>
      </c>
      <c r="G195" s="24">
        <v>0</v>
      </c>
      <c r="I195" s="24">
        <v>0</v>
      </c>
      <c r="K195" s="24">
        <v>0</v>
      </c>
      <c r="M195" s="24">
        <v>0</v>
      </c>
    </row>
    <row r="196" spans="3:13" x14ac:dyDescent="0.25">
      <c r="C196" s="11" t="s">
        <v>124</v>
      </c>
      <c r="D196" s="9" t="s">
        <v>125</v>
      </c>
      <c r="E196" s="37">
        <v>0</v>
      </c>
      <c r="G196" s="24">
        <v>0</v>
      </c>
      <c r="I196" s="24">
        <v>0</v>
      </c>
      <c r="K196" s="24">
        <v>0</v>
      </c>
      <c r="M196" s="24">
        <v>0</v>
      </c>
    </row>
    <row r="197" spans="3:13" x14ac:dyDescent="0.25">
      <c r="C197" s="9" t="s">
        <v>81</v>
      </c>
      <c r="D197" s="9"/>
      <c r="E197" s="37">
        <f>IF(E195&lt;36089,1-0.00000687535*E195 + E196*(9/5)/518.67,0.75187 + E196*(9/5)/518.67)</f>
        <v>1</v>
      </c>
      <c r="F197" s="8"/>
      <c r="G197" s="24">
        <f>IF(G195&lt;36089,1-0.00000687535*G195 + G196*(9/5)/518.67,0.75187 + G196*(9/5)/518.67)</f>
        <v>1</v>
      </c>
      <c r="I197" s="24">
        <f>IF(I195&lt;36089,1-0.00000687535*I195 + I196*(9/5)/518.67,0.75187 + I196*(9/5)/518.67)</f>
        <v>1</v>
      </c>
      <c r="K197" s="24">
        <f>IF(K195&lt;36089,1-0.00000687535*K195 + K196*(9/5)/518.67,0.75187 + K196*(9/5)/518.67)</f>
        <v>1</v>
      </c>
      <c r="M197" s="24">
        <f>IF(M195&lt;36089,1-0.00000687535*M195 + M196*(9/5)/518.67,0.75187 + M196*(9/5)/518.67)</f>
        <v>1</v>
      </c>
    </row>
    <row r="198" spans="3:13" x14ac:dyDescent="0.25">
      <c r="C198" s="9" t="s">
        <v>166</v>
      </c>
      <c r="D198" s="9"/>
      <c r="E198" s="37">
        <f>IF(E195&lt;36089,1-(6.87535*10^-6)*E195, 0.75187)</f>
        <v>1</v>
      </c>
      <c r="G198" s="24">
        <f>IF(G195&lt;36089,1-(6.87535*10^-6)*G195, 0.75187)</f>
        <v>1</v>
      </c>
      <c r="I198" s="24">
        <f>IF(I195&lt;36089,1-(6.87535*10^-6)*I195, 0.75187)</f>
        <v>1</v>
      </c>
      <c r="K198" s="24">
        <f>IF(K195&lt;36089,1-(6.87535*10^-6)*K195, 0.75187)</f>
        <v>1</v>
      </c>
      <c r="M198" s="24">
        <f>IF(M195&lt;36089,1-(6.87535*10^-6)*M195, 0.75187)</f>
        <v>1</v>
      </c>
    </row>
    <row r="199" spans="3:13" x14ac:dyDescent="0.25">
      <c r="C199" s="9" t="s">
        <v>83</v>
      </c>
      <c r="D199" s="9"/>
      <c r="E199" s="37">
        <f>IF(E195&lt;36089,E198^5.2561,0.22336*EXP((36089-E195)/20806.7))</f>
        <v>1</v>
      </c>
      <c r="G199" s="24">
        <f>IF(G195&lt;36089,G198^5.2561,0.22336*EXP((36089-G195)/20806.7))</f>
        <v>1</v>
      </c>
      <c r="I199" s="24">
        <f>IF(I195&lt;36089,I198^5.2561,0.22336*EXP((36089-I195)/20806.7))</f>
        <v>1</v>
      </c>
      <c r="K199" s="24">
        <f>IF(K195&lt;36089,K198^5.2561,0.22336*EXP((36089-K195)/20806.7))</f>
        <v>1</v>
      </c>
      <c r="M199" s="24">
        <f>IF(M195&lt;36089,M198^5.2561,0.22336*EXP((36089-M195)/20806.7))</f>
        <v>1</v>
      </c>
    </row>
    <row r="200" spans="3:13" x14ac:dyDescent="0.25">
      <c r="C200" s="9" t="s">
        <v>85</v>
      </c>
      <c r="D200" s="9"/>
      <c r="E200" s="37">
        <f>E199/E197</f>
        <v>1</v>
      </c>
      <c r="G200" s="24">
        <f>G199/G197</f>
        <v>1</v>
      </c>
      <c r="I200" s="24">
        <f>I199/I197</f>
        <v>1</v>
      </c>
      <c r="K200" s="24">
        <f>K199/K197</f>
        <v>1</v>
      </c>
      <c r="M200" s="24">
        <f>M199/M197</f>
        <v>1</v>
      </c>
    </row>
    <row r="201" spans="3:13" x14ac:dyDescent="0.25">
      <c r="C201" s="9" t="s">
        <v>86</v>
      </c>
      <c r="D201" s="9"/>
      <c r="E201" s="37">
        <f>0.0023769*E200</f>
        <v>2.3768999999999999E-3</v>
      </c>
      <c r="G201" s="24">
        <f>0.0023769*G200</f>
        <v>2.3768999999999999E-3</v>
      </c>
      <c r="I201" s="24">
        <f>0.0023769*I200</f>
        <v>2.3768999999999999E-3</v>
      </c>
      <c r="K201" s="24">
        <f>0.0023769*K200</f>
        <v>2.3768999999999999E-3</v>
      </c>
      <c r="M201" s="24">
        <f>0.0023769*M200</f>
        <v>2.3768999999999999E-3</v>
      </c>
    </row>
    <row r="202" spans="3:13" x14ac:dyDescent="0.25">
      <c r="C202" s="9" t="s">
        <v>6</v>
      </c>
      <c r="D202" s="9" t="s">
        <v>7</v>
      </c>
      <c r="E202" s="37">
        <f>E187*E188/E189/E190/E200</f>
        <v>882.50529411764705</v>
      </c>
      <c r="G202" s="24">
        <f>G187*G188/G189/G190/G200</f>
        <v>882.50529411764705</v>
      </c>
      <c r="I202" s="24">
        <f>I187*I188/I189/I190/I200</f>
        <v>882.50529411764705</v>
      </c>
      <c r="K202" s="24">
        <f>K187*K188/K189/K190/K200</f>
        <v>882.50529411764705</v>
      </c>
      <c r="M202" s="24">
        <f>M187*M188/M189/M190/M200</f>
        <v>882.50529411764705</v>
      </c>
    </row>
    <row r="203" spans="3:13" x14ac:dyDescent="0.25">
      <c r="C203" s="9"/>
      <c r="D203" s="9"/>
      <c r="E203" s="37"/>
      <c r="G203" s="24"/>
      <c r="I203" s="24"/>
      <c r="K203" s="24"/>
      <c r="M203" s="24"/>
    </row>
    <row r="204" spans="3:13" x14ac:dyDescent="0.25">
      <c r="C204" s="9"/>
      <c r="D204" s="9"/>
      <c r="E204" s="37"/>
      <c r="G204" s="24"/>
      <c r="I204" s="24"/>
      <c r="K204" s="24"/>
      <c r="M204" s="24"/>
    </row>
    <row r="205" spans="3:13" ht="15.75" thickBot="1" x14ac:dyDescent="0.3">
      <c r="C205" s="9"/>
      <c r="D205" s="9"/>
      <c r="E205" s="37"/>
      <c r="G205" s="24"/>
      <c r="I205" s="24"/>
      <c r="K205" s="24"/>
      <c r="M205" s="24"/>
    </row>
    <row r="206" spans="3:13" ht="16.5" thickTop="1" thickBot="1" x14ac:dyDescent="0.3">
      <c r="C206" s="49" t="s">
        <v>154</v>
      </c>
      <c r="D206" s="22"/>
      <c r="E206" s="37">
        <f>(E217/E215)^2*E209*(1/(E200*E208))/(9.81*E201*0.4)</f>
        <v>934.0668459920621</v>
      </c>
      <c r="G206" s="24">
        <f>(G217/G215)^2*G209*(1/(G200*G208))/(9.81*G201*0.4)</f>
        <v>934.0668459920621</v>
      </c>
      <c r="I206" s="24">
        <f>(I217/I215)^2*I209*(1/(I200*I208))/(9.81*I201*0.4)</f>
        <v>934.0668459920621</v>
      </c>
      <c r="K206" s="24">
        <f>(K217/K215)^2*K209*(1/(K200*K208))/(9.81*K201*0.4)</f>
        <v>934.0668459920621</v>
      </c>
      <c r="M206" s="24">
        <f>(M217/M215)^2*M209*(1/(M200*M208))/(9.81*M201*0.4)</f>
        <v>934.0668459920621</v>
      </c>
    </row>
    <row r="207" spans="3:13" ht="16.5" thickTop="1" thickBot="1" x14ac:dyDescent="0.3">
      <c r="C207" s="49" t="s">
        <v>155</v>
      </c>
      <c r="D207" s="22"/>
      <c r="E207" s="37"/>
      <c r="G207" s="24"/>
      <c r="I207" s="24"/>
      <c r="K207" s="24"/>
      <c r="M207" s="24"/>
    </row>
    <row r="208" spans="3:13" ht="16.5" thickTop="1" thickBot="1" x14ac:dyDescent="0.3">
      <c r="C208" s="49" t="s">
        <v>156</v>
      </c>
      <c r="D208" s="22"/>
      <c r="E208" s="37">
        <v>5</v>
      </c>
      <c r="G208" s="24">
        <v>5</v>
      </c>
      <c r="I208" s="24">
        <v>5</v>
      </c>
      <c r="K208" s="24">
        <v>5</v>
      </c>
      <c r="M208" s="24">
        <v>5</v>
      </c>
    </row>
    <row r="209" spans="1:13" ht="16.5" thickTop="1" thickBot="1" x14ac:dyDescent="0.3">
      <c r="C209" s="49" t="s">
        <v>157</v>
      </c>
      <c r="D209" s="22" t="s">
        <v>128</v>
      </c>
      <c r="E209" s="37">
        <f>25000/E9</f>
        <v>25</v>
      </c>
      <c r="G209" s="24">
        <f>25000/G9</f>
        <v>25</v>
      </c>
      <c r="I209" s="24">
        <f>25000/I9</f>
        <v>25</v>
      </c>
      <c r="K209" s="24">
        <f>25000/K9</f>
        <v>25</v>
      </c>
      <c r="M209" s="24">
        <f>25000/M9</f>
        <v>25</v>
      </c>
    </row>
    <row r="210" spans="1:13" ht="16.5" thickTop="1" thickBot="1" x14ac:dyDescent="0.3">
      <c r="C210" s="49" t="s">
        <v>158</v>
      </c>
      <c r="D210" s="22"/>
      <c r="E210" s="37"/>
      <c r="G210" s="24"/>
      <c r="I210" s="24"/>
      <c r="K210" s="24"/>
      <c r="M210" s="24"/>
    </row>
    <row r="211" spans="1:13" ht="16.5" thickTop="1" thickBot="1" x14ac:dyDescent="0.3">
      <c r="C211" s="49" t="s">
        <v>159</v>
      </c>
      <c r="D211" s="22" t="s">
        <v>7</v>
      </c>
      <c r="E211" s="37"/>
      <c r="G211" s="24"/>
      <c r="I211" s="24"/>
      <c r="K211" s="24"/>
      <c r="M211" s="24"/>
    </row>
    <row r="212" spans="1:13" ht="16.5" thickTop="1" thickBot="1" x14ac:dyDescent="0.3">
      <c r="C212" s="49" t="s">
        <v>160</v>
      </c>
      <c r="D212" s="22"/>
      <c r="E212" s="37"/>
      <c r="G212" s="24"/>
      <c r="I212" s="24"/>
      <c r="K212" s="24"/>
      <c r="M212" s="24"/>
    </row>
    <row r="213" spans="1:13" ht="16.5" thickTop="1" thickBot="1" x14ac:dyDescent="0.3">
      <c r="C213" s="49" t="s">
        <v>85</v>
      </c>
      <c r="D213" s="22"/>
      <c r="E213" s="37"/>
      <c r="G213" s="24"/>
      <c r="I213" s="24"/>
      <c r="K213" s="24"/>
      <c r="M213" s="24"/>
    </row>
    <row r="214" spans="1:13" ht="16.5" thickTop="1" thickBot="1" x14ac:dyDescent="0.3">
      <c r="C214" s="49" t="s">
        <v>161</v>
      </c>
      <c r="D214" s="22" t="s">
        <v>7</v>
      </c>
      <c r="E214" s="37"/>
      <c r="G214" s="24"/>
      <c r="I214" s="24"/>
      <c r="K214" s="24"/>
      <c r="M214" s="24"/>
    </row>
    <row r="215" spans="1:13" ht="16.5" thickTop="1" thickBot="1" x14ac:dyDescent="0.3">
      <c r="C215" s="49" t="s">
        <v>172</v>
      </c>
      <c r="D215" s="22" t="s">
        <v>173</v>
      </c>
      <c r="E215" s="37">
        <f>SQRT(E220/(E201*E9*E208))</f>
        <v>45.484846034854534</v>
      </c>
      <c r="G215" s="24">
        <f>SQRT(G220/(G201*G9*G208))</f>
        <v>45.484846034854534</v>
      </c>
      <c r="I215" s="24">
        <f>SQRT(I220/(I201*I9*I208))</f>
        <v>45.484846034854534</v>
      </c>
      <c r="K215" s="24">
        <f>SQRT(K220/(K201*K9*K208))</f>
        <v>45.484846034854534</v>
      </c>
      <c r="M215" s="24">
        <f>SQRT(M220/(M201*M9*M208))</f>
        <v>45.484846034854534</v>
      </c>
    </row>
    <row r="216" spans="1:13" ht="16.5" thickTop="1" thickBot="1" x14ac:dyDescent="0.3">
      <c r="C216" s="49" t="s">
        <v>174</v>
      </c>
      <c r="D216" s="22"/>
      <c r="E216" s="37">
        <f>E20-E16</f>
        <v>24118.987993766659</v>
      </c>
      <c r="G216" s="24">
        <f>G20-G16</f>
        <v>23489.613215413214</v>
      </c>
      <c r="I216" s="24">
        <f>I20-I16</f>
        <v>24574.742143608812</v>
      </c>
      <c r="K216" s="24">
        <f>K20-K16</f>
        <v>24118.987993766659</v>
      </c>
      <c r="M216" s="24">
        <f>M20-M16</f>
        <v>24118.987993766659</v>
      </c>
    </row>
    <row r="217" spans="1:13" ht="16.5" thickTop="1" thickBot="1" x14ac:dyDescent="0.3">
      <c r="C217" s="49" t="s">
        <v>175</v>
      </c>
      <c r="D217" s="22"/>
      <c r="E217" s="37">
        <f>1.32*E215</f>
        <v>60.039996766007988</v>
      </c>
      <c r="G217" s="24">
        <f>1.32*G215</f>
        <v>60.039996766007988</v>
      </c>
      <c r="I217" s="24">
        <f>1.32*I215</f>
        <v>60.039996766007988</v>
      </c>
      <c r="K217" s="24">
        <f>1.32*K215</f>
        <v>60.039996766007988</v>
      </c>
      <c r="M217" s="24">
        <f>1.32*M215</f>
        <v>60.039996766007988</v>
      </c>
    </row>
    <row r="218" spans="1:13" ht="16.5" thickTop="1" thickBot="1" x14ac:dyDescent="0.3">
      <c r="C218" s="49"/>
      <c r="D218" s="22"/>
      <c r="E218" s="37"/>
      <c r="G218" s="24"/>
      <c r="I218" s="24"/>
      <c r="K218" s="24"/>
      <c r="M218" s="24"/>
    </row>
    <row r="219" spans="1:13" ht="16.5" thickTop="1" thickBot="1" x14ac:dyDescent="0.3">
      <c r="C219" s="49" t="s">
        <v>162</v>
      </c>
      <c r="D219" s="22" t="s">
        <v>7</v>
      </c>
      <c r="E219" s="37"/>
      <c r="G219" s="24"/>
      <c r="I219" s="24"/>
      <c r="K219" s="24"/>
      <c r="M219" s="24"/>
    </row>
    <row r="220" spans="1:13" ht="16.5" thickTop="1" thickBot="1" x14ac:dyDescent="0.3">
      <c r="C220" s="49" t="s">
        <v>163</v>
      </c>
      <c r="D220" t="s">
        <v>17</v>
      </c>
      <c r="E220" s="46">
        <f>E22</f>
        <v>24587.5</v>
      </c>
      <c r="G220" s="33">
        <f>G22</f>
        <v>24587.5</v>
      </c>
      <c r="I220" s="33">
        <f>I22</f>
        <v>24587.5</v>
      </c>
      <c r="K220" s="33">
        <f>K22</f>
        <v>24587.5</v>
      </c>
      <c r="M220" s="33">
        <f>M22</f>
        <v>24587.5</v>
      </c>
    </row>
    <row r="221" spans="1:13" ht="16.5" thickTop="1" thickBot="1" x14ac:dyDescent="0.3">
      <c r="C221" s="49" t="s">
        <v>164</v>
      </c>
    </row>
    <row r="222" spans="1:13" ht="16.5" thickTop="1" thickBot="1" x14ac:dyDescent="0.3">
      <c r="C222" s="49" t="s">
        <v>165</v>
      </c>
      <c r="D222" t="s">
        <v>105</v>
      </c>
    </row>
    <row r="223" spans="1:13" ht="15.75" thickTop="1" x14ac:dyDescent="0.25">
      <c r="A223" s="34"/>
      <c r="B223" s="34"/>
      <c r="C223" s="34"/>
      <c r="D223" s="34"/>
      <c r="E223" s="47"/>
      <c r="F223" s="34"/>
      <c r="G223" s="35"/>
      <c r="H223" s="34"/>
      <c r="I223" s="35"/>
      <c r="J223" s="34"/>
      <c r="K223" s="35"/>
      <c r="L223" s="34"/>
      <c r="M223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Moy</dc:creator>
  <cp:keywords/>
  <dc:description/>
  <cp:lastModifiedBy>Eric Moy</cp:lastModifiedBy>
  <cp:revision/>
  <dcterms:created xsi:type="dcterms:W3CDTF">2020-11-17T19:03:38Z</dcterms:created>
  <dcterms:modified xsi:type="dcterms:W3CDTF">2020-11-21T18:21:34Z</dcterms:modified>
  <cp:category/>
  <cp:contentStatus/>
</cp:coreProperties>
</file>