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3379" documentId="13_ncr:1_{DC4ED801-5970-4250-ACFA-1E61F7AEB366}" xr6:coauthVersionLast="47" xr6:coauthVersionMax="47" xr10:uidLastSave="{31C670D1-3297-401B-AA46-2635D25DD212}"/>
  <bookViews>
    <workbookView xWindow="-108" yWindow="-108" windowWidth="23256" windowHeight="12456" activeTab="4" xr2:uid="{E39BF201-E179-4BA7-B60E-3B50FDE30F4C}"/>
  </bookViews>
  <sheets>
    <sheet name="accts" sheetId="3" r:id="rId1"/>
    <sheet name="baseball bets" sheetId="6" r:id="rId2"/>
    <sheet name="stats" sheetId="8" r:id="rId3"/>
    <sheet name="wins by bucket" sheetId="9" r:id="rId4"/>
    <sheet name="open bets" sheetId="1" r:id="rId5"/>
  </sheets>
  <definedNames>
    <definedName name="_xlnm._FilterDatabase" localSheetId="1" hidden="1">'baseball bets'!$A$1:$O$184</definedName>
  </definedNames>
  <calcPr calcId="191029"/>
  <pivotCaches>
    <pivotCache cacheId="1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7" i="3"/>
  <c r="B16" i="3"/>
  <c r="B15" i="3"/>
  <c r="B14" i="3"/>
  <c r="B13" i="3"/>
  <c r="N186" i="6"/>
  <c r="P186" i="6"/>
  <c r="N185" i="6"/>
  <c r="P185" i="6"/>
  <c r="N184" i="6"/>
  <c r="P184" i="6" s="1"/>
  <c r="G27" i="8"/>
  <c r="M186" i="6"/>
  <c r="I186" i="6"/>
  <c r="J186" i="6"/>
  <c r="G186" i="6"/>
  <c r="E186" i="6"/>
  <c r="Q186" i="6"/>
  <c r="S186" i="6" s="1"/>
  <c r="M185" i="6"/>
  <c r="I185" i="6"/>
  <c r="J185" i="6"/>
  <c r="G185" i="6"/>
  <c r="E185" i="6"/>
  <c r="Q185" i="6"/>
  <c r="S185" i="6" s="1"/>
  <c r="M184" i="6"/>
  <c r="R184" i="6"/>
  <c r="S184" i="6"/>
  <c r="I184" i="6"/>
  <c r="J184" i="6"/>
  <c r="G184" i="6"/>
  <c r="E184" i="6"/>
  <c r="Q18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2" i="6"/>
  <c r="C23" i="3"/>
  <c r="R186" i="6" l="1"/>
  <c r="R185" i="6"/>
  <c r="N183" i="6"/>
  <c r="P183" i="6" s="1"/>
  <c r="N182" i="6"/>
  <c r="N181" i="6"/>
  <c r="P181" i="6" s="1"/>
  <c r="N180" i="6"/>
  <c r="N179" i="6"/>
  <c r="P179" i="6" s="1"/>
  <c r="N176" i="6"/>
  <c r="P176" i="6" s="1"/>
  <c r="N178" i="6"/>
  <c r="P178" i="6" s="1"/>
  <c r="N175" i="6"/>
  <c r="P175" i="6" s="1"/>
  <c r="N174" i="6"/>
  <c r="P174" i="6" s="1"/>
  <c r="Q183" i="6"/>
  <c r="M183" i="6"/>
  <c r="I183" i="6"/>
  <c r="J183" i="6"/>
  <c r="G183" i="6"/>
  <c r="E183" i="6"/>
  <c r="Q182" i="6"/>
  <c r="Q181" i="6"/>
  <c r="Q180" i="6"/>
  <c r="Q179" i="6"/>
  <c r="Q178" i="6"/>
  <c r="Q177" i="6"/>
  <c r="Q176" i="6"/>
  <c r="Q175" i="6"/>
  <c r="Q174" i="6"/>
  <c r="P182" i="6"/>
  <c r="P180" i="6"/>
  <c r="M182" i="6"/>
  <c r="I182" i="6"/>
  <c r="J182" i="6"/>
  <c r="G182" i="6"/>
  <c r="E182" i="6"/>
  <c r="M181" i="6"/>
  <c r="I181" i="6"/>
  <c r="J181" i="6"/>
  <c r="G181" i="6"/>
  <c r="E181" i="6"/>
  <c r="M180" i="6"/>
  <c r="I180" i="6"/>
  <c r="J180" i="6"/>
  <c r="G180" i="6"/>
  <c r="E180" i="6"/>
  <c r="M179" i="6"/>
  <c r="I179" i="6"/>
  <c r="J179" i="6"/>
  <c r="G179" i="6"/>
  <c r="E179" i="6"/>
  <c r="G26" i="8"/>
  <c r="M178" i="6"/>
  <c r="I178" i="6"/>
  <c r="J178" i="6"/>
  <c r="G178" i="6"/>
  <c r="E178" i="6"/>
  <c r="M177" i="6"/>
  <c r="N177" i="6" s="1"/>
  <c r="P177" i="6" s="1"/>
  <c r="I177" i="6"/>
  <c r="J177" i="6"/>
  <c r="G177" i="6"/>
  <c r="E177" i="6"/>
  <c r="M176" i="6"/>
  <c r="I176" i="6"/>
  <c r="J176" i="6"/>
  <c r="G176" i="6"/>
  <c r="E176" i="6"/>
  <c r="M175" i="6"/>
  <c r="I175" i="6"/>
  <c r="J175" i="6"/>
  <c r="G175" i="6"/>
  <c r="E175" i="6"/>
  <c r="M174" i="6"/>
  <c r="I174" i="6"/>
  <c r="J174" i="6"/>
  <c r="G174" i="6"/>
  <c r="E174" i="6"/>
  <c r="Q173" i="6"/>
  <c r="Q172" i="6"/>
  <c r="Q171" i="6"/>
  <c r="Q170" i="6"/>
  <c r="Q169" i="6"/>
  <c r="Q168" i="6"/>
  <c r="Q167" i="6"/>
  <c r="Q166" i="6"/>
  <c r="Q165" i="6"/>
  <c r="Q164" i="6"/>
  <c r="N173" i="6"/>
  <c r="P173" i="6" s="1"/>
  <c r="N164" i="6"/>
  <c r="P164" i="6" s="1"/>
  <c r="N165" i="6"/>
  <c r="P165" i="6" s="1"/>
  <c r="M173" i="6"/>
  <c r="I173" i="6"/>
  <c r="J173" i="6"/>
  <c r="G173" i="6"/>
  <c r="E173" i="6"/>
  <c r="M172" i="6"/>
  <c r="N172" i="6" s="1"/>
  <c r="P172" i="6" s="1"/>
  <c r="I172" i="6"/>
  <c r="J172" i="6"/>
  <c r="G172" i="6"/>
  <c r="E172" i="6"/>
  <c r="M171" i="6"/>
  <c r="N171" i="6" s="1"/>
  <c r="P171" i="6" s="1"/>
  <c r="I171" i="6"/>
  <c r="J171" i="6"/>
  <c r="G171" i="6"/>
  <c r="E171" i="6"/>
  <c r="M170" i="6"/>
  <c r="N170" i="6" s="1"/>
  <c r="P170" i="6" s="1"/>
  <c r="I170" i="6"/>
  <c r="J170" i="6"/>
  <c r="G170" i="6"/>
  <c r="E170" i="6"/>
  <c r="M169" i="6"/>
  <c r="N169" i="6" s="1"/>
  <c r="P169" i="6" s="1"/>
  <c r="I169" i="6"/>
  <c r="J169" i="6"/>
  <c r="G169" i="6"/>
  <c r="E169" i="6"/>
  <c r="C10" i="3"/>
  <c r="B11" i="3" s="1"/>
  <c r="C9" i="3"/>
  <c r="B10" i="3"/>
  <c r="G25" i="8"/>
  <c r="M168" i="6"/>
  <c r="N168" i="6" s="1"/>
  <c r="P168" i="6" s="1"/>
  <c r="I168" i="6"/>
  <c r="J168" i="6"/>
  <c r="G168" i="6"/>
  <c r="E168" i="6"/>
  <c r="M167" i="6"/>
  <c r="N167" i="6" s="1"/>
  <c r="P167" i="6" s="1"/>
  <c r="I167" i="6"/>
  <c r="J167" i="6"/>
  <c r="G167" i="6"/>
  <c r="E167" i="6"/>
  <c r="M166" i="6"/>
  <c r="N166" i="6" s="1"/>
  <c r="P166" i="6" s="1"/>
  <c r="I166" i="6"/>
  <c r="J166" i="6"/>
  <c r="G166" i="6"/>
  <c r="E166" i="6"/>
  <c r="M165" i="6"/>
  <c r="I165" i="6"/>
  <c r="J165" i="6"/>
  <c r="G165" i="6"/>
  <c r="E165" i="6"/>
  <c r="M164" i="6"/>
  <c r="I164" i="6"/>
  <c r="J164" i="6"/>
  <c r="G164" i="6"/>
  <c r="E164" i="6"/>
  <c r="B9" i="3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4" i="8"/>
  <c r="D26" i="1"/>
  <c r="B1" i="1"/>
  <c r="C26" i="1"/>
  <c r="B26" i="1"/>
  <c r="B25" i="1"/>
  <c r="N163" i="6"/>
  <c r="P163" i="6" s="1"/>
  <c r="N159" i="6"/>
  <c r="P159" i="6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2" i="6"/>
  <c r="N158" i="6"/>
  <c r="P158" i="6" s="1"/>
  <c r="N157" i="6"/>
  <c r="P157" i="6" s="1"/>
  <c r="N162" i="6"/>
  <c r="P162" i="6" s="1"/>
  <c r="M163" i="6"/>
  <c r="I163" i="6"/>
  <c r="J163" i="6"/>
  <c r="G163" i="6"/>
  <c r="E163" i="6"/>
  <c r="M162" i="6"/>
  <c r="I162" i="6"/>
  <c r="J162" i="6"/>
  <c r="G162" i="6"/>
  <c r="E162" i="6"/>
  <c r="M161" i="6"/>
  <c r="N161" i="6" s="1"/>
  <c r="P161" i="6" s="1"/>
  <c r="I161" i="6"/>
  <c r="J161" i="6"/>
  <c r="G161" i="6"/>
  <c r="E161" i="6"/>
  <c r="M160" i="6"/>
  <c r="N160" i="6" s="1"/>
  <c r="P160" i="6" s="1"/>
  <c r="I160" i="6"/>
  <c r="J160" i="6"/>
  <c r="G160" i="6"/>
  <c r="E160" i="6"/>
  <c r="M159" i="6"/>
  <c r="I159" i="6"/>
  <c r="J159" i="6"/>
  <c r="G159" i="6"/>
  <c r="E159" i="6"/>
  <c r="M158" i="6"/>
  <c r="I158" i="6"/>
  <c r="J158" i="6"/>
  <c r="G158" i="6"/>
  <c r="E158" i="6"/>
  <c r="M157" i="6"/>
  <c r="I157" i="6"/>
  <c r="J157" i="6"/>
  <c r="G157" i="6"/>
  <c r="E157" i="6"/>
  <c r="M156" i="6"/>
  <c r="N156" i="6" s="1"/>
  <c r="P156" i="6" s="1"/>
  <c r="I156" i="6"/>
  <c r="J156" i="6"/>
  <c r="G156" i="6"/>
  <c r="E156" i="6"/>
  <c r="P155" i="6"/>
  <c r="P145" i="6"/>
  <c r="P142" i="6"/>
  <c r="P136" i="6"/>
  <c r="P127" i="6"/>
  <c r="N152" i="6"/>
  <c r="P152" i="6" s="1"/>
  <c r="N153" i="6"/>
  <c r="P153" i="6" s="1"/>
  <c r="N154" i="6"/>
  <c r="P154" i="6" s="1"/>
  <c r="N155" i="6"/>
  <c r="N151" i="6"/>
  <c r="P151" i="6" s="1"/>
  <c r="M155" i="6"/>
  <c r="I155" i="6"/>
  <c r="J155" i="6"/>
  <c r="G155" i="6"/>
  <c r="E155" i="6"/>
  <c r="M154" i="6"/>
  <c r="I154" i="6"/>
  <c r="J154" i="6"/>
  <c r="G154" i="6"/>
  <c r="E154" i="6"/>
  <c r="M153" i="6"/>
  <c r="I153" i="6"/>
  <c r="J153" i="6"/>
  <c r="G153" i="6"/>
  <c r="E153" i="6"/>
  <c r="M152" i="6"/>
  <c r="I152" i="6"/>
  <c r="J152" i="6"/>
  <c r="G152" i="6"/>
  <c r="E152" i="6"/>
  <c r="M151" i="6"/>
  <c r="I151" i="6"/>
  <c r="J151" i="6"/>
  <c r="G151" i="6"/>
  <c r="E151" i="6"/>
  <c r="N147" i="6"/>
  <c r="P147" i="6" s="1"/>
  <c r="N146" i="6"/>
  <c r="P146" i="6" s="1"/>
  <c r="M150" i="6"/>
  <c r="N150" i="6" s="1"/>
  <c r="P150" i="6" s="1"/>
  <c r="I150" i="6"/>
  <c r="J150" i="6"/>
  <c r="G150" i="6"/>
  <c r="E150" i="6"/>
  <c r="M149" i="6"/>
  <c r="N149" i="6" s="1"/>
  <c r="P149" i="6" s="1"/>
  <c r="I149" i="6"/>
  <c r="J149" i="6"/>
  <c r="G149" i="6"/>
  <c r="E149" i="6"/>
  <c r="M148" i="6"/>
  <c r="N148" i="6" s="1"/>
  <c r="P148" i="6" s="1"/>
  <c r="I148" i="6"/>
  <c r="J148" i="6"/>
  <c r="G148" i="6"/>
  <c r="E148" i="6"/>
  <c r="M147" i="6"/>
  <c r="I147" i="6"/>
  <c r="J147" i="6"/>
  <c r="G147" i="6"/>
  <c r="E147" i="6"/>
  <c r="M146" i="6"/>
  <c r="I146" i="6"/>
  <c r="J146" i="6"/>
  <c r="G146" i="6"/>
  <c r="E146" i="6"/>
  <c r="N144" i="6"/>
  <c r="P144" i="6" s="1"/>
  <c r="N143" i="6"/>
  <c r="P143" i="6" s="1"/>
  <c r="N142" i="6"/>
  <c r="M145" i="6"/>
  <c r="N145" i="6" s="1"/>
  <c r="I145" i="6"/>
  <c r="J145" i="6"/>
  <c r="G145" i="6"/>
  <c r="E145" i="6"/>
  <c r="M144" i="6"/>
  <c r="I144" i="6"/>
  <c r="J144" i="6"/>
  <c r="G144" i="6"/>
  <c r="E144" i="6"/>
  <c r="M143" i="6"/>
  <c r="I143" i="6"/>
  <c r="J143" i="6"/>
  <c r="G143" i="6"/>
  <c r="E143" i="6"/>
  <c r="M142" i="6"/>
  <c r="I142" i="6"/>
  <c r="J142" i="6"/>
  <c r="G142" i="6"/>
  <c r="E142" i="6"/>
  <c r="M141" i="6"/>
  <c r="N141" i="6" s="1"/>
  <c r="P141" i="6" s="1"/>
  <c r="I141" i="6"/>
  <c r="J141" i="6"/>
  <c r="G141" i="6"/>
  <c r="E141" i="6"/>
  <c r="N140" i="6"/>
  <c r="P140" i="6" s="1"/>
  <c r="N138" i="6"/>
  <c r="P138" i="6" s="1"/>
  <c r="N134" i="6"/>
  <c r="P134" i="6" s="1"/>
  <c r="M140" i="6"/>
  <c r="I140" i="6"/>
  <c r="J140" i="6"/>
  <c r="G140" i="6"/>
  <c r="E140" i="6"/>
  <c r="M139" i="6"/>
  <c r="N139" i="6" s="1"/>
  <c r="P139" i="6" s="1"/>
  <c r="I139" i="6"/>
  <c r="J139" i="6"/>
  <c r="G139" i="6"/>
  <c r="E139" i="6"/>
  <c r="M138" i="6"/>
  <c r="I138" i="6"/>
  <c r="J138" i="6"/>
  <c r="G138" i="6"/>
  <c r="E138" i="6"/>
  <c r="M137" i="6"/>
  <c r="N137" i="6" s="1"/>
  <c r="P137" i="6" s="1"/>
  <c r="I137" i="6"/>
  <c r="J137" i="6"/>
  <c r="G137" i="6"/>
  <c r="E137" i="6"/>
  <c r="M136" i="6"/>
  <c r="N136" i="6" s="1"/>
  <c r="I136" i="6"/>
  <c r="J136" i="6"/>
  <c r="G136" i="6"/>
  <c r="E136" i="6"/>
  <c r="M135" i="6"/>
  <c r="N135" i="6" s="1"/>
  <c r="P135" i="6" s="1"/>
  <c r="I135" i="6"/>
  <c r="J135" i="6"/>
  <c r="G135" i="6"/>
  <c r="E135" i="6"/>
  <c r="M134" i="6"/>
  <c r="I134" i="6"/>
  <c r="J134" i="6"/>
  <c r="G134" i="6"/>
  <c r="E134" i="6"/>
  <c r="M133" i="6"/>
  <c r="N133" i="6" s="1"/>
  <c r="P133" i="6" s="1"/>
  <c r="I133" i="6"/>
  <c r="J133" i="6"/>
  <c r="G133" i="6"/>
  <c r="E133" i="6"/>
  <c r="M132" i="6"/>
  <c r="N132" i="6" s="1"/>
  <c r="P132" i="6" s="1"/>
  <c r="I132" i="6"/>
  <c r="J132" i="6"/>
  <c r="G132" i="6"/>
  <c r="E132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N131" i="6"/>
  <c r="P131" i="6" s="1"/>
  <c r="N130" i="6"/>
  <c r="P130" i="6" s="1"/>
  <c r="N124" i="6"/>
  <c r="P124" i="6" s="1"/>
  <c r="N122" i="6"/>
  <c r="P122" i="6" s="1"/>
  <c r="M131" i="6"/>
  <c r="I131" i="6"/>
  <c r="J131" i="6"/>
  <c r="G131" i="6"/>
  <c r="E131" i="6"/>
  <c r="M130" i="6"/>
  <c r="J130" i="6"/>
  <c r="M129" i="6"/>
  <c r="N129" i="6" s="1"/>
  <c r="P129" i="6" s="1"/>
  <c r="J129" i="6"/>
  <c r="M128" i="6"/>
  <c r="N128" i="6" s="1"/>
  <c r="P128" i="6" s="1"/>
  <c r="J128" i="6"/>
  <c r="J122" i="6"/>
  <c r="J123" i="6"/>
  <c r="J124" i="6"/>
  <c r="J125" i="6"/>
  <c r="J126" i="6"/>
  <c r="J127" i="6"/>
  <c r="J121" i="6"/>
  <c r="M127" i="6"/>
  <c r="M126" i="6"/>
  <c r="N126" i="6" s="1"/>
  <c r="P126" i="6" s="1"/>
  <c r="M125" i="6"/>
  <c r="N125" i="6" s="1"/>
  <c r="P125" i="6" s="1"/>
  <c r="M124" i="6"/>
  <c r="M123" i="6"/>
  <c r="N123" i="6" s="1"/>
  <c r="P123" i="6" s="1"/>
  <c r="M122" i="6"/>
  <c r="M121" i="6"/>
  <c r="N121" i="6" s="1"/>
  <c r="P121" i="6" s="1"/>
  <c r="I130" i="6"/>
  <c r="I129" i="6"/>
  <c r="I128" i="6"/>
  <c r="I127" i="6"/>
  <c r="I126" i="6"/>
  <c r="I125" i="6"/>
  <c r="I124" i="6"/>
  <c r="I123" i="6"/>
  <c r="I122" i="6"/>
  <c r="I121" i="6"/>
  <c r="G130" i="6"/>
  <c r="G129" i="6"/>
  <c r="G128" i="6"/>
  <c r="G127" i="6"/>
  <c r="G126" i="6"/>
  <c r="G125" i="6"/>
  <c r="G124" i="6"/>
  <c r="G123" i="6"/>
  <c r="G122" i="6"/>
  <c r="G121" i="6"/>
  <c r="E130" i="6"/>
  <c r="E129" i="6"/>
  <c r="E128" i="6"/>
  <c r="E127" i="6"/>
  <c r="E126" i="6"/>
  <c r="E125" i="6"/>
  <c r="E124" i="6"/>
  <c r="E123" i="6"/>
  <c r="E122" i="6"/>
  <c r="E121" i="6"/>
  <c r="N120" i="6"/>
  <c r="P120" i="6" s="1"/>
  <c r="P4" i="6"/>
  <c r="P5" i="6"/>
  <c r="P6" i="6"/>
  <c r="P7" i="6"/>
  <c r="P8" i="6"/>
  <c r="P9" i="6"/>
  <c r="P11" i="6"/>
  <c r="P14" i="6"/>
  <c r="P15" i="6"/>
  <c r="P16" i="6"/>
  <c r="P17" i="6"/>
  <c r="P18" i="6"/>
  <c r="P21" i="6"/>
  <c r="P23" i="6"/>
  <c r="P27" i="6"/>
  <c r="P28" i="6"/>
  <c r="P29" i="6"/>
  <c r="P30" i="6"/>
  <c r="P31" i="6"/>
  <c r="P32" i="6"/>
  <c r="P33" i="6"/>
  <c r="P35" i="6"/>
  <c r="P37" i="6"/>
  <c r="P40" i="6"/>
  <c r="P44" i="6"/>
  <c r="P48" i="6"/>
  <c r="P50" i="6"/>
  <c r="P54" i="6"/>
  <c r="P110" i="6"/>
  <c r="N118" i="6"/>
  <c r="P118" i="6" s="1"/>
  <c r="M120" i="6"/>
  <c r="I120" i="6"/>
  <c r="G120" i="6"/>
  <c r="E120" i="6"/>
  <c r="M119" i="6"/>
  <c r="N119" i="6" s="1"/>
  <c r="P119" i="6" s="1"/>
  <c r="I119" i="6"/>
  <c r="G119" i="6"/>
  <c r="E119" i="6"/>
  <c r="N117" i="6"/>
  <c r="P117" i="6" s="1"/>
  <c r="N116" i="6"/>
  <c r="P116" i="6" s="1"/>
  <c r="N114" i="6"/>
  <c r="P114" i="6" s="1"/>
  <c r="M118" i="6"/>
  <c r="I118" i="6"/>
  <c r="G118" i="6"/>
  <c r="E118" i="6"/>
  <c r="M117" i="6"/>
  <c r="I117" i="6"/>
  <c r="G117" i="6"/>
  <c r="E117" i="6"/>
  <c r="M116" i="6"/>
  <c r="I116" i="6"/>
  <c r="G116" i="6"/>
  <c r="E116" i="6"/>
  <c r="M115" i="6"/>
  <c r="N115" i="6" s="1"/>
  <c r="P115" i="6" s="1"/>
  <c r="I115" i="6"/>
  <c r="G115" i="6"/>
  <c r="E115" i="6"/>
  <c r="M114" i="6"/>
  <c r="I114" i="6"/>
  <c r="G114" i="6"/>
  <c r="E114" i="6"/>
  <c r="N108" i="6"/>
  <c r="P108" i="6" s="1"/>
  <c r="N110" i="6"/>
  <c r="N111" i="6"/>
  <c r="P111" i="6" s="1"/>
  <c r="N109" i="6"/>
  <c r="P109" i="6" s="1"/>
  <c r="M113" i="6"/>
  <c r="N113" i="6" s="1"/>
  <c r="P113" i="6" s="1"/>
  <c r="I113" i="6"/>
  <c r="G113" i="6"/>
  <c r="E113" i="6"/>
  <c r="M112" i="6"/>
  <c r="N112" i="6" s="1"/>
  <c r="P112" i="6" s="1"/>
  <c r="I112" i="6"/>
  <c r="G112" i="6"/>
  <c r="E112" i="6"/>
  <c r="M111" i="6"/>
  <c r="I111" i="6"/>
  <c r="G111" i="6"/>
  <c r="E111" i="6"/>
  <c r="M110" i="6"/>
  <c r="I110" i="6"/>
  <c r="G110" i="6"/>
  <c r="E110" i="6"/>
  <c r="M109" i="6"/>
  <c r="I109" i="6"/>
  <c r="G109" i="6"/>
  <c r="E109" i="6"/>
  <c r="M108" i="6"/>
  <c r="I108" i="6"/>
  <c r="G108" i="6"/>
  <c r="E108" i="6"/>
  <c r="N105" i="6"/>
  <c r="P105" i="6" s="1"/>
  <c r="N104" i="6"/>
  <c r="P104" i="6" s="1"/>
  <c r="N103" i="6"/>
  <c r="P103" i="6" s="1"/>
  <c r="N102" i="6"/>
  <c r="P102" i="6" s="1"/>
  <c r="I107" i="6"/>
  <c r="M107" i="6"/>
  <c r="N107" i="6" s="1"/>
  <c r="P107" i="6" s="1"/>
  <c r="G107" i="6"/>
  <c r="E107" i="6"/>
  <c r="M106" i="6"/>
  <c r="N106" i="6" s="1"/>
  <c r="P106" i="6" s="1"/>
  <c r="I106" i="6"/>
  <c r="G106" i="6"/>
  <c r="E106" i="6"/>
  <c r="M105" i="6"/>
  <c r="I105" i="6"/>
  <c r="G105" i="6"/>
  <c r="E105" i="6"/>
  <c r="M104" i="6"/>
  <c r="I104" i="6"/>
  <c r="G104" i="6"/>
  <c r="E104" i="6"/>
  <c r="M103" i="6"/>
  <c r="I103" i="6"/>
  <c r="G103" i="6"/>
  <c r="E103" i="6"/>
  <c r="M102" i="6"/>
  <c r="I102" i="6"/>
  <c r="G102" i="6"/>
  <c r="E102" i="6"/>
  <c r="M101" i="6"/>
  <c r="N101" i="6" s="1"/>
  <c r="P101" i="6" s="1"/>
  <c r="I101" i="6"/>
  <c r="G101" i="6"/>
  <c r="E101" i="6"/>
  <c r="N98" i="6"/>
  <c r="P98" i="6" s="1"/>
  <c r="N100" i="6"/>
  <c r="P100" i="6" s="1"/>
  <c r="M100" i="6"/>
  <c r="I100" i="6"/>
  <c r="G100" i="6"/>
  <c r="E100" i="6"/>
  <c r="M99" i="6"/>
  <c r="N99" i="6" s="1"/>
  <c r="P99" i="6" s="1"/>
  <c r="I99" i="6"/>
  <c r="G99" i="6"/>
  <c r="E99" i="6"/>
  <c r="M98" i="6"/>
  <c r="I98" i="6"/>
  <c r="G98" i="6"/>
  <c r="E98" i="6"/>
  <c r="N95" i="6"/>
  <c r="P95" i="6" s="1"/>
  <c r="N92" i="6"/>
  <c r="P92" i="6" s="1"/>
  <c r="N90" i="6"/>
  <c r="P90" i="6" s="1"/>
  <c r="M97" i="6"/>
  <c r="N97" i="6" s="1"/>
  <c r="P97" i="6" s="1"/>
  <c r="I97" i="6"/>
  <c r="G97" i="6"/>
  <c r="E97" i="6"/>
  <c r="M96" i="6"/>
  <c r="N96" i="6" s="1"/>
  <c r="P96" i="6" s="1"/>
  <c r="I96" i="6"/>
  <c r="G96" i="6"/>
  <c r="E96" i="6"/>
  <c r="M95" i="6"/>
  <c r="I95" i="6"/>
  <c r="G95" i="6"/>
  <c r="E95" i="6"/>
  <c r="M94" i="6"/>
  <c r="N94" i="6" s="1"/>
  <c r="P94" i="6" s="1"/>
  <c r="I94" i="6"/>
  <c r="G94" i="6"/>
  <c r="E94" i="6"/>
  <c r="M93" i="6"/>
  <c r="N93" i="6" s="1"/>
  <c r="P93" i="6" s="1"/>
  <c r="I93" i="6"/>
  <c r="G93" i="6"/>
  <c r="E93" i="6"/>
  <c r="M92" i="6"/>
  <c r="I92" i="6"/>
  <c r="G92" i="6"/>
  <c r="E92" i="6"/>
  <c r="M91" i="6"/>
  <c r="N91" i="6" s="1"/>
  <c r="P91" i="6" s="1"/>
  <c r="I91" i="6"/>
  <c r="G91" i="6"/>
  <c r="E91" i="6"/>
  <c r="M90" i="6"/>
  <c r="I90" i="6"/>
  <c r="G90" i="6"/>
  <c r="E90" i="6"/>
  <c r="N89" i="6"/>
  <c r="P89" i="6" s="1"/>
  <c r="N88" i="6"/>
  <c r="P88" i="6" s="1"/>
  <c r="N86" i="6"/>
  <c r="P86" i="6" s="1"/>
  <c r="M89" i="6"/>
  <c r="I89" i="6"/>
  <c r="G89" i="6"/>
  <c r="E89" i="6"/>
  <c r="M88" i="6"/>
  <c r="N83" i="6"/>
  <c r="P83" i="6" s="1"/>
  <c r="I88" i="6"/>
  <c r="G88" i="6"/>
  <c r="E88" i="6"/>
  <c r="M87" i="6"/>
  <c r="N87" i="6" s="1"/>
  <c r="P87" i="6" s="1"/>
  <c r="I87" i="6"/>
  <c r="G87" i="6"/>
  <c r="E87" i="6"/>
  <c r="M86" i="6"/>
  <c r="I86" i="6"/>
  <c r="G86" i="6"/>
  <c r="E86" i="6"/>
  <c r="M85" i="6"/>
  <c r="N85" i="6" s="1"/>
  <c r="P85" i="6" s="1"/>
  <c r="I85" i="6"/>
  <c r="G85" i="6"/>
  <c r="E85" i="6"/>
  <c r="N84" i="6"/>
  <c r="P84" i="6" s="1"/>
  <c r="M84" i="6"/>
  <c r="I84" i="6"/>
  <c r="G84" i="6"/>
  <c r="E84" i="6"/>
  <c r="M83" i="6"/>
  <c r="I83" i="6"/>
  <c r="G83" i="6"/>
  <c r="E83" i="6"/>
  <c r="M82" i="6"/>
  <c r="N82" i="6" s="1"/>
  <c r="P82" i="6" s="1"/>
  <c r="I82" i="6"/>
  <c r="G82" i="6"/>
  <c r="E82" i="6"/>
  <c r="M81" i="6"/>
  <c r="N81" i="6" s="1"/>
  <c r="P81" i="6" s="1"/>
  <c r="I81" i="6"/>
  <c r="G81" i="6"/>
  <c r="E81" i="6"/>
  <c r="M80" i="6"/>
  <c r="N80" i="6" s="1"/>
  <c r="P80" i="6" s="1"/>
  <c r="I80" i="6"/>
  <c r="G80" i="6"/>
  <c r="E80" i="6"/>
  <c r="N73" i="6"/>
  <c r="P73" i="6" s="1"/>
  <c r="N79" i="6"/>
  <c r="P79" i="6" s="1"/>
  <c r="N75" i="6"/>
  <c r="P75" i="6" s="1"/>
  <c r="N74" i="6"/>
  <c r="P74" i="6" s="1"/>
  <c r="N72" i="6"/>
  <c r="P72" i="6" s="1"/>
  <c r="M79" i="6"/>
  <c r="I79" i="6"/>
  <c r="G79" i="6"/>
  <c r="E79" i="6"/>
  <c r="M78" i="6"/>
  <c r="N78" i="6" s="1"/>
  <c r="P78" i="6" s="1"/>
  <c r="I78" i="6"/>
  <c r="G78" i="6"/>
  <c r="E78" i="6"/>
  <c r="M77" i="6"/>
  <c r="N77" i="6" s="1"/>
  <c r="P77" i="6" s="1"/>
  <c r="I77" i="6"/>
  <c r="G77" i="6"/>
  <c r="E77" i="6"/>
  <c r="M76" i="6"/>
  <c r="N76" i="6" s="1"/>
  <c r="P76" i="6" s="1"/>
  <c r="I76" i="6"/>
  <c r="G76" i="6"/>
  <c r="E76" i="6"/>
  <c r="M75" i="6"/>
  <c r="I75" i="6"/>
  <c r="G75" i="6"/>
  <c r="E75" i="6"/>
  <c r="M74" i="6"/>
  <c r="I74" i="6"/>
  <c r="G74" i="6"/>
  <c r="E74" i="6"/>
  <c r="M73" i="6"/>
  <c r="I73" i="6"/>
  <c r="G73" i="6"/>
  <c r="E73" i="6"/>
  <c r="M72" i="6"/>
  <c r="I72" i="6"/>
  <c r="G72" i="6"/>
  <c r="E72" i="6"/>
  <c r="N71" i="6"/>
  <c r="P71" i="6" s="1"/>
  <c r="M71" i="6"/>
  <c r="I71" i="6"/>
  <c r="G71" i="6"/>
  <c r="E71" i="6"/>
  <c r="M70" i="6"/>
  <c r="N70" i="6" s="1"/>
  <c r="P70" i="6" s="1"/>
  <c r="I70" i="6"/>
  <c r="G70" i="6"/>
  <c r="E70" i="6"/>
  <c r="N69" i="6"/>
  <c r="P69" i="6" s="1"/>
  <c r="M67" i="6"/>
  <c r="N67" i="6" s="1"/>
  <c r="P67" i="6" s="1"/>
  <c r="N64" i="6"/>
  <c r="P64" i="6" s="1"/>
  <c r="N63" i="6"/>
  <c r="P63" i="6" s="1"/>
  <c r="M69" i="6"/>
  <c r="I69" i="6"/>
  <c r="G69" i="6"/>
  <c r="E69" i="6"/>
  <c r="M68" i="6"/>
  <c r="N68" i="6" s="1"/>
  <c r="P68" i="6" s="1"/>
  <c r="M66" i="6"/>
  <c r="N66" i="6" s="1"/>
  <c r="P66" i="6" s="1"/>
  <c r="M65" i="6"/>
  <c r="N65" i="6" s="1"/>
  <c r="P65" i="6" s="1"/>
  <c r="M64" i="6"/>
  <c r="M63" i="6"/>
  <c r="M62" i="6"/>
  <c r="N62" i="6" s="1"/>
  <c r="P62" i="6" s="1"/>
  <c r="I68" i="6"/>
  <c r="I67" i="6"/>
  <c r="I66" i="6"/>
  <c r="I65" i="6"/>
  <c r="I64" i="6"/>
  <c r="I63" i="6"/>
  <c r="I62" i="6"/>
  <c r="G68" i="6"/>
  <c r="G67" i="6"/>
  <c r="G66" i="6"/>
  <c r="G65" i="6"/>
  <c r="G64" i="6"/>
  <c r="G63" i="6"/>
  <c r="G62" i="6"/>
  <c r="E68" i="6"/>
  <c r="E67" i="6"/>
  <c r="E66" i="6"/>
  <c r="E65" i="6"/>
  <c r="E64" i="6"/>
  <c r="E63" i="6"/>
  <c r="E62" i="6"/>
  <c r="N61" i="6"/>
  <c r="P61" i="6" s="1"/>
  <c r="N59" i="6"/>
  <c r="P59" i="6" s="1"/>
  <c r="N56" i="6"/>
  <c r="P56" i="6" s="1"/>
  <c r="M61" i="6"/>
  <c r="I61" i="6"/>
  <c r="G61" i="6"/>
  <c r="E61" i="6"/>
  <c r="M60" i="6"/>
  <c r="N60" i="6" s="1"/>
  <c r="P60" i="6" s="1"/>
  <c r="I60" i="6"/>
  <c r="G60" i="6"/>
  <c r="E60" i="6"/>
  <c r="M59" i="6"/>
  <c r="I59" i="6"/>
  <c r="G59" i="6"/>
  <c r="E59" i="6"/>
  <c r="M58" i="6"/>
  <c r="N58" i="6" s="1"/>
  <c r="P58" i="6" s="1"/>
  <c r="I58" i="6"/>
  <c r="G58" i="6"/>
  <c r="E58" i="6"/>
  <c r="M57" i="6"/>
  <c r="N57" i="6" s="1"/>
  <c r="P57" i="6" s="1"/>
  <c r="I57" i="6"/>
  <c r="G57" i="6"/>
  <c r="E57" i="6"/>
  <c r="M56" i="6"/>
  <c r="I56" i="6"/>
  <c r="G56" i="6"/>
  <c r="E56" i="6"/>
  <c r="M55" i="6"/>
  <c r="N55" i="6" s="1"/>
  <c r="P55" i="6" s="1"/>
  <c r="I55" i="6"/>
  <c r="G55" i="6"/>
  <c r="E55" i="6"/>
  <c r="N45" i="6"/>
  <c r="P45" i="6" s="1"/>
  <c r="N52" i="6"/>
  <c r="P52" i="6" s="1"/>
  <c r="N53" i="6"/>
  <c r="P53" i="6" s="1"/>
  <c r="N49" i="6"/>
  <c r="P49" i="6" s="1"/>
  <c r="M54" i="6"/>
  <c r="I54" i="6"/>
  <c r="G54" i="6"/>
  <c r="E54" i="6"/>
  <c r="M53" i="6"/>
  <c r="I53" i="6"/>
  <c r="G53" i="6"/>
  <c r="E53" i="6"/>
  <c r="M52" i="6"/>
  <c r="I52" i="6"/>
  <c r="G52" i="6"/>
  <c r="E52" i="6"/>
  <c r="M51" i="6"/>
  <c r="N51" i="6" s="1"/>
  <c r="P51" i="6" s="1"/>
  <c r="I51" i="6"/>
  <c r="G51" i="6"/>
  <c r="E51" i="6"/>
  <c r="M50" i="6"/>
  <c r="I50" i="6"/>
  <c r="G50" i="6"/>
  <c r="E50" i="6"/>
  <c r="M49" i="6"/>
  <c r="I49" i="6"/>
  <c r="G49" i="6"/>
  <c r="E49" i="6"/>
  <c r="M48" i="6"/>
  <c r="I48" i="6"/>
  <c r="G48" i="6"/>
  <c r="E48" i="6"/>
  <c r="M47" i="6"/>
  <c r="N47" i="6" s="1"/>
  <c r="P47" i="6" s="1"/>
  <c r="I47" i="6"/>
  <c r="G47" i="6"/>
  <c r="E47" i="6"/>
  <c r="M46" i="6"/>
  <c r="N46" i="6" s="1"/>
  <c r="P46" i="6" s="1"/>
  <c r="I46" i="6"/>
  <c r="G46" i="6"/>
  <c r="E46" i="6"/>
  <c r="M45" i="6"/>
  <c r="I45" i="6"/>
  <c r="G45" i="6"/>
  <c r="E45" i="6"/>
  <c r="N43" i="6"/>
  <c r="P43" i="6" s="1"/>
  <c r="N41" i="6"/>
  <c r="P41" i="6" s="1"/>
  <c r="M44" i="6"/>
  <c r="I44" i="6"/>
  <c r="G44" i="6"/>
  <c r="E44" i="6"/>
  <c r="M43" i="6"/>
  <c r="I43" i="6"/>
  <c r="G43" i="6"/>
  <c r="E43" i="6"/>
  <c r="M42" i="6"/>
  <c r="N42" i="6" s="1"/>
  <c r="P42" i="6" s="1"/>
  <c r="I42" i="6"/>
  <c r="G42" i="6"/>
  <c r="E42" i="6"/>
  <c r="M41" i="6"/>
  <c r="I41" i="6"/>
  <c r="G41" i="6"/>
  <c r="E41" i="6"/>
  <c r="M40" i="6"/>
  <c r="G40" i="6"/>
  <c r="E40" i="6"/>
  <c r="I40" i="6"/>
  <c r="M39" i="6"/>
  <c r="N39" i="6" s="1"/>
  <c r="P39" i="6" s="1"/>
  <c r="I39" i="6"/>
  <c r="G39" i="6"/>
  <c r="E39" i="6"/>
  <c r="M38" i="6"/>
  <c r="N38" i="6" s="1"/>
  <c r="P38" i="6" s="1"/>
  <c r="I38" i="6"/>
  <c r="G38" i="6"/>
  <c r="E38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M37" i="6"/>
  <c r="G37" i="6"/>
  <c r="M36" i="6"/>
  <c r="N36" i="6" s="1"/>
  <c r="P36" i="6" s="1"/>
  <c r="G36" i="6"/>
  <c r="M35" i="6"/>
  <c r="G35" i="6"/>
  <c r="M34" i="6"/>
  <c r="N34" i="6" s="1"/>
  <c r="P34" i="6" s="1"/>
  <c r="G34" i="6"/>
  <c r="M33" i="6"/>
  <c r="G33" i="6"/>
  <c r="M32" i="6"/>
  <c r="G32" i="6"/>
  <c r="M31" i="6"/>
  <c r="G31" i="6"/>
  <c r="M30" i="6"/>
  <c r="G30" i="6"/>
  <c r="M29" i="6"/>
  <c r="G29" i="6"/>
  <c r="M28" i="6"/>
  <c r="G28" i="6"/>
  <c r="M27" i="6"/>
  <c r="G27" i="6"/>
  <c r="N26" i="6"/>
  <c r="P26" i="6" s="1"/>
  <c r="N24" i="6"/>
  <c r="P24" i="6" s="1"/>
  <c r="N22" i="6"/>
  <c r="P22" i="6" s="1"/>
  <c r="N20" i="6"/>
  <c r="P20" i="6" s="1"/>
  <c r="M26" i="6"/>
  <c r="G26" i="6"/>
  <c r="M25" i="6"/>
  <c r="N25" i="6" s="1"/>
  <c r="P25" i="6" s="1"/>
  <c r="G25" i="6"/>
  <c r="M24" i="6"/>
  <c r="G24" i="6"/>
  <c r="M23" i="6"/>
  <c r="G23" i="6"/>
  <c r="M22" i="6"/>
  <c r="G22" i="6"/>
  <c r="M21" i="6"/>
  <c r="G21" i="6"/>
  <c r="M20" i="6"/>
  <c r="G20" i="6"/>
  <c r="M19" i="6"/>
  <c r="N19" i="6" s="1"/>
  <c r="P19" i="6" s="1"/>
  <c r="G19" i="6"/>
  <c r="M18" i="6"/>
  <c r="G18" i="6"/>
  <c r="N12" i="6"/>
  <c r="P12" i="6" s="1"/>
  <c r="N13" i="6"/>
  <c r="P13" i="6" s="1"/>
  <c r="N10" i="6"/>
  <c r="P10" i="6" s="1"/>
  <c r="N17" i="6"/>
  <c r="M17" i="6"/>
  <c r="G17" i="6"/>
  <c r="M16" i="6"/>
  <c r="G16" i="6"/>
  <c r="M15" i="6"/>
  <c r="G15" i="6"/>
  <c r="M14" i="6"/>
  <c r="M13" i="6"/>
  <c r="G13" i="6"/>
  <c r="G14" i="6"/>
  <c r="M12" i="6"/>
  <c r="G12" i="6"/>
  <c r="K11" i="6"/>
  <c r="M11" i="6" s="1"/>
  <c r="G11" i="6"/>
  <c r="M10" i="6"/>
  <c r="G10" i="6"/>
  <c r="M9" i="6"/>
  <c r="G9" i="6"/>
  <c r="M8" i="6"/>
  <c r="G8" i="6"/>
  <c r="N2" i="6"/>
  <c r="P2" i="6" s="1"/>
  <c r="N3" i="6"/>
  <c r="P3" i="6" s="1"/>
  <c r="M7" i="6"/>
  <c r="G7" i="6"/>
  <c r="G3" i="6"/>
  <c r="G4" i="6"/>
  <c r="G5" i="6"/>
  <c r="G6" i="6"/>
  <c r="G2" i="6"/>
  <c r="M6" i="6"/>
  <c r="M5" i="6"/>
  <c r="M4" i="6"/>
  <c r="M3" i="6"/>
  <c r="M2" i="6"/>
  <c r="H28" i="8"/>
  <c r="B21" i="3" l="1"/>
  <c r="D24" i="1"/>
  <c r="D23" i="1"/>
  <c r="D22" i="1"/>
  <c r="D21" i="1"/>
  <c r="D20" i="1"/>
  <c r="D19" i="1"/>
  <c r="C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G6" i="3" l="1"/>
  <c r="G8" i="3"/>
  <c r="G7" i="3"/>
  <c r="G5" i="3"/>
  <c r="G4" i="3"/>
</calcChain>
</file>

<file path=xl/sharedStrings.xml><?xml version="1.0" encoding="utf-8"?>
<sst xmlns="http://schemas.openxmlformats.org/spreadsheetml/2006/main" count="665" uniqueCount="119">
  <si>
    <t>bets</t>
  </si>
  <si>
    <t>SDP WS</t>
  </si>
  <si>
    <t>bet</t>
  </si>
  <si>
    <t>to win</t>
  </si>
  <si>
    <t>notes</t>
  </si>
  <si>
    <t>free roll ladbrokes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</si>
  <si>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</si>
  <si>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</si>
  <si>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</si>
  <si>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</si>
  <si>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</si>
  <si>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</si>
  <si>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</si>
  <si>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</si>
  <si>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</si>
  <si>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</si>
  <si>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</si>
  <si>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</si>
  <si>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</si>
  <si>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</si>
  <si>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</si>
  <si>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</si>
  <si>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</si>
  <si>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</si>
  <si>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</si>
  <si>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</si>
  <si>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</si>
  <si>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</si>
  <si>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</si>
  <si>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</si>
  <si>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</si>
  <si>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</si>
  <si>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</si>
  <si>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</si>
  <si>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</si>
  <si>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</si>
  <si>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</si>
  <si>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</si>
  <si>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</si>
  <si>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</si>
  <si>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</si>
  <si>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</si>
  <si>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</si>
  <si>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CLE AL Cent</t>
  </si>
  <si>
    <t>MIN AL Cent</t>
  </si>
  <si>
    <t>SDP NL West</t>
  </si>
  <si>
    <t>Total</t>
  </si>
  <si>
    <t>Deposit</t>
  </si>
  <si>
    <t>Accounts</t>
  </si>
  <si>
    <t>Points Bet</t>
  </si>
  <si>
    <t>Ladbrokes</t>
  </si>
  <si>
    <t>Sportsbet</t>
  </si>
  <si>
    <t>current value</t>
  </si>
  <si>
    <t>Fund</t>
  </si>
  <si>
    <t>NYM NL East</t>
  </si>
  <si>
    <t>WSN NL East</t>
  </si>
  <si>
    <t>Decimal odds</t>
  </si>
  <si>
    <t>Bet range</t>
  </si>
  <si>
    <t>MIN over 75.5 wins</t>
  </si>
  <si>
    <t>NYY over 92.5 wins</t>
  </si>
  <si>
    <t>LAD over 96.5 wins</t>
  </si>
  <si>
    <t>CIN under 76.5 wins</t>
  </si>
  <si>
    <t>COL under 67.5 wins</t>
  </si>
  <si>
    <t>PHI under 82.5 wins</t>
  </si>
  <si>
    <t>Home Team</t>
  </si>
  <si>
    <t>Away Team</t>
  </si>
  <si>
    <t>Model Odds</t>
  </si>
  <si>
    <t>Amount Bet</t>
  </si>
  <si>
    <t>Win / Loss</t>
  </si>
  <si>
    <t>DET AL Cent</t>
  </si>
  <si>
    <t>good</t>
  </si>
  <si>
    <t>Date</t>
  </si>
  <si>
    <t>Return on Equity</t>
  </si>
  <si>
    <t>Units</t>
  </si>
  <si>
    <t>Casino</t>
  </si>
  <si>
    <t>pb</t>
  </si>
  <si>
    <t>lb</t>
  </si>
  <si>
    <t>sb</t>
  </si>
  <si>
    <t>Return</t>
  </si>
  <si>
    <t>Odds Bet</t>
  </si>
  <si>
    <t>Juice</t>
  </si>
  <si>
    <t>Odds Opponent</t>
  </si>
  <si>
    <t>Grand Total</t>
  </si>
  <si>
    <t>Sum of Amount Bet</t>
  </si>
  <si>
    <t>Sum of Return</t>
  </si>
  <si>
    <t>ROI</t>
  </si>
  <si>
    <t>American Model Odds</t>
  </si>
  <si>
    <t>American Odds Bet</t>
  </si>
  <si>
    <t>WAS</t>
  </si>
  <si>
    <t>Average of Juice</t>
  </si>
  <si>
    <t>Model Edge</t>
  </si>
  <si>
    <t>Average of Model Edge</t>
  </si>
  <si>
    <t>Win / Loss by number of units</t>
  </si>
  <si>
    <t>SE</t>
  </si>
  <si>
    <t>NORM.DIST</t>
  </si>
  <si>
    <t>Win % needed w/ juice</t>
  </si>
  <si>
    <t>Row Labels</t>
  </si>
  <si>
    <t>Count of Units</t>
  </si>
  <si>
    <t>Average of Odds Bet</t>
  </si>
  <si>
    <t>win pct</t>
  </si>
  <si>
    <t>fave / dog</t>
  </si>
  <si>
    <t>April 7 - May 7</t>
  </si>
  <si>
    <t>Fund Size</t>
  </si>
  <si>
    <t>meh to bad</t>
  </si>
  <si>
    <t>LAD NL West</t>
  </si>
  <si>
    <t>Cumulative Return</t>
  </si>
  <si>
    <t>Points Bet Long Term</t>
  </si>
  <si>
    <t xml:space="preserve"> NYM</t>
  </si>
  <si>
    <t>With long term bets</t>
  </si>
  <si>
    <t>May 8 - June 7</t>
  </si>
  <si>
    <t>June 8 - July 7</t>
  </si>
  <si>
    <t>July 8 - August 7</t>
  </si>
  <si>
    <t>return favorites</t>
  </si>
  <si>
    <t>return dogs</t>
  </si>
  <si>
    <t>Overall Win Pct</t>
  </si>
  <si>
    <t>Average Odds Taken / Laid</t>
  </si>
  <si>
    <t>% bets on dogs</t>
  </si>
  <si>
    <t>Return favorites</t>
  </si>
  <si>
    <t>Return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</si>
</sst>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00000"/>
    <numFmt numFmtId="166" formatCode="0.000%"/>
    <numFmt numFmtId="167" formatCode="0.0%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0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0" xfId="3" applyFont="1"/>
    <xf numFmtId="16" fontId="0" fillId="0" borderId="2" xfId="0" applyNumberFormat="1" applyBorder="1"/>
    <xf numFmtId="0" fontId="3" fillId="0" borderId="1" xfId="0" applyFont="1" applyBorder="1"/>
    <xf numFmtId="0" fontId="3" fillId="0" borderId="2" xfId="0" applyFont="1" applyBorder="1"/>
    <xf numFmtId="16" fontId="0" fillId="0" borderId="1" xfId="0" applyNumberFormat="1" applyBorder="1"/>
    <xf numFmtId="10" fontId="0" fillId="0" borderId="0" xfId="0" applyNumberFormat="1"/>
    <xf numFmtId="16" fontId="0" fillId="0" borderId="0" xfId="0" applyNumberFormat="1" applyAlignment="1">
      <alignment horizontal="left"/>
    </xf>
    <xf numFmtId="16" fontId="0" fillId="5" borderId="1" xfId="0" applyNumberForma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2" xfId="0" applyFill="1" applyBorder="1"/>
    <xf numFmtId="0" fontId="0" fillId="5" borderId="1" xfId="0" applyFont="1" applyFill="1" applyBorder="1"/>
    <xf numFmtId="0" fontId="3" fillId="6" borderId="12" xfId="0" applyFont="1" applyFill="1" applyBorder="1"/>
    <xf numFmtId="10" fontId="3" fillId="6" borderId="13" xfId="2" applyNumberFormat="1" applyFont="1" applyFill="1" applyBorder="1"/>
    <xf numFmtId="10" fontId="0" fillId="5" borderId="1" xfId="2" applyNumberFormat="1" applyFont="1" applyFill="1" applyBorder="1"/>
    <xf numFmtId="1" fontId="0" fillId="0" borderId="2" xfId="0" applyNumberFormat="1" applyBorder="1"/>
    <xf numFmtId="1" fontId="0" fillId="5" borderId="1" xfId="0" applyNumberFormat="1" applyFill="1" applyBorder="1"/>
    <xf numFmtId="0" fontId="0" fillId="0" borderId="1" xfId="0" applyFont="1" applyBorder="1"/>
    <xf numFmtId="16" fontId="0" fillId="7" borderId="1" xfId="0" applyNumberFormat="1" applyFill="1" applyBorder="1"/>
    <xf numFmtId="0" fontId="0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/>
    <xf numFmtId="1" fontId="0" fillId="7" borderId="2" xfId="0" applyNumberFormat="1" applyFill="1" applyBorder="1"/>
    <xf numFmtId="10" fontId="0" fillId="7" borderId="1" xfId="2" applyNumberFormat="1" applyFont="1" applyFill="1" applyBorder="1"/>
    <xf numFmtId="1" fontId="0" fillId="7" borderId="1" xfId="0" applyNumberFormat="1" applyFill="1" applyBorder="1"/>
    <xf numFmtId="9" fontId="0" fillId="0" borderId="2" xfId="0" applyNumberFormat="1" applyBorder="1"/>
    <xf numFmtId="9" fontId="0" fillId="0" borderId="1" xfId="0" applyNumberFormat="1" applyBorder="1"/>
    <xf numFmtId="16" fontId="0" fillId="8" borderId="1" xfId="0" applyNumberFormat="1" applyFill="1" applyBorder="1"/>
    <xf numFmtId="0" fontId="0" fillId="8" borderId="1" xfId="0" applyFill="1" applyBorder="1"/>
    <xf numFmtId="0" fontId="3" fillId="8" borderId="1" xfId="0" applyFont="1" applyFill="1" applyBorder="1"/>
    <xf numFmtId="1" fontId="0" fillId="8" borderId="1" xfId="0" applyNumberFormat="1" applyFill="1" applyBorder="1"/>
    <xf numFmtId="10" fontId="0" fillId="8" borderId="1" xfId="2" applyNumberFormat="1" applyFont="1" applyFill="1" applyBorder="1"/>
    <xf numFmtId="1" fontId="0" fillId="0" borderId="1" xfId="0" applyNumberFormat="1" applyBorder="1"/>
    <xf numFmtId="16" fontId="0" fillId="0" borderId="0" xfId="0" applyNumberFormat="1"/>
    <xf numFmtId="164" fontId="0" fillId="5" borderId="1" xfId="1" applyNumberFormat="1" applyFont="1" applyFill="1" applyBorder="1"/>
    <xf numFmtId="164" fontId="0" fillId="7" borderId="1" xfId="1" applyNumberFormat="1" applyFont="1" applyFill="1" applyBorder="1"/>
    <xf numFmtId="164" fontId="0" fillId="8" borderId="1" xfId="1" applyNumberFormat="1" applyFont="1" applyFill="1" applyBorder="1"/>
    <xf numFmtId="44" fontId="0" fillId="0" borderId="2" xfId="1" applyFont="1" applyBorder="1"/>
    <xf numFmtId="44" fontId="0" fillId="0" borderId="1" xfId="1" applyFont="1" applyBorder="1"/>
    <xf numFmtId="44" fontId="0" fillId="5" borderId="1" xfId="1" applyFon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2" xfId="2" applyNumberFormat="1" applyFont="1" applyBorder="1"/>
    <xf numFmtId="166" fontId="0" fillId="0" borderId="1" xfId="2" applyNumberFormat="1" applyFont="1" applyBorder="1"/>
    <xf numFmtId="166" fontId="0" fillId="5" borderId="1" xfId="2" applyNumberFormat="1" applyFont="1" applyFill="1" applyBorder="1"/>
    <xf numFmtId="166" fontId="0" fillId="7" borderId="1" xfId="2" applyNumberFormat="1" applyFont="1" applyFill="1" applyBorder="1"/>
    <xf numFmtId="166" fontId="0" fillId="8" borderId="1" xfId="2" applyNumberFormat="1" applyFont="1" applyFill="1" applyBorder="1"/>
    <xf numFmtId="166" fontId="0" fillId="0" borderId="0" xfId="2" applyNumberFormat="1" applyFont="1"/>
    <xf numFmtId="167" fontId="0" fillId="0" borderId="0" xfId="0" applyNumberFormat="1"/>
    <xf numFmtId="0" fontId="0" fillId="8" borderId="1" xfId="0" applyFont="1" applyFill="1" applyBorder="1"/>
    <xf numFmtId="44" fontId="0" fillId="7" borderId="1" xfId="0" applyNumberFormat="1" applyFill="1" applyBorder="1"/>
    <xf numFmtId="168" fontId="0" fillId="0" borderId="1" xfId="0" applyNumberFormat="1" applyBorder="1"/>
    <xf numFmtId="44" fontId="1" fillId="7" borderId="1" xfId="1" applyFont="1" applyFill="1" applyBorder="1"/>
    <xf numFmtId="0" fontId="3" fillId="0" borderId="1" xfId="0" applyFont="1" applyFill="1" applyBorder="1"/>
    <xf numFmtId="0" fontId="0" fillId="0" borderId="1" xfId="0" applyFont="1" applyFill="1" applyBorder="1"/>
    <xf numFmtId="44" fontId="0" fillId="8" borderId="1" xfId="0" applyNumberFormat="1" applyFill="1" applyBorder="1"/>
    <xf numFmtId="44" fontId="0" fillId="0" borderId="1" xfId="0" applyNumberFormat="1" applyBorder="1"/>
    <xf numFmtId="0" fontId="0" fillId="0" borderId="0" xfId="0" pivotButton="1"/>
    <xf numFmtId="44" fontId="0" fillId="0" borderId="0" xfId="1" applyFon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/>
    <xf numFmtId="14" fontId="0" fillId="0" borderId="0" xfId="0" applyNumberFormat="1"/>
    <xf numFmtId="2" fontId="3" fillId="6" borderId="13" xfId="0" applyNumberFormat="1" applyFont="1" applyFill="1" applyBorder="1"/>
    <xf numFmtId="10" fontId="0" fillId="8" borderId="0" xfId="2" applyNumberFormat="1" applyFont="1" applyFill="1"/>
    <xf numFmtId="0" fontId="0" fillId="8" borderId="0" xfId="0" applyFill="1"/>
    <xf numFmtId="44" fontId="0" fillId="8" borderId="0" xfId="1" applyFont="1" applyFill="1"/>
    <xf numFmtId="0" fontId="3" fillId="7" borderId="14" xfId="0" applyFont="1" applyFill="1" applyBorder="1"/>
    <xf numFmtId="0" fontId="0" fillId="7" borderId="14" xfId="0" applyFont="1" applyFill="1" applyBorder="1"/>
    <xf numFmtId="0" fontId="0" fillId="7" borderId="14" xfId="0" applyFill="1" applyBorder="1"/>
    <xf numFmtId="1" fontId="0" fillId="7" borderId="14" xfId="0" applyNumberFormat="1" applyFill="1" applyBorder="1"/>
    <xf numFmtId="10" fontId="0" fillId="7" borderId="14" xfId="2" applyNumberFormat="1" applyFont="1" applyFill="1" applyBorder="1"/>
    <xf numFmtId="16" fontId="0" fillId="7" borderId="15" xfId="0" applyNumberFormat="1" applyFill="1" applyBorder="1"/>
    <xf numFmtId="0" fontId="0" fillId="7" borderId="15" xfId="0" applyFill="1" applyBorder="1"/>
    <xf numFmtId="0" fontId="0" fillId="0" borderId="0" xfId="0" applyAlignment="1">
      <alignment wrapText="1"/>
    </xf>
    <xf numFmtId="164" fontId="0" fillId="7" borderId="1" xfId="0" applyNumberForma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3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6" formatCode="0.000%"/>
    </dxf>
    <dxf>
      <numFmt numFmtId="14" formatCode="0.00%"/>
    </dxf>
    <dxf>
      <numFmt numFmtId="164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6" formatCode="0.000%"/>
    </dxf>
    <dxf>
      <numFmt numFmtId="14" formatCode="0.00%"/>
    </dxf>
    <dxf>
      <numFmt numFmtId="164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6" formatCode="0.000%"/>
    </dxf>
    <dxf>
      <numFmt numFmtId="14" formatCode="0.00%"/>
    </dxf>
    <dxf>
      <numFmt numFmtId="164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6" formatCode="0.000%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166" formatCode="0.0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peterson" refreshedDate="44683.810772569443" createdVersion="7" refreshedVersion="7" minRefreshableVersion="3" recordCount="185" xr:uid="{AF59E7E0-41D8-4556-BA76-C659D1A627F4}">
  <cacheSource type="worksheet">
    <worksheetSource ref="A1:O186" sheet="baseball bets"/>
  </cacheSource>
  <cacheFields count="15">
    <cacheField name="Date" numFmtId="16">
      <sharedItems containsSemiMixedTypes="0" containsNonDate="0" containsDate="1" containsString="0" minDate="2022-04-07T00:00:00" maxDate="2022-05-02T00:00:00" count="24"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1T00:00:00"/>
      </sharedItems>
    </cacheField>
    <cacheField name="Home Team" numFmtId="0">
      <sharedItems/>
    </cacheField>
    <cacheField name="Away Team" numFmtId="0">
      <sharedItems/>
    </cacheField>
    <cacheField name="Odds Bet" numFmtId="0">
      <sharedItems containsSemiMixedTypes="0" containsString="0" containsNumber="1" minValue="1.42" maxValue="3.27"/>
    </cacheField>
    <cacheField name="American Odds Bet" numFmtId="0">
      <sharedItems containsSemiMixedTypes="0" containsString="0" containsNumber="1" minValue="-238.09523809523813" maxValue="227"/>
    </cacheField>
    <cacheField name="Odds Opponent" numFmtId="0">
      <sharedItems containsSemiMixedTypes="0" containsString="0" containsNumber="1" minValue="1.34" maxValue="3.15"/>
    </cacheField>
    <cacheField name="Juice" numFmtId="0">
      <sharedItems containsSemiMixedTypes="0" containsString="0" containsNumber="1" minValue="1.5751831863454857E-2" maxValue="5.2894073314676771E-2"/>
    </cacheField>
    <cacheField name="Model Odds" numFmtId="0">
      <sharedItems containsSemiMixedTypes="0" containsString="0" containsNumber="1" minValue="1.2824469999999999" maxValue="3.0193650000000001"/>
    </cacheField>
    <cacheField name="American Model Odds" numFmtId="0">
      <sharedItems containsSemiMixedTypes="0" containsString="0" containsNumber="1" minValue="-354.04872418542254" maxValue="201.9365"/>
    </cacheField>
    <cacheField name="Model Edge" numFmtId="10">
      <sharedItems containsSemiMixedTypes="0" containsString="0" containsNumber="1" minValue="-3.5944169583952801E-2" maxValue="0.16224376184389133"/>
    </cacheField>
    <cacheField name="Amount Bet" numFmtId="0">
      <sharedItems containsSemiMixedTypes="0" containsString="0" containsNumber="1" containsInteger="1" minValue="12" maxValue="130"/>
    </cacheField>
    <cacheField name="Units" numFmtId="0">
      <sharedItems containsSemiMixedTypes="0" containsString="0" containsNumber="1" minValue="0.2" maxValue="2" count="5">
        <n v="1"/>
        <n v="1.5"/>
        <n v="0.5"/>
        <n v="0.2"/>
        <n v="2"/>
      </sharedItems>
    </cacheField>
    <cacheField name="Win / Loss" numFmtId="0">
      <sharedItems containsSemiMixedTypes="0" containsString="0" containsNumber="1" minValue="9.120000000000001" maxValue="202.39999999999998"/>
    </cacheField>
    <cacheField name="Return" numFmtId="0">
      <sharedItems containsSemiMixedTypes="0" containsString="0" containsNumber="1" minValue="-130" maxValue="194.7"/>
    </cacheField>
    <cacheField name="Cas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s v="KCR"/>
    <s v="CLE"/>
    <n v="1.82"/>
    <n v="-121.95121951219511"/>
    <n v="2.02"/>
    <n v="4.450005440104432E-2"/>
    <n v="1.60571385564911"/>
    <n v="-165.09445684189532"/>
    <n v="7.3325418061887526E-2"/>
    <n v="85"/>
    <x v="0"/>
    <n v="69.7"/>
    <n v="-85"/>
    <s v="sb"/>
  </r>
  <r>
    <x v="0"/>
    <s v="STL"/>
    <s v="PIT"/>
    <n v="2.75"/>
    <n v="175"/>
    <n v="1.49"/>
    <n v="3.4777303233679113E-2"/>
    <n v="2.1810585839876002"/>
    <n v="118.10585839876002"/>
    <n v="9.4856593564131786E-2"/>
    <n v="65"/>
    <x v="1"/>
    <n v="113.75"/>
    <n v="-65"/>
    <s v="pb"/>
  </r>
  <r>
    <x v="0"/>
    <s v="ATL"/>
    <s v="CIN"/>
    <n v="2.75"/>
    <n v="175"/>
    <n v="1.49"/>
    <n v="3.4777303233679113E-2"/>
    <n v="2.4088476577887299"/>
    <n v="140.88476577887297"/>
    <n v="5.1499893223473814E-2"/>
    <n v="50"/>
    <x v="2"/>
    <n v="87.5"/>
    <n v="87.5"/>
    <s v="pb"/>
  </r>
  <r>
    <x v="0"/>
    <s v="LAA"/>
    <s v="HOU"/>
    <n v="2.1"/>
    <n v="110.00000000000001"/>
    <n v="1.78"/>
    <n v="3.7988228999465079E-2"/>
    <n v="2.0308170862631298"/>
    <n v="103.08170862631299"/>
    <n v="1.6222162428830567E-2"/>
    <n v="57"/>
    <x v="3"/>
    <n v="62.7"/>
    <n v="57"/>
    <s v="lb"/>
  </r>
  <r>
    <x v="0"/>
    <s v="ARI"/>
    <s v="SDP"/>
    <n v="1.62"/>
    <n v="-161.29032258064512"/>
    <n v="2.31"/>
    <n v="5.0184383517716924E-2"/>
    <n v="1.51941257281289"/>
    <n v="-192.52518178073328"/>
    <n v="4.0865137979961941E-2"/>
    <n v="57"/>
    <x v="2"/>
    <n v="35.340000000000003"/>
    <n v="-57"/>
    <s v="sb"/>
  </r>
  <r>
    <x v="0"/>
    <s v="CHC"/>
    <s v="MIL"/>
    <n v="2.57"/>
    <n v="156.99999999999997"/>
    <n v="1.56"/>
    <n v="3.0130699391399673E-2"/>
    <n v="2.40734864920142"/>
    <n v="140.734864920142"/>
    <n v="2.6289695664458657E-2"/>
    <n v="40"/>
    <x v="3"/>
    <n v="62.8"/>
    <n v="63"/>
    <s v="pb"/>
  </r>
  <r>
    <x v="1"/>
    <s v="PHI"/>
    <s v="OAK"/>
    <n v="2.58"/>
    <n v="158"/>
    <n v="1.51"/>
    <n v="4.9848554853945348E-2"/>
    <n v="2.0059395019605799"/>
    <n v="100.59395019605799"/>
    <n v="0.11092262193852537"/>
    <n v="45"/>
    <x v="1"/>
    <n v="71.100000000000009"/>
    <n v="-45"/>
    <s v="sb"/>
  </r>
  <r>
    <x v="1"/>
    <s v="CHC"/>
    <s v="MIL"/>
    <n v="2.4"/>
    <n v="140"/>
    <n v="1.61"/>
    <n v="3.7784679089026829E-2"/>
    <n v="2.1403318555766"/>
    <n v="114.03318555766"/>
    <n v="5.0550600316729477E-2"/>
    <n v="60"/>
    <x v="2"/>
    <n v="84"/>
    <n v="0"/>
    <s v="pb"/>
  </r>
  <r>
    <x v="1"/>
    <s v="ARI"/>
    <s v="SDP"/>
    <n v="1.67"/>
    <n v="-149.25373134328359"/>
    <n v="2.25"/>
    <n v="4.3246839654025315E-2"/>
    <n v="1.5129239326439601"/>
    <n v="-194.96068254123324"/>
    <n v="6.2169368421930327E-2"/>
    <n v="85"/>
    <x v="0"/>
    <n v="56.949999999999996"/>
    <n v="56.949999999999989"/>
    <s v="lb"/>
  </r>
  <r>
    <x v="1"/>
    <s v="DET"/>
    <s v="CHW"/>
    <n v="2.15"/>
    <n v="114.99999999999999"/>
    <n v="1.74"/>
    <n v="3.9828922747928264E-2"/>
    <n v="2.068899"/>
    <n v="106.88990000000001"/>
    <n v="1.8232593929832841E-2"/>
    <n v="99"/>
    <x v="3"/>
    <n v="113.85"/>
    <n v="115"/>
    <s v="pb"/>
  </r>
  <r>
    <x v="1"/>
    <s v="TBR"/>
    <s v="BAL"/>
    <n v="1.55"/>
    <n v="-181.81818181818181"/>
    <n v="2.5"/>
    <n v="4.5161290322580649E-2"/>
    <n v="1.4197668325150601"/>
    <n v="-238.22749263166779"/>
    <n v="5.9179716311966613E-2"/>
    <n v="57"/>
    <x v="2"/>
    <n v="31.35"/>
    <n v="31.349999999999994"/>
    <s v="lb"/>
  </r>
  <r>
    <x v="1"/>
    <s v="COL"/>
    <s v="LAD"/>
    <n v="1.48"/>
    <n v="-208.33333333333334"/>
    <n v="2.7"/>
    <n v="4.6046046046046119E-2"/>
    <n v="1.38365829337732"/>
    <n v="-260.64860769646401"/>
    <n v="4.7046115380942277E-2"/>
    <n v="57"/>
    <x v="2"/>
    <n v="27.36"/>
    <n v="27.36"/>
    <s v="lb"/>
  </r>
  <r>
    <x v="1"/>
    <s v="NYY"/>
    <s v="BOS"/>
    <n v="2.5499999999999998"/>
    <n v="154.99999999999997"/>
    <n v="1.54"/>
    <n v="4.1507512095747323E-2"/>
    <n v="2.47044598969749"/>
    <n v="147.04459896974899"/>
    <n v="1.2628347767620562E-2"/>
    <n v="29"/>
    <x v="3"/>
    <n v="44.949999999999996"/>
    <n v="-29"/>
    <s v="pb"/>
  </r>
  <r>
    <x v="1"/>
    <s v="WSN"/>
    <s v="NYM"/>
    <n v="2.4"/>
    <n v="140"/>
    <n v="1.61"/>
    <n v="3.7784679089026829E-2"/>
    <n v="2.3559640000000002"/>
    <n v="135.59640000000002"/>
    <n v="7.7880363763339622E-3"/>
    <n v="20"/>
    <x v="3"/>
    <n v="28"/>
    <n v="-20"/>
    <s v="pb"/>
  </r>
  <r>
    <x v="1"/>
    <s v="ATL"/>
    <s v="CIN"/>
    <n v="2.65"/>
    <n v="165"/>
    <n v="1.5"/>
    <n v="4.4025157232704393E-2"/>
    <n v="2.2658100000000001"/>
    <n v="126.58100000000002"/>
    <n v="6.398478181778966E-2"/>
    <n v="70"/>
    <x v="0"/>
    <n v="115.5"/>
    <n v="-70"/>
    <s v="pb"/>
  </r>
  <r>
    <x v="1"/>
    <s v="LAA"/>
    <s v="HOU"/>
    <n v="2.1"/>
    <n v="110.00000000000001"/>
    <n v="1.74"/>
    <n v="5.0903119868637159E-2"/>
    <n v="1.89889"/>
    <n v="-111.2483173691998"/>
    <n v="5.0432972245188945E-2"/>
    <n v="85"/>
    <x v="2"/>
    <n v="93.500000000000014"/>
    <n v="93.5"/>
    <s v="sb"/>
  </r>
  <r>
    <x v="2"/>
    <s v="DET"/>
    <s v="CHW"/>
    <n v="2.15"/>
    <n v="114.99999999999999"/>
    <n v="1.74"/>
    <n v="3.9828922747928264E-2"/>
    <n v="2.1056059999999999"/>
    <n v="110.56059999999999"/>
    <n v="9.806379775239682E-3"/>
    <n v="25"/>
    <x v="3"/>
    <n v="28.749999999999996"/>
    <n v="-25"/>
    <s v="pb"/>
  </r>
  <r>
    <x v="2"/>
    <s v="CHC"/>
    <s v="MIL"/>
    <n v="2.35"/>
    <n v="135"/>
    <n v="1.63"/>
    <n v="3.9028847408954404E-2"/>
    <n v="2.1403318555766"/>
    <n v="114.03318555766"/>
    <n v="4.1685352089779137E-2"/>
    <n v="43"/>
    <x v="2"/>
    <n v="58.050000000000004"/>
    <n v="58.050000000000004"/>
    <s v="pb"/>
  </r>
  <r>
    <x v="2"/>
    <s v="TOR"/>
    <s v="TEX"/>
    <n v="2.7"/>
    <n v="170.00000000000003"/>
    <n v="1.49"/>
    <n v="4.1511309967685817E-2"/>
    <n v="2.2205577480827099"/>
    <n v="122.055774808271"/>
    <n v="7.9966938291576084E-2"/>
    <n v="68"/>
    <x v="0"/>
    <n v="115.60000000000001"/>
    <n v="-68"/>
    <s v="sb"/>
  </r>
  <r>
    <x v="2"/>
    <s v="TBR"/>
    <s v="BAL"/>
    <n v="1.44"/>
    <n v="-227.27272727272731"/>
    <n v="2.85"/>
    <n v="4.5321637426900541E-2"/>
    <n v="1.375902"/>
    <n v="-266.02678357657049"/>
    <n v="3.2351504685653509E-2"/>
    <n v="29"/>
    <x v="2"/>
    <n v="12.759999999999998"/>
    <n v="12.76"/>
    <s v="lb"/>
  </r>
  <r>
    <x v="2"/>
    <s v="PHI"/>
    <s v="OAK"/>
    <n v="2.75"/>
    <n v="175"/>
    <n v="1.48"/>
    <n v="3.9312039312039193E-2"/>
    <n v="2.04634776697957"/>
    <n v="104.63477669795699"/>
    <n v="0.12503912746845969"/>
    <n v="66"/>
    <x v="1"/>
    <n v="115.5"/>
    <n v="-66"/>
    <s v="sb"/>
  </r>
  <r>
    <x v="2"/>
    <s v="PIT"/>
    <s v="STL"/>
    <n v="2.4"/>
    <n v="140"/>
    <n v="1.61"/>
    <n v="3.7784679089026829E-2"/>
    <n v="2.2008731772354801"/>
    <n v="120.08731772354801"/>
    <n v="3.7698450934567085E-2"/>
    <n v="41"/>
    <x v="2"/>
    <n v="57.4"/>
    <n v="-41"/>
    <s v="pb"/>
  </r>
  <r>
    <x v="2"/>
    <s v="ATL"/>
    <s v="CIN"/>
    <n v="2.5499999999999998"/>
    <n v="154.99999999999997"/>
    <n v="1.54"/>
    <n v="4.1507512095747323E-2"/>
    <n v="2.34"/>
    <n v="134"/>
    <n v="3.5193564605329297E-2"/>
    <n v="41"/>
    <x v="2"/>
    <n v="63.54999999999999"/>
    <n v="-41"/>
    <s v="pb"/>
  </r>
  <r>
    <x v="2"/>
    <s v="ARI"/>
    <s v="SDP"/>
    <n v="1.61"/>
    <n v="-163.93442622950818"/>
    <n v="2.4"/>
    <n v="3.7784679089026829E-2"/>
    <n v="1.5312920000000001"/>
    <n v="-188.22041363318095"/>
    <n v="3.1925300022294323E-2"/>
    <n v="58"/>
    <x v="2"/>
    <n v="35.380000000000003"/>
    <n v="35.380000000000003"/>
    <s v="pb"/>
  </r>
  <r>
    <x v="2"/>
    <s v="COL"/>
    <s v="LAD"/>
    <n v="1.65"/>
    <n v="-153.84615384615387"/>
    <n v="2.2999999999999998"/>
    <n v="4.0843214756258295E-2"/>
    <n v="1.4109769999999999"/>
    <n v="-243.3226190273422"/>
    <n v="0.1026681683985099"/>
    <n v="117"/>
    <x v="1"/>
    <n v="76.049999999999983"/>
    <n v="-117"/>
    <s v="pb"/>
  </r>
  <r>
    <x v="3"/>
    <s v="PHI"/>
    <s v="OAK"/>
    <n v="2.92"/>
    <n v="192"/>
    <n v="1.43"/>
    <n v="4.1766452725356951E-2"/>
    <n v="2.0631721289999998"/>
    <n v="106.31721289999999"/>
    <n v="0.14222478012025358"/>
    <n v="60"/>
    <x v="4"/>
    <n v="115.19999999999999"/>
    <n v="115.2"/>
    <s v="sb"/>
  </r>
  <r>
    <x v="3"/>
    <s v="TOR"/>
    <s v="TEX"/>
    <n v="3.05"/>
    <n v="204.99999999999997"/>
    <n v="1.4"/>
    <n v="4.2154566744730726E-2"/>
    <n v="2.2727108619999998"/>
    <n v="127.27108619999998"/>
    <n v="0.11213432468072482"/>
    <n v="56"/>
    <x v="1"/>
    <n v="114.79999999999998"/>
    <n v="114.8"/>
    <s v="sb"/>
  </r>
  <r>
    <x v="3"/>
    <s v="ATL"/>
    <s v="CIN"/>
    <n v="2.7"/>
    <n v="170.00000000000003"/>
    <n v="1.49"/>
    <n v="4.1511309967685817E-2"/>
    <n v="2.3491151750000001"/>
    <n v="134.9115175"/>
    <n v="5.5321826692721676E-2"/>
    <n v="67"/>
    <x v="2"/>
    <n v="113.9"/>
    <n v="113.9"/>
    <s v="pb"/>
  </r>
  <r>
    <x v="3"/>
    <s v="STL"/>
    <s v="PIT"/>
    <n v="2.77"/>
    <n v="177"/>
    <n v="1.47"/>
    <n v="4.1282939168447275E-2"/>
    <n v="2.3449693859999998"/>
    <n v="134.49693859999999"/>
    <n v="6.5433969325877694E-2"/>
    <n v="64"/>
    <x v="0"/>
    <n v="113.28"/>
    <n v="113.28"/>
    <s v="sb"/>
  </r>
  <r>
    <x v="3"/>
    <s v="KCR"/>
    <s v="CLE"/>
    <n v="1.95"/>
    <n v="-105.26315789473685"/>
    <n v="1.88"/>
    <n v="4.4735406437534042E-2"/>
    <n v="1.8366879629999999"/>
    <n v="-119.51887014299022"/>
    <n v="3.1637783931552255E-2"/>
    <n v="57"/>
    <x v="2"/>
    <n v="54.15"/>
    <n v="54.15"/>
    <s v="lb"/>
  </r>
  <r>
    <x v="3"/>
    <s v="DET"/>
    <s v="CHW"/>
    <n v="2.16"/>
    <n v="116.00000000000001"/>
    <n v="1.73"/>
    <n v="4.0997645043887809E-2"/>
    <n v="1.9522740000000001"/>
    <n v="-105.01179282433417"/>
    <n v="4.9260218824019875E-2"/>
    <n v="85"/>
    <x v="2"/>
    <n v="98.600000000000009"/>
    <n v="-85"/>
    <m/>
  </r>
  <r>
    <x v="3"/>
    <s v="TBR"/>
    <s v="BAL"/>
    <n v="1.52"/>
    <n v="-192.30769230769229"/>
    <n v="2.6"/>
    <n v="4.2510121457489891E-2"/>
    <n v="1.34206"/>
    <n v="-292.3463719815237"/>
    <n v="8.7228432017707247E-2"/>
    <n v="85"/>
    <x v="0"/>
    <n v="44.2"/>
    <n v="44.2"/>
    <s v="lb"/>
  </r>
  <r>
    <x v="3"/>
    <s v="SFG"/>
    <s v="MIA"/>
    <n v="1.88"/>
    <n v="-113.63636363636365"/>
    <n v="1.95"/>
    <n v="4.4735406437534042E-2"/>
    <n v="1.828187"/>
    <n v="-120.7456770028991"/>
    <n v="1.5075102482940084E-2"/>
    <n v="29"/>
    <x v="3"/>
    <n v="25.519999999999996"/>
    <n v="25.519999999999996"/>
    <s v="lb"/>
  </r>
  <r>
    <x v="3"/>
    <s v="NYY"/>
    <s v="BOS"/>
    <n v="1.7"/>
    <n v="-142.85714285714286"/>
    <n v="2.2000000000000002"/>
    <n v="4.2780748663101553E-2"/>
    <n v="1.6642319999999999"/>
    <n v="-150.54980789844512"/>
    <n v="1.2642468117425976E-2"/>
    <n v="29"/>
    <x v="3"/>
    <n v="20.299999999999997"/>
    <n v="-29"/>
    <s v="lb"/>
  </r>
  <r>
    <x v="4"/>
    <s v="KCR"/>
    <s v="CLE"/>
    <n v="1.95"/>
    <n v="-105.26315789473685"/>
    <n v="1.88"/>
    <n v="4.4735406437534042E-2"/>
    <n v="1.7728458363603401"/>
    <n v="-129.39191142044908"/>
    <n v="5.124432546965918E-2"/>
    <n v="60"/>
    <x v="2"/>
    <n v="57"/>
    <n v="57"/>
    <s v="lb"/>
  </r>
  <r>
    <x v="4"/>
    <s v="STL"/>
    <s v="PIT"/>
    <n v="2.7"/>
    <n v="170.00000000000003"/>
    <n v="1.49"/>
    <n v="4.1511309967685817E-2"/>
    <n v="2.0901815549887002"/>
    <n v="109.01815549887002"/>
    <n v="0.10805696892619432"/>
    <n v="70"/>
    <x v="1"/>
    <n v="119.00000000000001"/>
    <n v="0"/>
    <s v="sb"/>
  </r>
  <r>
    <x v="4"/>
    <s v="DET"/>
    <s v="BOS"/>
    <n v="2.0499999999999998"/>
    <n v="104.99999999999999"/>
    <n v="1.8"/>
    <n v="4.3360433604336057E-2"/>
    <n v="1.9580649999999999"/>
    <n v="-104.37705166142173"/>
    <n v="2.2903397723474217E-2"/>
    <n v="60"/>
    <x v="3"/>
    <n v="62.999999999999986"/>
    <n v="62.999999999999986"/>
    <s v="pb"/>
  </r>
  <r>
    <x v="4"/>
    <s v="TBR"/>
    <s v="OAK"/>
    <n v="2.9"/>
    <n v="190"/>
    <n v="1.43"/>
    <n v="4.4128285507595955E-2"/>
    <n v="2.6213989999999998"/>
    <n v="162.13989999999998"/>
    <n v="3.66481067341628E-2"/>
    <n v="48"/>
    <x v="2"/>
    <n v="91.199999999999989"/>
    <n v="91.199999999999989"/>
    <s v="pb"/>
  </r>
  <r>
    <x v="4"/>
    <s v="PHI"/>
    <s v="NYM"/>
    <n v="2.2999999999999998"/>
    <n v="129.99999999999997"/>
    <n v="1.65"/>
    <n v="4.0843214756258295E-2"/>
    <n v="1.722915"/>
    <n v="-138.3288491731393"/>
    <n v="0.14562907731323393"/>
    <n v="92"/>
    <x v="4"/>
    <n v="119.59999999999998"/>
    <n v="-92"/>
    <s v="pb"/>
  </r>
  <r>
    <x v="4"/>
    <s v="NYY"/>
    <s v="TOR"/>
    <n v="1.85"/>
    <n v="-117.64705882352941"/>
    <n v="1.98"/>
    <n v="4.5591045591045543E-2"/>
    <n v="1.7871060000000001"/>
    <n v="-127.0476911623085"/>
    <n v="1.9023357739695879E-2"/>
    <n v="30"/>
    <x v="3"/>
    <n v="25.500000000000004"/>
    <n v="-30"/>
    <s v="lb"/>
  </r>
  <r>
    <x v="4"/>
    <s v="ATL"/>
    <s v="WSN"/>
    <n v="2.95"/>
    <n v="195.00000000000003"/>
    <n v="1.41"/>
    <n v="4.8202909003486116E-2"/>
    <n v="2.266394"/>
    <n v="126.63939999999999"/>
    <n v="0.102246497059923"/>
    <n v="62"/>
    <x v="1"/>
    <n v="120.9"/>
    <n v="120.9"/>
    <s v="pb"/>
  </r>
  <r>
    <x v="4"/>
    <s v="MIN"/>
    <s v="SEA"/>
    <n v="2.15"/>
    <n v="114.99999999999999"/>
    <n v="1.74"/>
    <n v="3.9828922747928264E-2"/>
    <n v="2.0663049999999998"/>
    <n v="106.63049999999998"/>
    <n v="1.8839380912665016E-2"/>
    <n v="26"/>
    <x v="3"/>
    <n v="29.9"/>
    <n v="-26"/>
    <s v="sb"/>
  </r>
  <r>
    <x v="4"/>
    <s v="SFG"/>
    <s v="SDP"/>
    <n v="2.31"/>
    <n v="131"/>
    <n v="1.64"/>
    <n v="4.2656530461408604E-2"/>
    <n v="1.8078730000000001"/>
    <n v="-123.78183204538337"/>
    <n v="0.12023576637905187"/>
    <n v="92"/>
    <x v="1"/>
    <n v="120.52000000000001"/>
    <n v="120.52"/>
    <s v="sb"/>
  </r>
  <r>
    <x v="5"/>
    <s v="TBR"/>
    <s v="OAK"/>
    <n v="2.78"/>
    <n v="177.99999999999997"/>
    <n v="1.45"/>
    <n v="4.9367402629620472E-2"/>
    <n v="2.7187969999999999"/>
    <n v="171.87969999999999"/>
    <n v="8.0975032802740321E-3"/>
    <n v="20"/>
    <x v="3"/>
    <n v="35.599999999999994"/>
    <n v="-20"/>
    <s v="sb"/>
  </r>
  <r>
    <x v="5"/>
    <s v="PHI"/>
    <s v="NYM"/>
    <n v="2.33"/>
    <n v="133"/>
    <n v="1.61"/>
    <n v="5.0302561778583499E-2"/>
    <n v="1.690822"/>
    <n v="-144.75508886514905"/>
    <n v="0.16224376184389133"/>
    <n v="92"/>
    <x v="4"/>
    <n v="122.36000000000001"/>
    <n v="122.36000000000001"/>
    <s v="sb"/>
  </r>
  <r>
    <x v="5"/>
    <s v="BAL"/>
    <s v="MIL"/>
    <n v="1.64"/>
    <n v="-156.25000000000003"/>
    <n v="2.3199999999999998"/>
    <n v="4.0790580319596259E-2"/>
    <n v="1.5249269999999999"/>
    <n v="-190.50267942018607"/>
    <n v="4.6012998271152794E-2"/>
    <n v="60"/>
    <x v="2"/>
    <n v="38.399999999999991"/>
    <n v="38.399999999999991"/>
    <s v="sb"/>
  </r>
  <r>
    <x v="5"/>
    <s v="PIT"/>
    <s v="CHC"/>
    <n v="2"/>
    <n v="-100"/>
    <n v="1.83"/>
    <n v="4.644808743169393E-2"/>
    <n v="1.949452"/>
    <n v="-105.32391316254008"/>
    <n v="1.2964669045454791E-2"/>
    <n v="30"/>
    <x v="3"/>
    <n v="30"/>
    <n v="-30"/>
    <s v="pb"/>
  </r>
  <r>
    <x v="5"/>
    <s v="ATL"/>
    <s v="WSN"/>
    <n v="2.44"/>
    <n v="144"/>
    <n v="1.59"/>
    <n v="3.8766883183833478E-2"/>
    <n v="2.266394"/>
    <n v="126.63939999999999"/>
    <n v="3.1393482333610112E-2"/>
    <n v="42"/>
    <x v="2"/>
    <n v="60.48"/>
    <n v="-42"/>
    <s v="sb"/>
  </r>
  <r>
    <x v="5"/>
    <s v="STL"/>
    <s v="KCR"/>
    <n v="2.56"/>
    <n v="156"/>
    <n v="1.54"/>
    <n v="3.9975649350649345E-2"/>
    <n v="2.225733"/>
    <n v="122.57329999999999"/>
    <n v="5.8665188895074105E-2"/>
    <n v="58"/>
    <x v="2"/>
    <n v="90.48"/>
    <n v="-58"/>
    <s v="sb"/>
  </r>
  <r>
    <x v="5"/>
    <s v="TEX"/>
    <s v="COL"/>
    <n v="2.39"/>
    <n v="139"/>
    <n v="1.61"/>
    <n v="3.9528054263364254E-2"/>
    <n v="2.2535729999999998"/>
    <n v="125.35729999999998"/>
    <n v="2.5329743823804596E-2"/>
    <n v="44"/>
    <x v="3"/>
    <n v="61.160000000000004"/>
    <n v="61.160000000000004"/>
    <s v="sb"/>
  </r>
  <r>
    <x v="5"/>
    <s v="MIN"/>
    <s v="LAD"/>
    <n v="2.4"/>
    <n v="140"/>
    <n v="1.61"/>
    <n v="3.7784679089026829E-2"/>
    <n v="2.6265849999999999"/>
    <n v="162.6585"/>
    <n v="-3.5944169583952801E-2"/>
    <n v="43"/>
    <x v="3"/>
    <n v="60.199999999999996"/>
    <n v="-43"/>
    <s v="pb"/>
  </r>
  <r>
    <x v="5"/>
    <s v="LAA"/>
    <s v="MIA"/>
    <n v="2.35"/>
    <n v="135"/>
    <n v="1.63"/>
    <n v="3.9028847408954404E-2"/>
    <n v="2.2200000000000002"/>
    <n v="122.00000000000001"/>
    <n v="2.4918535556833377E-2"/>
    <n v="45"/>
    <x v="3"/>
    <n v="60.750000000000007"/>
    <n v="-45"/>
    <s v="pb"/>
  </r>
  <r>
    <x v="5"/>
    <s v="SFG"/>
    <s v="SDP"/>
    <n v="1.94"/>
    <n v="-106.38297872340426"/>
    <n v="1.9"/>
    <n v="4.1779706999457433E-2"/>
    <n v="1.878158"/>
    <n v="-113.87472413848077"/>
    <n v="1.6972650643677922E-2"/>
    <n v="30"/>
    <x v="3"/>
    <n v="28.2"/>
    <n v="-30"/>
    <s v="sb"/>
  </r>
  <r>
    <x v="6"/>
    <s v="ATL"/>
    <s v="WAS"/>
    <n v="2.88"/>
    <n v="188"/>
    <n v="1.42"/>
    <n v="5.1447574334898327E-2"/>
    <n v="2.31"/>
    <n v="131"/>
    <n v="8.5678210678210687E-2"/>
    <n v="64"/>
    <x v="0"/>
    <n v="120.32"/>
    <n v="120.32"/>
    <s v="pb"/>
  </r>
  <r>
    <x v="6"/>
    <s v="PIT"/>
    <s v="CHC"/>
    <n v="2.1"/>
    <n v="110.00000000000001"/>
    <n v="1.78"/>
    <n v="3.7988228999465079E-2"/>
    <n v="1.92"/>
    <n v="-108.69565217391305"/>
    <n v="4.4642857142857206E-2"/>
    <n v="55"/>
    <x v="2"/>
    <n v="60.500000000000007"/>
    <n v="-55"/>
    <s v="lb"/>
  </r>
  <r>
    <x v="6"/>
    <s v="CIN"/>
    <s v="CLE"/>
    <n v="2.1"/>
    <n v="110.00000000000001"/>
    <n v="1.77"/>
    <n v="4.1162227602905554E-2"/>
    <n v="1.95"/>
    <n v="-105.26315789473685"/>
    <n v="3.6630036630036722E-2"/>
    <n v="55"/>
    <x v="2"/>
    <n v="60.500000000000007"/>
    <n v="60.500000000000007"/>
    <s v="pb"/>
  </r>
  <r>
    <x v="6"/>
    <s v="PHI"/>
    <s v="NYM"/>
    <n v="1.96"/>
    <n v="-104.16666666666667"/>
    <n v="1.88"/>
    <n v="4.2118975249674229E-2"/>
    <n v="1.69"/>
    <n v="-144.92753623188406"/>
    <n v="8.1511894698707898E-2"/>
    <n v="120"/>
    <x v="0"/>
    <n v="115.19999999999999"/>
    <n v="115.19999999999999"/>
    <s v="sb"/>
  </r>
  <r>
    <x v="6"/>
    <s v="DET"/>
    <s v="BOS"/>
    <n v="2.1"/>
    <n v="110.00000000000001"/>
    <n v="1.77"/>
    <n v="4.1162227602905554E-2"/>
    <n v="2.0299999999999998"/>
    <n v="102.99999999999999"/>
    <n v="1.6420361247947546E-2"/>
    <n v="30"/>
    <x v="3"/>
    <n v="33"/>
    <n v="-30"/>
    <s v="sb"/>
  </r>
  <r>
    <x v="6"/>
    <s v="NYY"/>
    <s v="TOR"/>
    <n v="2.4500000000000002"/>
    <n v="145.00000000000003"/>
    <n v="1.57"/>
    <n v="4.5105940465357985E-2"/>
    <n v="2.2200000000000002"/>
    <n v="122.00000000000001"/>
    <n v="4.2287185144327999E-2"/>
    <n v="62"/>
    <x v="2"/>
    <n v="89.9"/>
    <n v="89.9"/>
    <s v="pb"/>
  </r>
  <r>
    <x v="6"/>
    <s v="SFG"/>
    <s v="SDP"/>
    <n v="2.0699999999999998"/>
    <n v="106.99999999999999"/>
    <n v="1.79"/>
    <n v="4.17510053167085E-2"/>
    <n v="1.8779999999999999"/>
    <n v="-113.89521640091118"/>
    <n v="4.9389575712676104E-2"/>
    <n v="60"/>
    <x v="2"/>
    <n v="64.199999999999989"/>
    <n v="-60"/>
    <s v="sb"/>
  </r>
  <r>
    <x v="7"/>
    <s v="TBR"/>
    <s v="OAK"/>
    <n v="2.86"/>
    <n v="186"/>
    <n v="1.43"/>
    <n v="4.8951048951049181E-2"/>
    <n v="2.5819999999999999"/>
    <n v="158.19999999999999"/>
    <n v="3.7646319598294786E-2"/>
    <n v="54"/>
    <x v="2"/>
    <n v="100.44"/>
    <n v="100.44"/>
    <s v="sb"/>
  </r>
  <r>
    <x v="7"/>
    <s v="MIL"/>
    <s v="STL"/>
    <n v="2.25"/>
    <n v="125"/>
    <n v="1.69"/>
    <n v="3.6160420775805502E-2"/>
    <n v="1.9704360000000001"/>
    <n v="-103.04646571231899"/>
    <n v="6.3057448537616412E-2"/>
    <n v="80"/>
    <x v="0"/>
    <n v="100"/>
    <n v="-80"/>
    <s v="pb"/>
  </r>
  <r>
    <x v="7"/>
    <s v="PIT"/>
    <s v="WSN"/>
    <n v="2.11"/>
    <n v="110.99999999999999"/>
    <n v="1.73"/>
    <n v="5.1968331370024323E-2"/>
    <n v="2.0087600000000001"/>
    <n v="100.876"/>
    <n v="2.3885901080282546E-2"/>
    <n v="60"/>
    <x v="2"/>
    <n v="66.599999999999994"/>
    <n v="-60"/>
    <s v="sb"/>
  </r>
  <r>
    <x v="7"/>
    <s v="SDP"/>
    <s v="ATL"/>
    <n v="1.92"/>
    <n v="-108.69565217391305"/>
    <n v="1.92"/>
    <n v="4.1666666666666741E-2"/>
    <n v="1.8461320000000001"/>
    <n v="-118.18486950026708"/>
    <n v="2.0839743131404798E-2"/>
    <n v="33"/>
    <x v="3"/>
    <n v="30.36"/>
    <n v="30.36"/>
    <s v="sb"/>
  </r>
  <r>
    <x v="7"/>
    <s v="KCR"/>
    <s v="DET"/>
    <n v="2.15"/>
    <n v="114.99999999999999"/>
    <n v="1.74"/>
    <n v="3.9828922747928264E-2"/>
    <n v="1.8235779999999999"/>
    <n v="-121.42140756552507"/>
    <n v="8.3256206231108132E-2"/>
    <n v="115"/>
    <x v="0"/>
    <n v="132.25"/>
    <n v="132.25"/>
    <s v="pb"/>
  </r>
  <r>
    <x v="7"/>
    <s v="TEX"/>
    <s v="LAA"/>
    <n v="2.2999999999999998"/>
    <n v="129.99999999999997"/>
    <n v="1.65"/>
    <n v="4.0843214756258295E-2"/>
    <n v="2.0999140000000001"/>
    <n v="109.9914"/>
    <n v="4.1427369427261385E-2"/>
    <n v="51"/>
    <x v="2"/>
    <n v="66.3"/>
    <n v="66.3"/>
    <s v="pb"/>
  </r>
  <r>
    <x v="7"/>
    <s v="COL"/>
    <s v="CHC"/>
    <n v="2.11"/>
    <n v="110.99999999999999"/>
    <n v="1.73"/>
    <n v="5.1968331370024323E-2"/>
    <n v="1.8769400000000001"/>
    <n v="-114.03288708463521"/>
    <n v="5.8848432183936317E-2"/>
    <n v="90"/>
    <x v="2"/>
    <n v="99.899999999999991"/>
    <n v="99.899999999999991"/>
    <s v="sb"/>
  </r>
  <r>
    <x v="7"/>
    <s v="LAD"/>
    <s v="CIN"/>
    <n v="3.27"/>
    <n v="227"/>
    <n v="1.34"/>
    <n v="5.2079054269934755E-2"/>
    <n v="2.8735300000000001"/>
    <n v="187.35300000000001"/>
    <n v="4.2193625372988208E-2"/>
    <n v="44"/>
    <x v="2"/>
    <n v="99.88"/>
    <n v="-44"/>
    <s v="sb"/>
  </r>
  <r>
    <x v="8"/>
    <s v="BOS"/>
    <s v="MIN"/>
    <n v="2.1"/>
    <n v="110.00000000000001"/>
    <n v="1.75"/>
    <n v="4.761904761904745E-2"/>
    <n v="2.0457320000000001"/>
    <n v="104.57320000000001"/>
    <n v="1.2632106630733997E-2"/>
    <n v="34"/>
    <x v="3"/>
    <n v="37.400000000000006"/>
    <n v="37.400000000000006"/>
    <s v="lb"/>
  </r>
  <r>
    <x v="8"/>
    <s v="NYM"/>
    <s v="ARI"/>
    <n v="3.07"/>
    <n v="206.99999999999997"/>
    <n v="1.38"/>
    <n v="5.0370580182221847E-2"/>
    <n v="2.93"/>
    <n v="193.00000000000003"/>
    <n v="1.5564029304843685E-2"/>
    <n v="17"/>
    <x v="3"/>
    <n v="35.19"/>
    <n v="-17"/>
    <s v="sb"/>
  </r>
  <r>
    <x v="8"/>
    <s v="MIA"/>
    <s v="PHI"/>
    <n v="2.15"/>
    <n v="114.99999999999999"/>
    <n v="1.74"/>
    <n v="3.9828922747928264E-2"/>
    <n v="2.0779700000000001"/>
    <n v="107.79700000000001"/>
    <n v="1.6122622358068384E-2"/>
    <n v="34"/>
    <x v="3"/>
    <n v="39.099999999999994"/>
    <n v="-34"/>
    <s v="pb"/>
  </r>
  <r>
    <x v="8"/>
    <s v="BAL"/>
    <s v="NYY"/>
    <n v="1.5"/>
    <n v="-200"/>
    <n v="2.65"/>
    <n v="4.4025157232704393E-2"/>
    <n v="1.36852"/>
    <n v="-271.35569304244007"/>
    <n v="6.4049727686357083E-2"/>
    <n v="68"/>
    <x v="0"/>
    <n v="34"/>
    <n v="-68"/>
    <s v="lb"/>
  </r>
  <r>
    <x v="8"/>
    <s v="TOR"/>
    <s v="OAK"/>
    <n v="2.7"/>
    <n v="170.00000000000003"/>
    <n v="1.49"/>
    <n v="4.1511309967685817E-2"/>
    <n v="2.1904699999999999"/>
    <n v="119.047"/>
    <n v="8.615265893384294E-2"/>
    <n v="78"/>
    <x v="0"/>
    <n v="132.60000000000002"/>
    <n v="-78"/>
    <s v="pb"/>
  </r>
  <r>
    <x v="8"/>
    <s v="CLE"/>
    <s v="SFG"/>
    <n v="2.35"/>
    <n v="135"/>
    <n v="1.63"/>
    <n v="3.9028847408954404E-2"/>
    <n v="2.1472959999999999"/>
    <n v="114.72959999999999"/>
    <n v="4.0170065643765851E-2"/>
    <n v="60"/>
    <x v="2"/>
    <n v="81"/>
    <n v="-60"/>
    <s v="pb"/>
  </r>
  <r>
    <x v="8"/>
    <s v="TEX"/>
    <s v="LAA"/>
    <n v="1.85"/>
    <n v="-117.64705882352941"/>
    <n v="1.98"/>
    <n v="4.5591045591045543E-2"/>
    <n v="1.8042899999999999"/>
    <n v="-124.33326287781772"/>
    <n v="1.3694089147591737E-2"/>
    <n v="34"/>
    <x v="3"/>
    <n v="28.900000000000002"/>
    <n v="28.900000000000002"/>
    <s v="lb"/>
  </r>
  <r>
    <x v="8"/>
    <s v="KCR"/>
    <s v="DET"/>
    <n v="2.11"/>
    <n v="110.99999999999999"/>
    <n v="1.73"/>
    <n v="5.1968331370024323E-2"/>
    <n v="1.870355"/>
    <n v="-114.89564602949372"/>
    <n v="6.0724209780435356E-2"/>
    <n v="46"/>
    <x v="0"/>
    <n v="51.059999999999995"/>
    <n v="51.059999999999995"/>
    <s v="sb"/>
  </r>
  <r>
    <x v="8"/>
    <s v="MIL"/>
    <s v="STL"/>
    <n v="2.35"/>
    <n v="135"/>
    <n v="1.63"/>
    <n v="3.9028847408954404E-2"/>
    <n v="1.9824440000000001"/>
    <n v="-101.78697208186929"/>
    <n v="7.8895952930139901E-2"/>
    <n v="100"/>
    <x v="0"/>
    <n v="135"/>
    <n v="135"/>
    <s v="pb"/>
  </r>
  <r>
    <x v="8"/>
    <s v="COL"/>
    <s v="CHC"/>
    <n v="2.1"/>
    <n v="110.00000000000001"/>
    <n v="1.74"/>
    <n v="5.0903119868637159E-2"/>
    <n v="1.851772"/>
    <n v="-117.40230953823324"/>
    <n v="6.3832809613607711E-2"/>
    <n v="90"/>
    <x v="0"/>
    <n v="99.000000000000014"/>
    <n v="-90"/>
    <s v="sb"/>
  </r>
  <r>
    <x v="9"/>
    <s v="TOR"/>
    <s v="OAK"/>
    <n v="2.93"/>
    <n v="193.00000000000003"/>
    <n v="1.41"/>
    <n v="5.0516786483673304E-2"/>
    <n v="2.8443503174644098"/>
    <n v="184.43503174644098"/>
    <n v="1.0277205793586541E-2"/>
    <n v="18"/>
    <x v="3"/>
    <n v="34.74"/>
    <n v="34.74"/>
    <s v="sb"/>
  </r>
  <r>
    <x v="9"/>
    <s v="SDP"/>
    <s v="ATL"/>
    <n v="1.91"/>
    <n v="-109.8901098901099"/>
    <n v="1.91"/>
    <n v="4.7120418848167533E-2"/>
    <n v="1.7244236007946501"/>
    <n v="-138.040781512786"/>
    <n v="5.6343707188504566E-2"/>
    <n v="101"/>
    <x v="2"/>
    <n v="91.91"/>
    <n v="-91.91"/>
    <s v="lb"/>
  </r>
  <r>
    <x v="9"/>
    <s v="BOS"/>
    <s v="MIN"/>
    <n v="2.1"/>
    <n v="110.00000000000001"/>
    <n v="1.77"/>
    <n v="4.1162227602905554E-2"/>
    <n v="1.92761131433004"/>
    <n v="-107.8037734718924"/>
    <n v="4.2586308613549395E-2"/>
    <n v="61"/>
    <x v="2"/>
    <n v="67.100000000000009"/>
    <n v="-67.100000000000009"/>
    <s v="pb"/>
  </r>
  <r>
    <x v="9"/>
    <s v="CHW"/>
    <s v="TBR"/>
    <n v="2.16"/>
    <n v="116.00000000000001"/>
    <n v="1.7"/>
    <n v="5.1198257080609988E-2"/>
    <n v="1.9604140000000001"/>
    <n v="-104.12176415587443"/>
    <n v="4.7133373831203973E-2"/>
    <n v="87"/>
    <x v="2"/>
    <n v="100.92000000000002"/>
    <n v="-87"/>
    <s v="sb"/>
  </r>
  <r>
    <x v="9"/>
    <s v="NYM"/>
    <s v="ARI"/>
    <n v="1.62"/>
    <n v="-161.29032258064512"/>
    <n v="2.35"/>
    <n v="4.2815865510900997E-2"/>
    <n v="1.583974"/>
    <n v="-171.24050043323848"/>
    <n v="1.4039543328955073E-2"/>
    <n v="34"/>
    <x v="3"/>
    <n v="21.080000000000005"/>
    <n v="-34"/>
    <s v="lb"/>
  </r>
  <r>
    <x v="9"/>
    <s v="MIA"/>
    <s v="PHI"/>
    <n v="2.25"/>
    <n v="125"/>
    <n v="1.69"/>
    <n v="3.6160420775805502E-2"/>
    <n v="2.1332089999999999"/>
    <n v="113.32089999999999"/>
    <n v="2.4332876483790955E-2"/>
    <n v="54"/>
    <x v="3"/>
    <n v="67.5"/>
    <n v="67.5"/>
    <s v="pb"/>
  </r>
  <r>
    <x v="9"/>
    <s v="TEX"/>
    <s v="LAA"/>
    <n v="2.1"/>
    <n v="110.00000000000001"/>
    <n v="1.78"/>
    <n v="3.7988228999465079E-2"/>
    <n v="1.934312"/>
    <n v="-107.03062788447542"/>
    <n v="4.0789204440156324E-2"/>
    <n v="61"/>
    <x v="2"/>
    <n v="67.100000000000009"/>
    <n v="-61"/>
    <s v="lb"/>
  </r>
  <r>
    <x v="9"/>
    <s v="BAL"/>
    <s v="NYY"/>
    <n v="1.55"/>
    <n v="-181.81818181818181"/>
    <n v="2.5"/>
    <n v="4.5161290322580649E-2"/>
    <n v="1.4420869999999999"/>
    <n v="-226.19982039734265"/>
    <n v="4.8278148490750405E-2"/>
    <n v="67"/>
    <x v="2"/>
    <n v="36.85"/>
    <n v="36.85"/>
    <s v="lb"/>
  </r>
  <r>
    <x v="9"/>
    <s v="COL"/>
    <s v="CHC"/>
    <n v="2.1"/>
    <n v="110.00000000000001"/>
    <n v="1.78"/>
    <n v="3.7988228999465079E-2"/>
    <n v="1.963282"/>
    <n v="-103.8117602114438"/>
    <n v="3.3160702091604599E-2"/>
    <n v="61"/>
    <x v="2"/>
    <n v="67.100000000000009"/>
    <n v="-61"/>
    <s v="lb"/>
  </r>
  <r>
    <x v="9"/>
    <s v="SEA"/>
    <s v="HOU"/>
    <n v="2.25"/>
    <n v="125"/>
    <n v="1.69"/>
    <n v="3.6160420775805502E-2"/>
    <n v="1.9092899999999999"/>
    <n v="-109.97591527455488"/>
    <n v="7.9310459210841122E-2"/>
    <n v="107"/>
    <x v="0"/>
    <n v="133.75"/>
    <n v="-107"/>
    <s v="pb"/>
  </r>
  <r>
    <x v="10"/>
    <s v="TOR"/>
    <s v="OAK"/>
    <n v="3.21"/>
    <n v="221"/>
    <n v="1.35"/>
    <n v="5.226722049151955E-2"/>
    <n v="2.5077880000000001"/>
    <n v="150.77880000000002"/>
    <n v="8.7231309982643612E-2"/>
    <n v="58"/>
    <x v="0"/>
    <n v="128.18"/>
    <n v="-58"/>
    <s v="sb"/>
  </r>
  <r>
    <x v="10"/>
    <s v="BOS"/>
    <s v="MIN"/>
    <n v="1.85"/>
    <n v="-117.64705882352941"/>
    <n v="1.98"/>
    <n v="4.5591045591045543E-2"/>
    <n v="1.729241"/>
    <n v="-137.12887783325402"/>
    <n v="3.7747853037913948E-2"/>
    <n v="32"/>
    <x v="2"/>
    <n v="27.200000000000003"/>
    <n v="27.200000000000003"/>
    <s v="lb"/>
  </r>
  <r>
    <x v="10"/>
    <s v="BAL"/>
    <s v="NYY"/>
    <n v="1.55"/>
    <n v="-181.81818181818181"/>
    <n v="2.5"/>
    <n v="4.5161290322580649E-2"/>
    <n v="1.395181"/>
    <n v="-253.04860304518689"/>
    <n v="7.1591589769679831E-2"/>
    <n v="64"/>
    <x v="0"/>
    <n v="35.200000000000003"/>
    <n v="-64"/>
    <s v="lb"/>
  </r>
  <r>
    <x v="10"/>
    <s v="CHW"/>
    <s v="TBR"/>
    <n v="1.98"/>
    <n v="-102.04081632653062"/>
    <n v="1.83"/>
    <n v="5.1498592482198902E-2"/>
    <n v="1.8309949999999999"/>
    <n v="-120.33766749499095"/>
    <n v="4.1100631353471972E-2"/>
    <n v="64"/>
    <x v="2"/>
    <n v="62.72"/>
    <n v="62.72"/>
    <s v="sb"/>
  </r>
  <r>
    <x v="10"/>
    <s v="PIT"/>
    <s v="WSN"/>
    <n v="2.1"/>
    <n v="110.00000000000001"/>
    <n v="1.78"/>
    <n v="3.7988228999465079E-2"/>
    <n v="1.988883"/>
    <n v="-101.12419770589645"/>
    <n v="2.660430862089791E-2"/>
    <n v="30"/>
    <x v="3"/>
    <n v="33"/>
    <n v="33"/>
    <s v="lb"/>
  </r>
  <r>
    <x v="10"/>
    <s v="MIL"/>
    <s v="STL"/>
    <n v="2.2000000000000002"/>
    <n v="120.00000000000001"/>
    <n v="1.71"/>
    <n v="3.9340776182881454E-2"/>
    <n v="2.06"/>
    <n v="106"/>
    <n v="3.0891438658428971E-2"/>
    <n v="28"/>
    <x v="2"/>
    <n v="33.600000000000009"/>
    <n v="-28"/>
    <s v="pb"/>
  </r>
  <r>
    <x v="10"/>
    <s v="MIA"/>
    <s v="PHI"/>
    <n v="2.2599999999999998"/>
    <n v="125.99999999999997"/>
    <n v="1.64"/>
    <n v="5.2233973667170197E-2"/>
    <n v="1.8357270000000001"/>
    <n v="-119.65629924604565"/>
    <n v="0.10226543267555765"/>
    <n v="101"/>
    <x v="1"/>
    <n v="127.25999999999998"/>
    <n v="127.25999999999998"/>
    <s v="sb"/>
  </r>
  <r>
    <x v="10"/>
    <s v="COL"/>
    <s v="CHC"/>
    <n v="2.1"/>
    <n v="110.00000000000001"/>
    <n v="1.74"/>
    <n v="5.0903119868637159E-2"/>
    <n v="2.021309"/>
    <n v="102.1309"/>
    <n v="1.8538434629195633E-2"/>
    <n v="32"/>
    <x v="3"/>
    <n v="35.200000000000003"/>
    <n v="35.200000000000003"/>
    <s v="sb"/>
  </r>
  <r>
    <x v="11"/>
    <s v="MIL"/>
    <s v="PIT"/>
    <n v="2.5499999999999998"/>
    <n v="154.99999999999997"/>
    <n v="1.54"/>
    <n v="4.1507512095747323E-2"/>
    <n v="2.4613160000000001"/>
    <n v="146.13159999999999"/>
    <n v="1.4129855417055803E-2"/>
    <n v="21"/>
    <x v="3"/>
    <n v="32.549999999999997"/>
    <n v="-21"/>
    <s v="pb"/>
  </r>
  <r>
    <x v="11"/>
    <s v="COL"/>
    <s v="PHI"/>
    <n v="2.4"/>
    <n v="140"/>
    <n v="1.61"/>
    <n v="3.7784679089026829E-2"/>
    <n v="2.1842489999999999"/>
    <n v="118.42489999999999"/>
    <n v="4.1156594326013207E-2"/>
    <n v="47"/>
    <x v="2"/>
    <n v="65.8"/>
    <n v="65.8"/>
    <s v="pb"/>
  </r>
  <r>
    <x v="11"/>
    <s v="LAD"/>
    <s v="ATL"/>
    <n v="2.89"/>
    <n v="189"/>
    <n v="1.42"/>
    <n v="5.0246113358350719E-2"/>
    <n v="2.6216020000000002"/>
    <n v="162.16020000000003"/>
    <n v="3.5425392670899947E-2"/>
    <n v="35"/>
    <x v="2"/>
    <n v="66.150000000000006"/>
    <n v="-35"/>
    <s v="sb"/>
  </r>
  <r>
    <x v="12"/>
    <s v="WSN"/>
    <s v="ARI"/>
    <n v="1.7"/>
    <n v="-142.85714285714286"/>
    <n v="2.2000000000000002"/>
    <n v="4.2780748663101553E-2"/>
    <n v="1.661103"/>
    <n v="-151.26236002559358"/>
    <n v="1.3774334424351831E-2"/>
    <n v="33"/>
    <x v="3"/>
    <n v="23.099999999999998"/>
    <n v="23.099999999999998"/>
    <s v="lb"/>
  </r>
  <r>
    <x v="12"/>
    <s v="DET"/>
    <s v="NYY"/>
    <n v="2.85"/>
    <n v="185"/>
    <n v="1.43"/>
    <n v="5.0177892283155501E-2"/>
    <n v="2.3059940000000001"/>
    <n v="130.5994"/>
    <n v="8.2775279660577628E-2"/>
    <n v="71"/>
    <x v="0"/>
    <n v="131.35"/>
    <n v="-71"/>
    <s v="pb"/>
  </r>
  <r>
    <x v="12"/>
    <s v="MIL"/>
    <s v="PIT"/>
    <n v="3.27"/>
    <n v="227"/>
    <n v="1.34"/>
    <n v="5.2079054269934755E-2"/>
    <n v="2.398447"/>
    <n v="139.84469999999999"/>
    <n v="0.11112606174702228"/>
    <n v="58"/>
    <x v="1"/>
    <n v="131.66"/>
    <n v="-58"/>
    <s v="sb"/>
  </r>
  <r>
    <x v="12"/>
    <s v="WSN"/>
    <s v="ARI"/>
    <n v="1.78"/>
    <n v="-128.2051282051282"/>
    <n v="2.1"/>
    <n v="3.7988228999465079E-2"/>
    <n v="1.6717"/>
    <n v="-148.87598630340926"/>
    <n v="3.6395702954605147E-2"/>
    <n v="65"/>
    <x v="2"/>
    <n v="50.7"/>
    <n v="50.7"/>
    <s v="lb"/>
  </r>
  <r>
    <x v="12"/>
    <s v="BOS"/>
    <s v="TOR"/>
    <n v="2.2000000000000002"/>
    <n v="120.00000000000001"/>
    <n v="1.68"/>
    <n v="4.9783549783549708E-2"/>
    <n v="1.9803029999999999"/>
    <n v="-102.00927672362525"/>
    <n v="5.042777429881834E-2"/>
    <n v="55"/>
    <x v="2"/>
    <n v="66.000000000000014"/>
    <n v="-55"/>
    <s v="sb"/>
  </r>
  <r>
    <x v="12"/>
    <s v="KCR"/>
    <s v="MIN"/>
    <n v="2.0499999999999998"/>
    <n v="104.99999999999999"/>
    <n v="1.8"/>
    <n v="4.3360433604336057E-2"/>
    <n v="1.96933"/>
    <n v="-103.16404114181961"/>
    <n v="1.9982034251341874E-2"/>
    <n v="95"/>
    <x v="3"/>
    <n v="99.749999999999986"/>
    <n v="99.749999999999986"/>
    <s v="pb"/>
  </r>
  <r>
    <x v="12"/>
    <s v="CHC"/>
    <s v="TBR"/>
    <n v="1.8"/>
    <n v="-125"/>
    <n v="2.0499999999999998"/>
    <n v="4.3360433604336057E-2"/>
    <n v="1.582851"/>
    <n v="-171.57043566880728"/>
    <n v="7.6215849333470587E-2"/>
    <n v="97"/>
    <x v="0"/>
    <n v="77.600000000000009"/>
    <n v="77.600000000000009"/>
    <s v="lb"/>
  </r>
  <r>
    <x v="13"/>
    <s v="OAK"/>
    <s v="BAL"/>
    <n v="1.8"/>
    <n v="-125"/>
    <n v="2.02"/>
    <n v="5.0605060506050625E-2"/>
    <n v="1.475867"/>
    <n v="-210.14274997005464"/>
    <n v="0.12201227406594828"/>
    <n v="130"/>
    <x v="1"/>
    <n v="104"/>
    <n v="-130"/>
    <s v="lb"/>
  </r>
  <r>
    <x v="13"/>
    <s v="HOU"/>
    <s v="LAA"/>
    <n v="2.0499999999999998"/>
    <n v="104.99999999999999"/>
    <n v="1.8"/>
    <n v="4.3360433604336057E-2"/>
    <n v="1.7413270000000001"/>
    <n v="-134.8932387461943"/>
    <n v="8.6469798677647092E-2"/>
    <n v="130"/>
    <x v="0"/>
    <n v="136.49999999999997"/>
    <n v="-130"/>
    <s v="pb"/>
  </r>
  <r>
    <x v="13"/>
    <s v="DET"/>
    <s v="NYY"/>
    <n v="2.4500000000000002"/>
    <n v="145.00000000000003"/>
    <n v="1.57"/>
    <n v="4.5105940465357985E-2"/>
    <n v="2.4187270000000001"/>
    <n v="141.87270000000001"/>
    <n v="5.2773586253919702E-3"/>
    <n v="23"/>
    <x v="3"/>
    <n v="33.35"/>
    <n v="-23"/>
    <s v="pb"/>
  </r>
  <r>
    <x v="13"/>
    <s v="WSN"/>
    <s v="ARI"/>
    <n v="1.85"/>
    <n v="-117.64705882352941"/>
    <n v="1.98"/>
    <n v="4.5591045591045543E-2"/>
    <n v="1.7319230000000001"/>
    <n v="-136.62639375999933"/>
    <n v="3.6852334315905177E-2"/>
    <n v="66"/>
    <x v="2"/>
    <n v="56.100000000000009"/>
    <n v="-66"/>
    <s v="lb"/>
  </r>
  <r>
    <x v="13"/>
    <s v="KCR"/>
    <s v="MIN"/>
    <n v="2.1"/>
    <n v="110.00000000000001"/>
    <n v="1.77"/>
    <n v="4.1162227602905554E-2"/>
    <n v="1.859605"/>
    <n v="-116.33250155594722"/>
    <n v="6.1558131712815101E-2"/>
    <n v="90"/>
    <x v="0"/>
    <n v="99.000000000000014"/>
    <n v="99.000000000000014"/>
    <s v="lb"/>
  </r>
  <r>
    <x v="13"/>
    <s v="CHC"/>
    <s v="TBR"/>
    <n v="1.87"/>
    <n v="-114.94252873563217"/>
    <n v="1.93"/>
    <n v="5.2894073314676771E-2"/>
    <n v="1.6260399999999999"/>
    <n v="-159.7342022873938"/>
    <n v="8.0231662842321527E-2"/>
    <n v="130"/>
    <x v="0"/>
    <n v="113.10000000000001"/>
    <n v="113.10000000000001"/>
    <s v="sb"/>
  </r>
  <r>
    <x v="14"/>
    <s v="DET"/>
    <s v="NYY"/>
    <n v="2.4"/>
    <n v="140"/>
    <n v="1.62"/>
    <n v="3.3950617283950546E-2"/>
    <n v="2.2619560000000001"/>
    <n v="126.19560000000001"/>
    <n v="2.5428581870440115E-2"/>
    <n v="48"/>
    <x v="3"/>
    <n v="67.199999999999989"/>
    <n v="67.199999999999989"/>
    <s v="pb"/>
  </r>
  <r>
    <x v="14"/>
    <s v="CLE"/>
    <s v="CHW"/>
    <n v="2.23"/>
    <n v="123"/>
    <n v="1.72"/>
    <n v="2.982584211075201E-2"/>
    <n v="1.9157999999999999"/>
    <n v="-109.19414719371042"/>
    <n v="7.3544660709127851E-2"/>
    <n v="108"/>
    <x v="0"/>
    <n v="132.84"/>
    <n v="132.84"/>
    <s v="sb"/>
  </r>
  <r>
    <x v="14"/>
    <s v="KCR"/>
    <s v="MIN"/>
    <n v="2.1"/>
    <n v="110.00000000000001"/>
    <n v="1.79"/>
    <n v="3.4849694067571102E-2"/>
    <n v="1.9826490000000001"/>
    <n v="-101.76573730803165"/>
    <n v="2.8185235294511779E-2"/>
    <n v="60"/>
    <x v="3"/>
    <n v="66"/>
    <n v="-60"/>
    <s v="lb"/>
  </r>
  <r>
    <x v="14"/>
    <s v="BOS"/>
    <s v="TOR"/>
    <n v="1.95"/>
    <n v="-105.26315789473685"/>
    <n v="1.88"/>
    <n v="4.4735406437534042E-2"/>
    <n v="1.888779"/>
    <n v="-112.51390953206591"/>
    <n v="1.6622052985227231E-2"/>
    <n v="33"/>
    <x v="3"/>
    <n v="31.349999999999998"/>
    <n v="-33"/>
    <s v="lb"/>
  </r>
  <r>
    <x v="14"/>
    <s v="MIA"/>
    <s v="STL"/>
    <n v="2.1"/>
    <n v="110.00000000000001"/>
    <n v="1.78"/>
    <n v="3.7988228999465079E-2"/>
    <n v="1.9529749999999999"/>
    <n v="-104.9345470762612"/>
    <n v="3.5848848429654634E-2"/>
    <n v="60"/>
    <x v="2"/>
    <n v="66"/>
    <n v="-60"/>
    <s v="lb"/>
  </r>
  <r>
    <x v="14"/>
    <s v="CHC"/>
    <s v="PIT"/>
    <n v="2.41"/>
    <n v="141"/>
    <n v="1.62"/>
    <n v="3.2221709953383471E-2"/>
    <n v="2.02529"/>
    <n v="102.529"/>
    <n v="7.8818690357524535E-2"/>
    <n v="94"/>
    <x v="0"/>
    <n v="132.54000000000002"/>
    <n v="132.54000000000002"/>
    <s v="sb"/>
  </r>
  <r>
    <x v="14"/>
    <s v="SEA"/>
    <s v="TEX"/>
    <n v="1.75"/>
    <n v="-133.33333333333334"/>
    <n v="2.15"/>
    <n v="3.6544850498338777E-2"/>
    <n v="1.7199949999999999"/>
    <n v="-138.88985340175975"/>
    <n v="9.9684675163093095E-3"/>
    <n v="33"/>
    <x v="3"/>
    <n v="24.75"/>
    <n v="-33"/>
    <s v="lb"/>
  </r>
  <r>
    <x v="15"/>
    <s v="CHC"/>
    <s v="PIT"/>
    <n v="2.5299999999999998"/>
    <n v="152.99999999999997"/>
    <n v="1.56"/>
    <n v="3.6282558021688338E-2"/>
    <n v="2.1728550000000002"/>
    <n v="117.28550000000001"/>
    <n v="6.4967074020380156E-2"/>
    <n v="44"/>
    <x v="0"/>
    <n v="67.319999999999993"/>
    <n v="67.319999999999993"/>
    <s v="sb"/>
  </r>
  <r>
    <x v="15"/>
    <s v="WSN"/>
    <s v="SFG"/>
    <n v="2.15"/>
    <n v="114.99999999999999"/>
    <n v="1.76"/>
    <n v="3.3298097251585723E-2"/>
    <n v="2.1353770000000001"/>
    <n v="113.5377"/>
    <n v="3.1851028407804405E-3"/>
    <n v="29"/>
    <x v="3"/>
    <n v="33.349999999999994"/>
    <n v="-29"/>
    <s v="pb"/>
  </r>
  <r>
    <x v="15"/>
    <s v="SEA"/>
    <s v="KCR"/>
    <n v="1.75"/>
    <n v="-133.33333333333334"/>
    <n v="2.15"/>
    <n v="3.6544850498338777E-2"/>
    <n v="1.6364000000000001"/>
    <n v="-157.1338780641106"/>
    <n v="3.9668959737402698E-2"/>
    <n v="33"/>
    <x v="2"/>
    <n v="24.75"/>
    <n v="24.75"/>
    <s v="lb"/>
  </r>
  <r>
    <x v="15"/>
    <s v="OAK"/>
    <s v="TEX"/>
    <n v="2.15"/>
    <n v="114.99999999999999"/>
    <n v="1.75"/>
    <n v="3.6544850498338777E-2"/>
    <n v="1.8575919999999999"/>
    <n v="-116.60556535042306"/>
    <n v="7.3215066026464715E-2"/>
    <n v="58"/>
    <x v="0"/>
    <n v="66.699999999999989"/>
    <n v="-58"/>
    <s v="pb"/>
  </r>
  <r>
    <x v="15"/>
    <s v="ARI"/>
    <s v="NYM"/>
    <n v="1.8"/>
    <n v="-125"/>
    <n v="2.0699999999999998"/>
    <n v="3.8647342995169254E-2"/>
    <n v="1.6570800000000001"/>
    <n v="-152.18847020149752"/>
    <n v="4.791561059212579E-2"/>
    <n v="33"/>
    <x v="2"/>
    <n v="26.400000000000002"/>
    <n v="26.400000000000002"/>
    <s v="lb"/>
  </r>
  <r>
    <x v="15"/>
    <s v="TBR"/>
    <s v="BOS"/>
    <n v="1.67"/>
    <n v="-149.25373134328359"/>
    <n v="2.25"/>
    <n v="4.3246839654025315E-2"/>
    <n v="1.5293300000000001"/>
    <n v="-188.918066234674"/>
    <n v="5.5078716126755856E-2"/>
    <n v="33"/>
    <x v="2"/>
    <n v="22.11"/>
    <n v="-22.11"/>
    <s v="lb"/>
  </r>
  <r>
    <x v="15"/>
    <s v="DET"/>
    <s v="COL"/>
    <n v="1.72"/>
    <n v="-138.88888888888889"/>
    <n v="2.15"/>
    <n v="4.6511627906976827E-2"/>
    <n v="1.613556"/>
    <n v="-162.98430787083819"/>
    <n v="3.8353826276638636E-2"/>
    <n v="33"/>
    <x v="2"/>
    <n v="23.759999999999998"/>
    <n v="0"/>
    <s v="lb"/>
  </r>
  <r>
    <x v="15"/>
    <s v="MIN"/>
    <s v="CHW"/>
    <n v="1.95"/>
    <n v="-105.26315789473685"/>
    <n v="1.89"/>
    <n v="4.1921041921042068E-2"/>
    <n v="1.932525"/>
    <n v="-107.23573094555105"/>
    <n v="4.637217351153744E-3"/>
    <n v="13"/>
    <x v="3"/>
    <n v="12.35"/>
    <n v="12.35"/>
    <s v="lb"/>
  </r>
  <r>
    <x v="15"/>
    <s v="HOU"/>
    <s v="TOR"/>
    <n v="2.46"/>
    <n v="146"/>
    <n v="1.57"/>
    <n v="4.3446740199886147E-2"/>
    <n v="2.2515049999999999"/>
    <n v="125.15049999999999"/>
    <n v="3.7643294170188579E-2"/>
    <n v="46"/>
    <x v="2"/>
    <n v="67.16"/>
    <n v="67.16"/>
    <s v="sb"/>
  </r>
  <r>
    <x v="15"/>
    <s v="SDP"/>
    <s v="LAD"/>
    <n v="2.38"/>
    <n v="138"/>
    <n v="1.64"/>
    <n v="2.9924164787866303E-2"/>
    <n v="2.0300199999999999"/>
    <n v="103.002"/>
    <n v="7.243791695060503E-2"/>
    <n v="48"/>
    <x v="0"/>
    <n v="66.239999999999995"/>
    <n v="-48"/>
    <s v="sb"/>
  </r>
  <r>
    <x v="15"/>
    <s v="LAA"/>
    <s v="BAL"/>
    <n v="1.57"/>
    <n v="-175.43859649122805"/>
    <n v="2.59"/>
    <n v="2.3043061259621744E-2"/>
    <n v="1.417"/>
    <n v="-239.80815347721821"/>
    <n v="6.8773626887341566E-2"/>
    <n v="66"/>
    <x v="0"/>
    <n v="37.620000000000005"/>
    <n v="-37.620000000000005"/>
    <s v="lb"/>
  </r>
  <r>
    <x v="16"/>
    <s v="DET"/>
    <s v="COL"/>
    <n v="1.71"/>
    <n v="-140.84507042253523"/>
    <n v="2.25"/>
    <n v="2.9239766081871288E-2"/>
    <n v="1.6051200000000001"/>
    <n v="-165.25647805393967"/>
    <n v="3.8211057947900029E-2"/>
    <n v="33"/>
    <x v="2"/>
    <n v="23.43"/>
    <n v="23.43"/>
    <s v="sb"/>
  </r>
  <r>
    <x v="16"/>
    <s v="CLE"/>
    <s v="NYY"/>
    <n v="1.57"/>
    <n v="-175.43859649122805"/>
    <n v="2.5499999999999998"/>
    <n v="2.9099537904333728E-2"/>
    <n v="1.5530489999999999"/>
    <n v="-180.81580474786142"/>
    <n v="6.9520120013111253E-3"/>
    <n v="16"/>
    <x v="3"/>
    <n v="9.120000000000001"/>
    <n v="9.120000000000001"/>
    <s v="lb"/>
  </r>
  <r>
    <x v="16"/>
    <s v="MIN"/>
    <s v="CHW"/>
    <n v="2.2999999999999998"/>
    <n v="129.99999999999997"/>
    <n v="1.65"/>
    <n v="4.0843214756258295E-2"/>
    <n v="2.0931890000000002"/>
    <n v="109.31890000000001"/>
    <n v="4.2957337386617445E-2"/>
    <n v="39"/>
    <x v="2"/>
    <n v="50.699999999999996"/>
    <n v="-39"/>
    <s v="pb"/>
  </r>
  <r>
    <x v="16"/>
    <s v="PHI"/>
    <s v="MIL"/>
    <n v="2.25"/>
    <n v="125"/>
    <n v="1.69"/>
    <n v="3.6160420775805502E-2"/>
    <n v="1.9630399999999999"/>
    <n v="-103.83784681840838"/>
    <n v="6.4969525724273502E-2"/>
    <n v="78"/>
    <x v="0"/>
    <n v="97.5"/>
    <n v="97.5"/>
    <s v="pb"/>
  </r>
  <r>
    <x v="16"/>
    <s v="OAK"/>
    <s v="TEX"/>
    <n v="2.2999999999999998"/>
    <n v="129.99999999999997"/>
    <n v="1.65"/>
    <n v="4.0843214756258295E-2"/>
    <n v="2.0439799999999999"/>
    <n v="104.398"/>
    <n v="5.445896901058761E-2"/>
    <n v="39"/>
    <x v="2"/>
    <n v="50.699999999999996"/>
    <n v="50.699999999999996"/>
    <s v="pb"/>
  </r>
  <r>
    <x v="16"/>
    <s v="CIN"/>
    <s v="STL"/>
    <n v="1.97"/>
    <n v="-103.09278350515464"/>
    <n v="1.87"/>
    <n v="4.2373571486739481E-2"/>
    <n v="1.8539300000000001"/>
    <n v="-117.10561755647417"/>
    <n v="3.1780478079478924E-2"/>
    <n v="39"/>
    <x v="2"/>
    <n v="37.83"/>
    <n v="37.83"/>
    <s v="sb"/>
  </r>
  <r>
    <x v="16"/>
    <s v="HOU"/>
    <s v="TOR"/>
    <n v="2.1"/>
    <n v="110.00000000000001"/>
    <n v="1.78"/>
    <n v="3.7988228999465079E-2"/>
    <n v="1.8922220000000001"/>
    <n v="-112.07972903604707"/>
    <n v="5.2288740307376624E-2"/>
    <n v="39"/>
    <x v="2"/>
    <n v="42.900000000000006"/>
    <n v="-39"/>
    <s v="lb"/>
  </r>
  <r>
    <x v="16"/>
    <s v="TBR"/>
    <s v="BOS"/>
    <n v="1.7"/>
    <n v="-142.85714285714286"/>
    <n v="2.2000000000000002"/>
    <n v="4.2780748663101553E-2"/>
    <n v="1.534783"/>
    <n v="-186.99173309547984"/>
    <n v="6.3322613417164053E-2"/>
    <n v="78"/>
    <x v="0"/>
    <n v="54.599999999999994"/>
    <n v="54.599999999999994"/>
    <s v="lb"/>
  </r>
  <r>
    <x v="16"/>
    <s v="DET"/>
    <s v="COL"/>
    <n v="1.85"/>
    <n v="-117.64705882352941"/>
    <n v="1.98"/>
    <n v="4.5591045591045543E-2"/>
    <n v="1.6051200000000001"/>
    <n v="-165.25647805393967"/>
    <n v="8.2465839044786438E-2"/>
    <n v="78"/>
    <x v="0"/>
    <n v="66.300000000000011"/>
    <n v="-78"/>
    <s v="lb"/>
  </r>
  <r>
    <x v="17"/>
    <s v="CIN"/>
    <s v="STL"/>
    <n v="2.25"/>
    <n v="125"/>
    <n v="1.7"/>
    <n v="3.2679738562091387E-2"/>
    <n v="2.2222369999999998"/>
    <n v="122.22369999999998"/>
    <n v="5.5525630754555966E-3"/>
    <n v="16"/>
    <x v="3"/>
    <n v="20"/>
    <n v="20"/>
    <s v="pb"/>
  </r>
  <r>
    <x v="17"/>
    <s v="DET"/>
    <s v="COL"/>
    <n v="1.8"/>
    <n v="-125"/>
    <n v="2.1"/>
    <n v="3.1746031746031633E-2"/>
    <n v="1.560873"/>
    <n v="-178.29348176860003"/>
    <n v="8.511155829675654E-2"/>
    <n v="80"/>
    <x v="0"/>
    <n v="64"/>
    <n v="-80"/>
    <s v="pb"/>
  </r>
  <r>
    <x v="17"/>
    <s v="ATL"/>
    <s v="MIA"/>
    <n v="1.78"/>
    <n v="-128.2051282051282"/>
    <n v="2.11"/>
    <n v="3.5731402098088338E-2"/>
    <n v="1.661958"/>
    <n v="-151.06698612298663"/>
    <n v="3.9902169812401134E-2"/>
    <n v="40"/>
    <x v="2"/>
    <n v="31.200000000000003"/>
    <n v="-40"/>
    <s v="lb"/>
  </r>
  <r>
    <x v="17"/>
    <s v="NYY"/>
    <s v="CLE"/>
    <n v="2.85"/>
    <n v="185"/>
    <n v="1.48"/>
    <n v="2.6552868658131779E-2"/>
    <n v="2.7219359999999999"/>
    <n v="172.1936"/>
    <n v="1.6508373761214556E-2"/>
    <n v="16"/>
    <x v="3"/>
    <n v="29.6"/>
    <n v="-16"/>
    <s v="sb"/>
  </r>
  <r>
    <x v="17"/>
    <s v="PHI"/>
    <s v="MIL"/>
    <n v="2.23"/>
    <n v="123"/>
    <n v="1.66"/>
    <n v="5.0840131827759594E-2"/>
    <n v="2.089067"/>
    <n v="108.9067"/>
    <n v="3.0252095652518629E-2"/>
    <n v="40"/>
    <x v="2"/>
    <n v="49.2"/>
    <n v="49.2"/>
    <s v="sb"/>
  </r>
  <r>
    <x v="18"/>
    <s v="PHI"/>
    <s v="COL"/>
    <n v="2.62"/>
    <n v="162"/>
    <n v="1.51"/>
    <n v="4.3931044942116193E-2"/>
    <n v="2.5560230000000002"/>
    <n v="155.60230000000001"/>
    <n v="9.5533969334690716E-3"/>
    <n v="16"/>
    <x v="3"/>
    <n v="25.92"/>
    <n v="-16"/>
    <s v="sb"/>
  </r>
  <r>
    <x v="18"/>
    <s v="STL"/>
    <s v="NYM"/>
    <n v="2.4"/>
    <n v="140"/>
    <n v="1.61"/>
    <n v="3.7784679089026829E-2"/>
    <n v="2.0453239999999999"/>
    <n v="104.5324"/>
    <n v="7.2253426189037351E-2"/>
    <n v="79"/>
    <x v="0"/>
    <n v="110.6"/>
    <n v="-79"/>
    <s v="pb"/>
  </r>
  <r>
    <x v="18"/>
    <s v="MIL"/>
    <s v="SFG"/>
    <n v="2.65"/>
    <n v="165"/>
    <n v="1.5"/>
    <n v="4.4025157232704393E-2"/>
    <n v="1.9301349999999999"/>
    <n v="-107.51127524499132"/>
    <n v="0.14073998441110114"/>
    <n v="118"/>
    <x v="4"/>
    <n v="194.7"/>
    <n v="194.7"/>
    <s v="pb"/>
  </r>
  <r>
    <x v="18"/>
    <s v="BOS"/>
    <s v="TOR"/>
    <n v="1.78"/>
    <n v="-128.2051282051282"/>
    <n v="2.2000000000000002"/>
    <n v="1.634320735444339E-2"/>
    <n v="1.7285090000000001"/>
    <n v="-137.26666382982228"/>
    <n v="1.6735538021432017E-2"/>
    <n v="16"/>
    <x v="3"/>
    <n v="12.48"/>
    <n v="12.48"/>
    <s v="lb"/>
  </r>
  <r>
    <x v="18"/>
    <s v="LAA"/>
    <s v="CLE"/>
    <n v="1.8"/>
    <n v="-125"/>
    <n v="2.06"/>
    <n v="4.0992448759439082E-2"/>
    <n v="1.717355"/>
    <n v="-139.40099392908672"/>
    <n v="2.6735234642161321E-2"/>
    <n v="16"/>
    <x v="3"/>
    <n v="12.8"/>
    <n v="12.8"/>
    <s v="lb"/>
  </r>
  <r>
    <x v="19"/>
    <s v="TBR"/>
    <s v="SEA"/>
    <n v="1.75"/>
    <n v="-133.33333333333334"/>
    <n v="2.15"/>
    <n v="3.6544850498338777E-2"/>
    <n v="1.549369"/>
    <n v="-182.02701644978148"/>
    <n v="7.39954689388298E-2"/>
    <n v="80"/>
    <x v="0"/>
    <n v="60"/>
    <n v="-80"/>
    <s v="sb"/>
  </r>
  <r>
    <x v="19"/>
    <s v="TOR"/>
    <s v="BOS"/>
    <n v="2.75"/>
    <n v="175"/>
    <n v="1.5"/>
    <n v="3.0303030303030276E-2"/>
    <n v="2.2319330000000002"/>
    <n v="123.19330000000002"/>
    <n v="8.4405759491884336E-2"/>
    <n v="80"/>
    <x v="0"/>
    <n v="140"/>
    <n v="-80"/>
    <s v="pb"/>
  </r>
  <r>
    <x v="19"/>
    <s v="MIN"/>
    <s v="DET"/>
    <n v="2.25"/>
    <n v="125"/>
    <n v="1.7"/>
    <n v="3.2679738562091387E-2"/>
    <n v="2.1273049999999998"/>
    <n v="112.73049999999998"/>
    <n v="2.5633894110675848E-2"/>
    <n v="16"/>
    <x v="3"/>
    <n v="20"/>
    <n v="-16"/>
    <s v="pb"/>
  </r>
  <r>
    <x v="19"/>
    <s v="PIT"/>
    <s v="MIL"/>
    <n v="2.5499999999999998"/>
    <n v="154.99999999999997"/>
    <n v="1.57"/>
    <n v="2.9099537904333728E-2"/>
    <n v="2.2035559999999998"/>
    <n v="120.35559999999998"/>
    <n v="6.1655066699853656E-2"/>
    <n v="80"/>
    <x v="0"/>
    <n v="123.99999999999999"/>
    <n v="-80"/>
    <s v="pb"/>
  </r>
  <r>
    <x v="19"/>
    <s v="SFG"/>
    <s v="OAK"/>
    <n v="3.27"/>
    <n v="227"/>
    <n v="1.4"/>
    <n v="2.0096111839231101E-2"/>
    <n v="2.5166019999999998"/>
    <n v="151.66019999999997"/>
    <n v="9.1550806164830412E-2"/>
    <n v="80"/>
    <x v="1"/>
    <n v="181.6"/>
    <n v="-80"/>
    <s v="sb"/>
  </r>
  <r>
    <x v="20"/>
    <s v="ATL"/>
    <s v="CHC"/>
    <n v="2.78"/>
    <n v="177.99999999999997"/>
    <n v="1.52"/>
    <n v="1.7606967057932632E-2"/>
    <n v="2.5321509999999998"/>
    <n v="153.21509999999998"/>
    <n v="3.520892574998985E-2"/>
    <n v="38"/>
    <x v="2"/>
    <n v="67.639999999999986"/>
    <n v="67.639999999999986"/>
    <s v="sb"/>
  </r>
  <r>
    <x v="20"/>
    <s v="PHI"/>
    <s v="COL"/>
    <n v="2.81"/>
    <n v="181"/>
    <n v="1.48"/>
    <n v="3.1547561796672063E-2"/>
    <n v="2.5247860000000002"/>
    <n v="152.47860000000003"/>
    <n v="4.0201286021117721E-2"/>
    <n v="38"/>
    <x v="2"/>
    <n v="68.78"/>
    <n v="-38"/>
    <s v="sb"/>
  </r>
  <r>
    <x v="20"/>
    <s v="MIN"/>
    <s v="DET"/>
    <n v="2.76"/>
    <n v="175.99999999999997"/>
    <n v="1.52"/>
    <n v="2.021357742181551E-2"/>
    <n v="2.185762"/>
    <n v="118.5762"/>
    <n v="9.5187511895993948E-2"/>
    <n v="115"/>
    <x v="1"/>
    <n v="202.39999999999998"/>
    <n v="-115"/>
    <s v="sb"/>
  </r>
  <r>
    <x v="20"/>
    <s v="MIA"/>
    <s v="WSN"/>
    <n v="2.2200000000000002"/>
    <n v="122.00000000000001"/>
    <n v="1.7"/>
    <n v="3.868574456809748E-2"/>
    <n v="1.902933"/>
    <n v="-110.75018855219601"/>
    <n v="7.5054125906152791E-2"/>
    <n v="77"/>
    <x v="0"/>
    <n v="93.940000000000012"/>
    <n v="-77"/>
    <s v="sb"/>
  </r>
  <r>
    <x v="20"/>
    <s v="TBR"/>
    <s v="SEA"/>
    <n v="1.72"/>
    <n v="-138.88888888888889"/>
    <n v="2.2000000000000002"/>
    <n v="3.5940803382663811E-2"/>
    <n v="1.66442"/>
    <n v="-150.50720929532525"/>
    <n v="1.9414542896848186E-2"/>
    <n v="15"/>
    <x v="3"/>
    <n v="10.799999999999999"/>
    <n v="10.799999999999999"/>
    <s v="lb"/>
  </r>
  <r>
    <x v="20"/>
    <s v="NYY"/>
    <s v="BAL"/>
    <n v="1.42"/>
    <n v="-238.09523809523813"/>
    <n v="3.15"/>
    <n v="2.1685669572993671E-2"/>
    <n v="1.2824469999999999"/>
    <n v="-354.04872418542254"/>
    <n v="7.5533967375770672E-2"/>
    <n v="77"/>
    <x v="0"/>
    <n v="32.339999999999996"/>
    <n v="32.339999999999996"/>
    <s v="lb"/>
  </r>
  <r>
    <x v="20"/>
    <s v="PIT"/>
    <s v="MIL"/>
    <n v="2.4500000000000002"/>
    <n v="145.00000000000003"/>
    <n v="1.6"/>
    <n v="3.3163265306122458E-2"/>
    <n v="2.075037"/>
    <n v="107.50370000000001"/>
    <n v="7.3755852280696532E-2"/>
    <n v="77"/>
    <x v="0"/>
    <n v="111.65000000000002"/>
    <n v="-77"/>
    <s v="sb"/>
  </r>
  <r>
    <x v="20"/>
    <s v="LAA"/>
    <s v="CLE"/>
    <n v="2.85"/>
    <n v="185"/>
    <n v="1.48"/>
    <n v="2.6552868658131779E-2"/>
    <n v="2.3109289999999998"/>
    <n v="131.09289999999999"/>
    <n v="8.1849212718454689E-2"/>
    <n v="77"/>
    <x v="0"/>
    <n v="142.45000000000002"/>
    <n v="-77"/>
    <s v="sb"/>
  </r>
  <r>
    <x v="21"/>
    <s v="TOR"/>
    <s v="HOU"/>
    <n v="2.0499999999999998"/>
    <n v="104.99999999999999"/>
    <n v="1.8"/>
    <n v="4.3360433604336057E-2"/>
    <n v="1.985554"/>
    <n v="-101.46577457957656"/>
    <n v="1.5832897604764973E-2"/>
    <n v="12"/>
    <x v="3"/>
    <n v="12.599999999999998"/>
    <n v="12.599999999999998"/>
    <s v="pb"/>
  </r>
  <r>
    <x v="21"/>
    <s v="TBR"/>
    <s v="MIN"/>
    <n v="1.78"/>
    <n v="-128.2051282051282"/>
    <n v="2.1"/>
    <n v="3.7988228999465079E-2"/>
    <n v="1.71025"/>
    <n v="-140.79549454417457"/>
    <n v="2.2912084934031185E-2"/>
    <n v="12"/>
    <x v="3"/>
    <n v="9.36"/>
    <n v="-12"/>
    <s v="lb"/>
  </r>
  <r>
    <x v="21"/>
    <s v=" NYM"/>
    <s v="PHI"/>
    <n v="1.8"/>
    <n v="-125"/>
    <n v="2.0499999999999998"/>
    <n v="4.3360433604336057E-2"/>
    <n v="1.778087"/>
    <n v="-128.52033255921253"/>
    <n v="6.8466216157526683E-3"/>
    <n v="12"/>
    <x v="3"/>
    <n v="9.6000000000000014"/>
    <n v="9.6000000000000014"/>
    <s v="pb"/>
  </r>
  <r>
    <x v="21"/>
    <s v="MIL"/>
    <s v="CHC"/>
    <n v="1.72"/>
    <n v="-138.88888888888889"/>
    <n v="2.2000000000000002"/>
    <n v="3.5940803382663811E-2"/>
    <n v="1.5774239999999999"/>
    <n v="-173.182964338164"/>
    <n v="5.2549614596845151E-2"/>
    <n v="30"/>
    <x v="2"/>
    <n v="21.599999999999998"/>
    <n v="21.599999999999998"/>
    <s v="lb"/>
  </r>
  <r>
    <x v="21"/>
    <s v="STL"/>
    <s v="ARI"/>
    <n v="2.65"/>
    <n v="165"/>
    <n v="1.53"/>
    <n v="3.0953261807867838E-2"/>
    <n v="2.62086"/>
    <n v="162.08599999999998"/>
    <n v="4.195655782870622E-3"/>
    <n v="12"/>
    <x v="3"/>
    <n v="19.799999999999997"/>
    <n v="19.799999999999997"/>
    <s v="pb"/>
  </r>
  <r>
    <x v="21"/>
    <s v="KCR"/>
    <s v="NYY"/>
    <n v="2.71"/>
    <n v="171"/>
    <n v="1.52"/>
    <n v="2.6898426879005566E-2"/>
    <n v="2.6082700000000001"/>
    <n v="160.827"/>
    <n v="1.4392200725942439E-2"/>
    <n v="12"/>
    <x v="3"/>
    <n v="20.52"/>
    <n v="-20.52"/>
    <s v="sb"/>
  </r>
  <r>
    <x v="21"/>
    <s v="CHW"/>
    <s v="LAA"/>
    <n v="2.35"/>
    <n v="135"/>
    <n v="1.67"/>
    <n v="2.4334310103197865E-2"/>
    <n v="2.0989770000000001"/>
    <n v="109.89770000000001"/>
    <n v="5.0890647144937906E-2"/>
    <n v="30"/>
    <x v="2"/>
    <n v="40.5"/>
    <n v="40.5"/>
    <s v="sb"/>
  </r>
  <r>
    <x v="21"/>
    <s v="BAL"/>
    <s v="BOS"/>
    <n v="1.8"/>
    <n v="-125"/>
    <n v="2.0499999999999998"/>
    <n v="4.3360433604336057E-2"/>
    <n v="1.6255630000000001"/>
    <n v="-159.85600171365633"/>
    <n v="5.9615926570944611E-2"/>
    <n v="30"/>
    <x v="2"/>
    <n v="24"/>
    <n v="24"/>
    <s v="pb"/>
  </r>
  <r>
    <x v="21"/>
    <s v="OAK"/>
    <s v="CLE"/>
    <n v="2.35"/>
    <n v="135"/>
    <n v="1.65"/>
    <n v="3.1592520954223158E-2"/>
    <n v="1.847923"/>
    <n v="-117.9352370439297"/>
    <n v="0.11561617406896424"/>
    <n v="89"/>
    <x v="1"/>
    <n v="120.15"/>
    <n v="120.15"/>
    <s v="pb"/>
  </r>
  <r>
    <x v="21"/>
    <s v="SFG"/>
    <s v="WSN"/>
    <n v="2.97"/>
    <n v="197.00000000000003"/>
    <n v="1.45"/>
    <n v="2.6355509114129871E-2"/>
    <n v="2.5734599999999999"/>
    <n v="157.34599999999998"/>
    <n v="5.1881572480299565E-2"/>
    <n v="30"/>
    <x v="2"/>
    <n v="59.100000000000009"/>
    <n v="59.100000000000009"/>
    <s v="sb"/>
  </r>
  <r>
    <x v="22"/>
    <s v="TOR"/>
    <s v="HOU"/>
    <n v="2.35"/>
    <n v="135"/>
    <n v="1.64"/>
    <n v="3.5288012454592677E-2"/>
    <n v="2.1279859999999999"/>
    <n v="112.79859999999999"/>
    <n v="4.4395988767403305E-2"/>
    <n v="31"/>
    <x v="2"/>
    <n v="41.85"/>
    <n v="-31"/>
    <s v="pb"/>
  </r>
  <r>
    <x v="22"/>
    <s v="SFG"/>
    <s v="WSN"/>
    <n v="2.9"/>
    <n v="190"/>
    <n v="1.46"/>
    <n v="2.9759093056211494E-2"/>
    <n v="2.7246459999999999"/>
    <n v="172.46459999999999"/>
    <n v="2.2192569806031348E-2"/>
    <n v="13"/>
    <x v="3"/>
    <n v="24.7"/>
    <n v="-13"/>
    <s v="pb"/>
  </r>
  <r>
    <x v="22"/>
    <s v="OAK"/>
    <s v="CLE"/>
    <n v="2.2999999999999998"/>
    <n v="129.99999999999997"/>
    <n v="1.67"/>
    <n v="3.3585003905233002E-2"/>
    <n v="2.0831010000000001"/>
    <n v="108.31010000000001"/>
    <n v="4.5270926874634576E-2"/>
    <n v="31"/>
    <x v="2"/>
    <n v="40.299999999999997"/>
    <n v="-31"/>
    <s v="pb"/>
  </r>
  <r>
    <x v="22"/>
    <s v="TBR"/>
    <s v="MIN"/>
    <n v="2.65"/>
    <n v="165"/>
    <n v="1.53"/>
    <n v="3.0953261807867838E-2"/>
    <n v="2.4876070000000001"/>
    <n v="148.76070000000001"/>
    <n v="2.4634267936410548E-2"/>
    <n v="13"/>
    <x v="3"/>
    <n v="21.45"/>
    <n v="21.45"/>
    <s v="pb"/>
  </r>
  <r>
    <x v="22"/>
    <s v="CHW"/>
    <s v="LAA"/>
    <n v="1.85"/>
    <n v="-117.64705882352941"/>
    <n v="2"/>
    <n v="4.0540540540540349E-2"/>
    <n v="1.7732239999999999"/>
    <n v="-129.32862921999319"/>
    <n v="2.340400340878579E-2"/>
    <n v="13"/>
    <x v="3"/>
    <n v="11.05"/>
    <n v="11.05"/>
    <s v="lb"/>
  </r>
  <r>
    <x v="22"/>
    <s v="PIT"/>
    <s v="SDP"/>
    <n v="1.64"/>
    <n v="-156.25000000000003"/>
    <n v="2.35"/>
    <n v="3.5288012454592677E-2"/>
    <n v="1.5579069999999999"/>
    <n v="-179.24134309123207"/>
    <n v="3.2130741640594263E-2"/>
    <n v="31"/>
    <x v="2"/>
    <n v="19.839999999999996"/>
    <n v="-31"/>
    <s v="lb"/>
  </r>
  <r>
    <x v="22"/>
    <s v="TEX"/>
    <s v="ATL"/>
    <n v="1.88"/>
    <n v="-113.63636363636365"/>
    <n v="1.98"/>
    <n v="3.6965398667526461E-2"/>
    <n v="1.614393"/>
    <n v="-162.76227105452048"/>
    <n v="8.7512965646491359E-2"/>
    <n v="63"/>
    <x v="0"/>
    <n v="55.439999999999991"/>
    <n v="-63"/>
    <s v="lb"/>
  </r>
  <r>
    <x v="22"/>
    <s v="KCR"/>
    <s v="NYY"/>
    <n v="2.9"/>
    <n v="190"/>
    <n v="1.43"/>
    <n v="4.4128285507595955E-2"/>
    <n v="2.5171869999999998"/>
    <n v="151.71869999999998"/>
    <n v="5.2441269861405071E-2"/>
    <n v="31"/>
    <x v="2"/>
    <n v="58.9"/>
    <n v="-31"/>
    <s v="pb"/>
  </r>
  <r>
    <x v="22"/>
    <s v="NYM"/>
    <s v="PHI"/>
    <n v="1.78"/>
    <n v="-128.2051282051282"/>
    <n v="2.1"/>
    <n v="3.7988228999465079E-2"/>
    <n v="1.775137"/>
    <n v="-129.00945252258634"/>
    <n v="1.5390488012531067E-3"/>
    <n v="13"/>
    <x v="3"/>
    <n v="10.14"/>
    <n v="-13"/>
    <s v="lb"/>
  </r>
  <r>
    <x v="22"/>
    <s v="COL"/>
    <s v="CIN"/>
    <n v="2.25"/>
    <n v="125"/>
    <n v="1.69"/>
    <n v="3.6160420775805502E-2"/>
    <n v="1.9398519999999999"/>
    <n v="-106.39973102147999"/>
    <n v="7.105880013297694E-2"/>
    <n v="63"/>
    <x v="0"/>
    <n v="78.75"/>
    <n v="-63"/>
    <s v="pb"/>
  </r>
  <r>
    <x v="23"/>
    <s v="COL"/>
    <s v="CIN"/>
    <n v="2.35"/>
    <n v="135"/>
    <n v="1.64"/>
    <n v="3.5288012454592677E-2"/>
    <n v="2.0879059999999998"/>
    <n v="108.79059999999998"/>
    <n v="5.341685004120289E-2"/>
    <n v="30"/>
    <x v="2"/>
    <n v="40.5"/>
    <n v="-30"/>
    <s v="pb"/>
  </r>
  <r>
    <x v="23"/>
    <s v="LAD"/>
    <s v="DET"/>
    <n v="3.21"/>
    <n v="221"/>
    <n v="1.42"/>
    <n v="1.5751831863454857E-2"/>
    <n v="3.0193650000000001"/>
    <n v="201.9365"/>
    <n v="1.9668986845674419E-2"/>
    <n v="12"/>
    <x v="3"/>
    <n v="26.52"/>
    <n v="-12"/>
    <s v="sb"/>
  </r>
  <r>
    <x v="23"/>
    <s v="NYM"/>
    <s v="PHI"/>
    <n v="2.5499999999999998"/>
    <n v="154.99999999999997"/>
    <n v="1.57"/>
    <n v="2.9099537904333728E-2"/>
    <n v="2.2508149999999998"/>
    <n v="125.08149999999998"/>
    <n v="5.2126652337216584E-2"/>
    <n v="30"/>
    <x v="2"/>
    <n v="46.499999999999993"/>
    <n v="-30"/>
    <s v="p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08D23-F808-4681-A8EF-F15549DE23BE}" name="PivotTable1" cacheId="1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8">
  <location ref="A3:F28" firstHeaderRow="0" firstDataRow="1" firstDataCol="1"/>
  <pivotFields count="15">
    <pivotField axis="axisRow" numFmtId="1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numFmtId="1" showAll="0"/>
    <pivotField showAll="0"/>
    <pivotField dataField="1" showAll="0"/>
    <pivotField showAll="0"/>
    <pivotField numFmtId="1" showAll="0"/>
    <pivotField dataField="1"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 Bet" fld="10" baseField="0" baseItem="0" numFmtId="164"/>
    <dataField name="Sum of Return" fld="13" baseField="0" baseItem="0" numFmtId="44"/>
    <dataField name="Average of Juice" fld="6" subtotal="average" baseField="0" baseItem="0" numFmtId="10"/>
    <dataField name="Average of Model Edge" fld="9" subtotal="average" baseField="0" baseItem="2" numFmtId="10"/>
    <dataField name="Average of Odds Bet" fld="3" subtotal="average" baseField="0" baseItem="2"/>
  </dataFields>
  <formats count="6"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43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C3AC-C037-42DE-BF03-32ACBDF5BC46}" name="PivotTable1" cacheId="173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A3:F9" firstHeaderRow="0" firstDataRow="1" firstDataCol="1"/>
  <pivotFields count="15">
    <pivotField numFmtId="16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numFmtId="164" showAll="0"/>
    <pivotField axis="axisRow" dataField="1" showAll="0" sortType="ascending">
      <items count="6">
        <item x="3"/>
        <item x="2"/>
        <item x="0"/>
        <item x="1"/>
        <item x="4"/>
        <item t="default"/>
      </items>
    </pivotField>
    <pivotField numFmtId="44" showAll="0"/>
    <pivotField dataField="1" numFmtId="44"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 Bet" fld="10" baseField="0" baseItem="0" numFmtId="44"/>
    <dataField name="Count of Units" fld="11" subtotal="count" baseField="11" baseItem="3"/>
    <dataField name="Average of Model Edge" fld="9" subtotal="average" baseField="11" baseItem="0" numFmtId="10"/>
    <dataField name="Average of Juice" fld="6" subtotal="average" baseField="11" baseItem="0" numFmtId="166"/>
    <dataField name="Sum of Return" fld="13" baseField="0" baseItem="0" numFmtId="44"/>
  </dataFields>
  <formats count="4">
    <format dxfId="4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1:K26"/>
  <sheetViews>
    <sheetView workbookViewId="0">
      <selection activeCell="G27" sqref="G27"/>
    </sheetView>
  </sheetViews>
  <sheetFormatPr defaultRowHeight="14.4" x14ac:dyDescent="0.3"/>
  <cols>
    <col min="1" max="1" width="19.6640625" bestFit="1" customWidth="1"/>
    <col min="2" max="2" width="20.21875" bestFit="1" customWidth="1"/>
    <col min="3" max="3" width="11.77734375" bestFit="1" customWidth="1"/>
    <col min="9" max="11" width="10.5546875" bestFit="1" customWidth="1"/>
  </cols>
  <sheetData>
    <row r="1" spans="1:11" x14ac:dyDescent="0.3">
      <c r="I1" s="88"/>
      <c r="J1" s="88"/>
      <c r="K1" s="85"/>
    </row>
    <row r="2" spans="1:11" ht="15" thickBot="1" x14ac:dyDescent="0.35">
      <c r="I2" s="88"/>
      <c r="J2" s="88"/>
      <c r="K2" s="85"/>
    </row>
    <row r="3" spans="1:11" ht="15" thickBot="1" x14ac:dyDescent="0.35">
      <c r="A3" s="18"/>
      <c r="B3" s="19" t="s">
        <v>48</v>
      </c>
      <c r="C3" s="20"/>
      <c r="E3" s="9" t="s">
        <v>57</v>
      </c>
      <c r="F3" s="10" t="s">
        <v>73</v>
      </c>
      <c r="G3" s="11"/>
    </row>
    <row r="4" spans="1:11" ht="15" thickBot="1" x14ac:dyDescent="0.35">
      <c r="A4" s="21"/>
      <c r="B4" s="22" t="s">
        <v>47</v>
      </c>
      <c r="C4" s="23" t="s">
        <v>52</v>
      </c>
      <c r="E4" s="49">
        <v>0</v>
      </c>
      <c r="F4" s="8">
        <v>0.2</v>
      </c>
      <c r="G4" s="17">
        <f>+C9*F4/100</f>
        <v>12.10458</v>
      </c>
    </row>
    <row r="5" spans="1:11" x14ac:dyDescent="0.3">
      <c r="A5" s="8" t="s">
        <v>49</v>
      </c>
      <c r="B5" s="17">
        <v>450</v>
      </c>
      <c r="C5" s="17">
        <v>776.22</v>
      </c>
      <c r="E5" s="50">
        <v>0.03</v>
      </c>
      <c r="F5" s="7">
        <v>0.5</v>
      </c>
      <c r="G5" s="16">
        <f>+F5/100*C9</f>
        <v>30.26145</v>
      </c>
    </row>
    <row r="6" spans="1:11" x14ac:dyDescent="0.3">
      <c r="A6" t="s">
        <v>106</v>
      </c>
      <c r="B6" s="16">
        <v>1450</v>
      </c>
      <c r="C6" s="16">
        <v>1450</v>
      </c>
      <c r="E6" s="50">
        <v>0.06</v>
      </c>
      <c r="F6" s="7">
        <v>1</v>
      </c>
      <c r="G6" s="16">
        <f>+F6/100*C9</f>
        <v>60.5229</v>
      </c>
    </row>
    <row r="7" spans="1:11" x14ac:dyDescent="0.3">
      <c r="A7" s="7" t="s">
        <v>50</v>
      </c>
      <c r="B7" s="16">
        <v>2800</v>
      </c>
      <c r="C7" s="16">
        <v>2658.53</v>
      </c>
      <c r="E7" s="50">
        <v>0.09</v>
      </c>
      <c r="F7" s="7">
        <v>1.5</v>
      </c>
      <c r="G7" s="16">
        <f>+F7/100*C9</f>
        <v>90.784349999999989</v>
      </c>
      <c r="J7" s="85"/>
    </row>
    <row r="8" spans="1:11" x14ac:dyDescent="0.3">
      <c r="A8" s="7" t="s">
        <v>51</v>
      </c>
      <c r="B8" s="16">
        <v>1900</v>
      </c>
      <c r="C8" s="16">
        <v>2617.54</v>
      </c>
      <c r="E8" s="50">
        <v>0.13</v>
      </c>
      <c r="F8" s="7">
        <v>2</v>
      </c>
      <c r="G8" s="16">
        <f>+F8/100*C9</f>
        <v>121.0458</v>
      </c>
    </row>
    <row r="9" spans="1:11" x14ac:dyDescent="0.3">
      <c r="A9" s="7" t="s">
        <v>53</v>
      </c>
      <c r="B9" s="16">
        <f>B5+B7+B8</f>
        <v>5150</v>
      </c>
      <c r="C9" s="16">
        <f>+C8+C7+C5</f>
        <v>6052.29</v>
      </c>
    </row>
    <row r="10" spans="1:11" x14ac:dyDescent="0.3">
      <c r="A10" s="7" t="s">
        <v>108</v>
      </c>
      <c r="B10" s="16">
        <f>+SUM(B5:B8)</f>
        <v>6600</v>
      </c>
      <c r="C10" s="16">
        <f>+SUM(C5:C8)</f>
        <v>7502.29</v>
      </c>
    </row>
    <row r="11" spans="1:11" x14ac:dyDescent="0.3">
      <c r="A11" t="s">
        <v>72</v>
      </c>
      <c r="B11" s="5">
        <f>+C10/B10-1</f>
        <v>0.13671060606060603</v>
      </c>
      <c r="D11" s="6"/>
    </row>
    <row r="12" spans="1:11" x14ac:dyDescent="0.3">
      <c r="B12" s="5"/>
      <c r="D12" s="6"/>
    </row>
    <row r="13" spans="1:11" x14ac:dyDescent="0.3">
      <c r="A13" t="s">
        <v>114</v>
      </c>
      <c r="B13" s="5">
        <f>+SUM('baseball bets'!P2:P183)/ROWS('baseball bets'!P2:P186)</f>
        <v>0.46486486486486489</v>
      </c>
      <c r="D13" s="6"/>
    </row>
    <row r="14" spans="1:11" ht="28.8" x14ac:dyDescent="0.3">
      <c r="A14" s="100" t="s">
        <v>115</v>
      </c>
      <c r="B14" s="24">
        <f>+AVERAGE('baseball bets'!D2:D186)</f>
        <v>2.2241621621621621</v>
      </c>
      <c r="D14" s="6"/>
    </row>
    <row r="15" spans="1:11" x14ac:dyDescent="0.3">
      <c r="A15" t="s">
        <v>116</v>
      </c>
      <c r="B15" s="5">
        <f>+SUM('baseball bets'!Q2:Q186)/ROWS('baseball bets'!Q2:Q186)</f>
        <v>0.67027027027027031</v>
      </c>
      <c r="D15" s="6"/>
    </row>
    <row r="16" spans="1:11" x14ac:dyDescent="0.3">
      <c r="A16" t="s">
        <v>117</v>
      </c>
      <c r="B16" s="84">
        <f>+SUM('baseball bets'!R2:R186)</f>
        <v>-82.690000000000026</v>
      </c>
      <c r="D16" s="6"/>
    </row>
    <row r="17" spans="1:3" x14ac:dyDescent="0.3">
      <c r="A17" t="s">
        <v>118</v>
      </c>
      <c r="B17" s="84">
        <f>+SUM('baseball bets'!S2:S186)</f>
        <v>489.4699999999998</v>
      </c>
    </row>
    <row r="19" spans="1:3" x14ac:dyDescent="0.3">
      <c r="A19" t="s">
        <v>95</v>
      </c>
      <c r="B19" s="73">
        <f>1/(2-AVERAGE('baseball bets'!G2:G186))</f>
        <v>0.51019814053361734</v>
      </c>
    </row>
    <row r="20" spans="1:3" x14ac:dyDescent="0.3">
      <c r="A20" t="s">
        <v>93</v>
      </c>
      <c r="B20" s="73">
        <f>0.5/(ROWS('baseball bets'!E1:E186)^0.5)</f>
        <v>3.6661778755338326E-2</v>
      </c>
    </row>
    <row r="21" spans="1:3" x14ac:dyDescent="0.3">
      <c r="A21" t="s">
        <v>94</v>
      </c>
      <c r="B21" s="74">
        <f>1-_xlfn.NORM.DIST(B19,0.5,B20,TRUE)</f>
        <v>0.39044162723067832</v>
      </c>
    </row>
    <row r="22" spans="1:3" x14ac:dyDescent="0.3">
      <c r="B22" t="s">
        <v>102</v>
      </c>
      <c r="C22" t="s">
        <v>78</v>
      </c>
    </row>
    <row r="23" spans="1:3" x14ac:dyDescent="0.3">
      <c r="A23" t="s">
        <v>101</v>
      </c>
      <c r="B23" s="84">
        <v>5500</v>
      </c>
      <c r="C23" s="5">
        <f>+GETPIVOTDATA("Sum of Return",stats!$A$3)/accts!B23</f>
        <v>7.396000000000004E-2</v>
      </c>
    </row>
    <row r="24" spans="1:3" x14ac:dyDescent="0.3">
      <c r="A24" t="s">
        <v>109</v>
      </c>
      <c r="B24" s="1"/>
    </row>
    <row r="25" spans="1:3" x14ac:dyDescent="0.3">
      <c r="A25" t="s">
        <v>110</v>
      </c>
    </row>
    <row r="26" spans="1:3" x14ac:dyDescent="0.3">
      <c r="A26" t="s">
        <v>111</v>
      </c>
    </row>
  </sheetData>
  <conditionalFormatting sqref="B17">
    <cfRule type="cellIs" dxfId="31" priority="2" operator="greaterThan">
      <formula>0</formula>
    </cfRule>
  </conditionalFormatting>
  <conditionalFormatting sqref="B16">
    <cfRule type="cellIs" dxfId="3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F769-9637-47ED-B0C6-17F010F6EAC1}">
  <dimension ref="A1:S186"/>
  <sheetViews>
    <sheetView zoomScale="94" workbookViewId="0">
      <pane ySplit="1" topLeftCell="A174" activePane="bottomLeft" state="frozen"/>
      <selection pane="bottomLeft" activeCell="N187" sqref="N187"/>
    </sheetView>
  </sheetViews>
  <sheetFormatPr defaultRowHeight="14.4" x14ac:dyDescent="0.3"/>
  <cols>
    <col min="1" max="2" width="10.88671875" bestFit="1" customWidth="1"/>
    <col min="3" max="3" width="10.44140625" bestFit="1" customWidth="1"/>
    <col min="5" max="5" width="16.88671875" bestFit="1" customWidth="1"/>
    <col min="6" max="6" width="13.77734375" bestFit="1" customWidth="1"/>
    <col min="8" max="8" width="10.77734375" bestFit="1" customWidth="1"/>
    <col min="9" max="9" width="19.6640625" bestFit="1" customWidth="1"/>
    <col min="10" max="10" width="10.77734375" customWidth="1"/>
    <col min="11" max="11" width="10.6640625" bestFit="1" customWidth="1"/>
    <col min="12" max="12" width="10.6640625" customWidth="1"/>
    <col min="13" max="13" width="9.44140625" bestFit="1" customWidth="1"/>
    <col min="14" max="14" width="9.44140625" customWidth="1"/>
    <col min="15" max="15" width="9.44140625" bestFit="1" customWidth="1"/>
    <col min="16" max="17" width="8.88671875" hidden="1" customWidth="1"/>
    <col min="18" max="18" width="14.5546875" hidden="1" customWidth="1"/>
    <col min="19" max="19" width="10.6640625" hidden="1" customWidth="1"/>
  </cols>
  <sheetData>
    <row r="1" spans="1:19" ht="15" thickBot="1" x14ac:dyDescent="0.35">
      <c r="A1" s="9" t="s">
        <v>71</v>
      </c>
      <c r="B1" s="10" t="s">
        <v>64</v>
      </c>
      <c r="C1" s="10" t="s">
        <v>65</v>
      </c>
      <c r="D1" s="10" t="s">
        <v>79</v>
      </c>
      <c r="E1" s="10" t="s">
        <v>87</v>
      </c>
      <c r="F1" s="10" t="s">
        <v>81</v>
      </c>
      <c r="G1" s="10" t="s">
        <v>80</v>
      </c>
      <c r="H1" s="10" t="s">
        <v>66</v>
      </c>
      <c r="I1" s="10" t="s">
        <v>86</v>
      </c>
      <c r="J1" s="10" t="s">
        <v>90</v>
      </c>
      <c r="K1" s="10" t="s">
        <v>67</v>
      </c>
      <c r="L1" s="10" t="s">
        <v>73</v>
      </c>
      <c r="M1" s="10" t="s">
        <v>68</v>
      </c>
      <c r="N1" s="10" t="s">
        <v>78</v>
      </c>
      <c r="O1" s="11" t="s">
        <v>74</v>
      </c>
      <c r="P1" s="87" t="s">
        <v>99</v>
      </c>
      <c r="Q1" s="87" t="s">
        <v>100</v>
      </c>
      <c r="R1" s="87" t="s">
        <v>112</v>
      </c>
      <c r="S1" s="87" t="s">
        <v>113</v>
      </c>
    </row>
    <row r="2" spans="1:19" x14ac:dyDescent="0.3">
      <c r="A2" s="25">
        <v>44658</v>
      </c>
      <c r="B2" s="8" t="s">
        <v>14</v>
      </c>
      <c r="C2" s="27" t="s">
        <v>12</v>
      </c>
      <c r="D2" s="8">
        <v>1.82</v>
      </c>
      <c r="E2" s="39">
        <f>+IF(D2&gt;2,(D2-1)*100,-100/(D2-1))</f>
        <v>-121.95121951219511</v>
      </c>
      <c r="F2" s="8">
        <v>2.02</v>
      </c>
      <c r="G2" s="68">
        <f>+((1/D2)+(1/F2)-1)</f>
        <v>4.450005440104432E-2</v>
      </c>
      <c r="H2">
        <v>1.60571385564911</v>
      </c>
      <c r="I2" s="39">
        <f>+IF(H2&gt;2,(H2-1)*100,-100/(H2-1))</f>
        <v>-165.09445684189532</v>
      </c>
      <c r="J2" s="55">
        <f>(1/H2)-(1/D2)</f>
        <v>7.3325418061887526E-2</v>
      </c>
      <c r="K2" s="17">
        <v>85</v>
      </c>
      <c r="L2" s="8">
        <v>1</v>
      </c>
      <c r="M2" s="61">
        <f t="shared" ref="M2:M16" si="0">+K2*(D2-1)</f>
        <v>69.7</v>
      </c>
      <c r="N2" s="61">
        <f>+-K2</f>
        <v>-85</v>
      </c>
      <c r="O2" s="8" t="s">
        <v>77</v>
      </c>
      <c r="P2">
        <f>+IF(N2&gt;0,1,0)</f>
        <v>0</v>
      </c>
      <c r="Q2">
        <f>+IF(D2&gt;2,1,0)</f>
        <v>0</v>
      </c>
      <c r="R2">
        <f>+IF(Q2=0,N2,0)</f>
        <v>-85</v>
      </c>
      <c r="S2">
        <f>+IF(Q2=1,N2,0)</f>
        <v>0</v>
      </c>
    </row>
    <row r="3" spans="1:19" x14ac:dyDescent="0.3">
      <c r="A3" s="25">
        <v>44658</v>
      </c>
      <c r="B3" s="7" t="s">
        <v>30</v>
      </c>
      <c r="C3" s="26" t="s">
        <v>29</v>
      </c>
      <c r="D3" s="7">
        <v>2.75</v>
      </c>
      <c r="E3" s="39">
        <f t="shared" ref="E3:E66" si="1">+IF(D3&gt;2,(D3-1)*100,-100/(D3-1))</f>
        <v>175</v>
      </c>
      <c r="F3" s="7">
        <v>1.49</v>
      </c>
      <c r="G3" s="68">
        <f t="shared" ref="G3:G66" si="2">+((1/D3)+(1/F3)-1)</f>
        <v>3.4777303233679113E-2</v>
      </c>
      <c r="H3" s="7">
        <v>2.1810585839876002</v>
      </c>
      <c r="I3" s="39">
        <f t="shared" ref="I3:I66" si="3">+IF(H3&gt;2,(H3-1)*100,-100/(H3-1))</f>
        <v>118.10585839876002</v>
      </c>
      <c r="J3" s="55">
        <f t="shared" ref="J3:J66" si="4">(1/H3)-(1/D3)</f>
        <v>9.4856593564131786E-2</v>
      </c>
      <c r="K3" s="16">
        <v>65</v>
      </c>
      <c r="L3" s="8">
        <v>1.5</v>
      </c>
      <c r="M3" s="61">
        <f t="shared" si="0"/>
        <v>113.75</v>
      </c>
      <c r="N3" s="61">
        <f>+-K3</f>
        <v>-65</v>
      </c>
      <c r="O3" s="8" t="s">
        <v>75</v>
      </c>
      <c r="P3">
        <f t="shared" ref="P3:P66" si="5">+IF(N3&gt;0,1,0)</f>
        <v>0</v>
      </c>
      <c r="Q3">
        <f t="shared" ref="Q3:Q66" si="6">+IF(D3&gt;2,1,0)</f>
        <v>1</v>
      </c>
      <c r="R3">
        <f t="shared" ref="R3:R66" si="7">+IF(Q3=0,N3,0)</f>
        <v>0</v>
      </c>
      <c r="S3">
        <f t="shared" ref="S3:S66" si="8">+IF(Q3=1,N3,0)</f>
        <v>-65</v>
      </c>
    </row>
    <row r="4" spans="1:19" x14ac:dyDescent="0.3">
      <c r="A4" s="25">
        <v>44658</v>
      </c>
      <c r="B4" s="7" t="s">
        <v>21</v>
      </c>
      <c r="C4" s="26" t="s">
        <v>27</v>
      </c>
      <c r="D4" s="7">
        <v>2.75</v>
      </c>
      <c r="E4" s="39">
        <f t="shared" si="1"/>
        <v>175</v>
      </c>
      <c r="F4" s="7">
        <v>1.49</v>
      </c>
      <c r="G4" s="68">
        <f t="shared" si="2"/>
        <v>3.4777303233679113E-2</v>
      </c>
      <c r="H4" s="7">
        <v>2.4088476577887299</v>
      </c>
      <c r="I4" s="39">
        <f t="shared" si="3"/>
        <v>140.88476577887297</v>
      </c>
      <c r="J4" s="55">
        <f t="shared" si="4"/>
        <v>5.1499893223473814E-2</v>
      </c>
      <c r="K4" s="16">
        <v>50</v>
      </c>
      <c r="L4" s="8">
        <v>0.5</v>
      </c>
      <c r="M4" s="61">
        <f t="shared" si="0"/>
        <v>87.5</v>
      </c>
      <c r="N4" s="61">
        <v>87.5</v>
      </c>
      <c r="O4" s="8" t="s">
        <v>75</v>
      </c>
      <c r="P4">
        <f t="shared" si="5"/>
        <v>1</v>
      </c>
      <c r="Q4">
        <f t="shared" si="6"/>
        <v>1</v>
      </c>
      <c r="R4">
        <f t="shared" si="7"/>
        <v>0</v>
      </c>
      <c r="S4">
        <f t="shared" si="8"/>
        <v>87.5</v>
      </c>
    </row>
    <row r="5" spans="1:19" x14ac:dyDescent="0.3">
      <c r="A5" s="25">
        <v>44658</v>
      </c>
      <c r="B5" s="7" t="s">
        <v>17</v>
      </c>
      <c r="C5" s="26" t="s">
        <v>16</v>
      </c>
      <c r="D5" s="7">
        <v>2.1</v>
      </c>
      <c r="E5" s="39">
        <f t="shared" si="1"/>
        <v>110.00000000000001</v>
      </c>
      <c r="F5" s="7">
        <v>1.78</v>
      </c>
      <c r="G5" s="68">
        <f t="shared" si="2"/>
        <v>3.7988228999465079E-2</v>
      </c>
      <c r="H5" s="7">
        <v>2.0308170862631298</v>
      </c>
      <c r="I5" s="39">
        <f t="shared" si="3"/>
        <v>103.08170862631299</v>
      </c>
      <c r="J5" s="55">
        <f t="shared" si="4"/>
        <v>1.6222162428830567E-2</v>
      </c>
      <c r="K5" s="16">
        <v>57</v>
      </c>
      <c r="L5" s="8">
        <v>0.2</v>
      </c>
      <c r="M5" s="61">
        <f t="shared" si="0"/>
        <v>62.7</v>
      </c>
      <c r="N5" s="61">
        <v>57</v>
      </c>
      <c r="O5" s="8" t="s">
        <v>76</v>
      </c>
      <c r="P5">
        <f t="shared" si="5"/>
        <v>1</v>
      </c>
      <c r="Q5">
        <f t="shared" si="6"/>
        <v>1</v>
      </c>
      <c r="R5">
        <f t="shared" si="7"/>
        <v>0</v>
      </c>
      <c r="S5">
        <f t="shared" si="8"/>
        <v>57</v>
      </c>
    </row>
    <row r="6" spans="1:19" x14ac:dyDescent="0.3">
      <c r="A6" s="25">
        <v>44658</v>
      </c>
      <c r="B6" s="7" t="s">
        <v>31</v>
      </c>
      <c r="C6" s="26" t="s">
        <v>34</v>
      </c>
      <c r="D6" s="7">
        <v>1.62</v>
      </c>
      <c r="E6" s="39">
        <f t="shared" si="1"/>
        <v>-161.29032258064512</v>
      </c>
      <c r="F6" s="7">
        <v>2.31</v>
      </c>
      <c r="G6" s="68">
        <f t="shared" si="2"/>
        <v>5.0184383517716924E-2</v>
      </c>
      <c r="H6" s="7">
        <v>1.51941257281289</v>
      </c>
      <c r="I6" s="39">
        <f t="shared" si="3"/>
        <v>-192.52518178073328</v>
      </c>
      <c r="J6" s="55">
        <f t="shared" si="4"/>
        <v>4.0865137979961941E-2</v>
      </c>
      <c r="K6" s="16">
        <v>57</v>
      </c>
      <c r="L6" s="8">
        <v>0.5</v>
      </c>
      <c r="M6" s="62">
        <f t="shared" si="0"/>
        <v>35.340000000000003</v>
      </c>
      <c r="N6" s="62">
        <v>-57</v>
      </c>
      <c r="O6" s="7" t="s">
        <v>77</v>
      </c>
      <c r="P6">
        <f t="shared" si="5"/>
        <v>0</v>
      </c>
      <c r="Q6">
        <f t="shared" si="6"/>
        <v>0</v>
      </c>
      <c r="R6">
        <f t="shared" si="7"/>
        <v>-57</v>
      </c>
      <c r="S6">
        <f t="shared" si="8"/>
        <v>0</v>
      </c>
    </row>
    <row r="7" spans="1:19" x14ac:dyDescent="0.3">
      <c r="A7" s="28">
        <v>44658</v>
      </c>
      <c r="B7" s="26" t="s">
        <v>26</v>
      </c>
      <c r="C7" s="7" t="s">
        <v>28</v>
      </c>
      <c r="D7" s="7">
        <v>2.57</v>
      </c>
      <c r="E7" s="39">
        <f t="shared" si="1"/>
        <v>156.99999999999997</v>
      </c>
      <c r="F7" s="7">
        <v>1.56</v>
      </c>
      <c r="G7" s="69">
        <f t="shared" si="2"/>
        <v>3.0130699391399673E-2</v>
      </c>
      <c r="H7" s="7">
        <v>2.40734864920142</v>
      </c>
      <c r="I7" s="39">
        <f t="shared" si="3"/>
        <v>140.734864920142</v>
      </c>
      <c r="J7" s="55">
        <f t="shared" si="4"/>
        <v>2.6289695664458657E-2</v>
      </c>
      <c r="K7" s="16">
        <v>40</v>
      </c>
      <c r="L7" s="8">
        <v>0.2</v>
      </c>
      <c r="M7" s="62">
        <f t="shared" si="0"/>
        <v>62.8</v>
      </c>
      <c r="N7" s="62">
        <v>63</v>
      </c>
      <c r="O7" s="7" t="s">
        <v>75</v>
      </c>
      <c r="P7">
        <f t="shared" si="5"/>
        <v>1</v>
      </c>
      <c r="Q7">
        <f t="shared" si="6"/>
        <v>1</v>
      </c>
      <c r="R7">
        <f t="shared" si="7"/>
        <v>0</v>
      </c>
      <c r="S7">
        <f t="shared" si="8"/>
        <v>63</v>
      </c>
    </row>
    <row r="8" spans="1:19" x14ac:dyDescent="0.3">
      <c r="A8" s="31">
        <v>44659</v>
      </c>
      <c r="B8" s="32" t="s">
        <v>24</v>
      </c>
      <c r="C8" s="33" t="s">
        <v>18</v>
      </c>
      <c r="D8" s="32">
        <v>2.58</v>
      </c>
      <c r="E8" s="40">
        <f t="shared" si="1"/>
        <v>158</v>
      </c>
      <c r="F8" s="32">
        <v>1.51</v>
      </c>
      <c r="G8" s="70">
        <f t="shared" si="2"/>
        <v>4.9848554853945348E-2</v>
      </c>
      <c r="H8" s="32">
        <v>2.0059395019605799</v>
      </c>
      <c r="I8" s="40">
        <f t="shared" si="3"/>
        <v>100.59395019605799</v>
      </c>
      <c r="J8" s="38">
        <f t="shared" si="4"/>
        <v>0.11092262193852537</v>
      </c>
      <c r="K8" s="58">
        <v>45</v>
      </c>
      <c r="L8" s="34">
        <v>1.5</v>
      </c>
      <c r="M8" s="63">
        <f t="shared" si="0"/>
        <v>71.100000000000009</v>
      </c>
      <c r="N8" s="63">
        <v>-45</v>
      </c>
      <c r="O8" s="32" t="s">
        <v>77</v>
      </c>
      <c r="P8">
        <f t="shared" si="5"/>
        <v>0</v>
      </c>
      <c r="Q8">
        <f t="shared" si="6"/>
        <v>1</v>
      </c>
      <c r="R8">
        <f t="shared" si="7"/>
        <v>0</v>
      </c>
      <c r="S8">
        <f t="shared" si="8"/>
        <v>-45</v>
      </c>
    </row>
    <row r="9" spans="1:19" x14ac:dyDescent="0.3">
      <c r="A9" s="31">
        <v>44659</v>
      </c>
      <c r="B9" s="33" t="s">
        <v>26</v>
      </c>
      <c r="C9" s="32" t="s">
        <v>28</v>
      </c>
      <c r="D9" s="32">
        <v>2.4</v>
      </c>
      <c r="E9" s="40">
        <f t="shared" si="1"/>
        <v>140</v>
      </c>
      <c r="F9" s="32">
        <v>1.61</v>
      </c>
      <c r="G9" s="70">
        <f t="shared" si="2"/>
        <v>3.7784679089026829E-2</v>
      </c>
      <c r="H9" s="32">
        <v>2.1403318555766</v>
      </c>
      <c r="I9" s="40">
        <f t="shared" si="3"/>
        <v>114.03318555766</v>
      </c>
      <c r="J9" s="38">
        <f t="shared" si="4"/>
        <v>5.0550600316729477E-2</v>
      </c>
      <c r="K9" s="58">
        <v>60</v>
      </c>
      <c r="L9" s="34">
        <v>0.5</v>
      </c>
      <c r="M9" s="63">
        <f t="shared" si="0"/>
        <v>84</v>
      </c>
      <c r="N9" s="63">
        <v>0</v>
      </c>
      <c r="O9" s="32" t="s">
        <v>75</v>
      </c>
      <c r="P9">
        <f t="shared" si="5"/>
        <v>0</v>
      </c>
      <c r="Q9">
        <f t="shared" si="6"/>
        <v>1</v>
      </c>
      <c r="R9">
        <f t="shared" si="7"/>
        <v>0</v>
      </c>
      <c r="S9">
        <f t="shared" si="8"/>
        <v>0</v>
      </c>
    </row>
    <row r="10" spans="1:19" x14ac:dyDescent="0.3">
      <c r="A10" s="31">
        <v>44659</v>
      </c>
      <c r="B10" s="32" t="s">
        <v>31</v>
      </c>
      <c r="C10" s="33" t="s">
        <v>34</v>
      </c>
      <c r="D10" s="32">
        <v>1.67</v>
      </c>
      <c r="E10" s="40">
        <f t="shared" si="1"/>
        <v>-149.25373134328359</v>
      </c>
      <c r="F10" s="32">
        <v>2.25</v>
      </c>
      <c r="G10" s="70">
        <f t="shared" si="2"/>
        <v>4.3246839654025315E-2</v>
      </c>
      <c r="H10" s="32">
        <v>1.5129239326439601</v>
      </c>
      <c r="I10" s="40">
        <f t="shared" si="3"/>
        <v>-194.96068254123324</v>
      </c>
      <c r="J10" s="38">
        <f t="shared" si="4"/>
        <v>6.2169368421930327E-2</v>
      </c>
      <c r="K10" s="58">
        <v>85</v>
      </c>
      <c r="L10" s="34">
        <v>1</v>
      </c>
      <c r="M10" s="63">
        <f t="shared" si="0"/>
        <v>56.949999999999996</v>
      </c>
      <c r="N10" s="63">
        <f>141.95-85</f>
        <v>56.949999999999989</v>
      </c>
      <c r="O10" s="32" t="s">
        <v>76</v>
      </c>
      <c r="P10">
        <f t="shared" si="5"/>
        <v>1</v>
      </c>
      <c r="Q10">
        <f t="shared" si="6"/>
        <v>0</v>
      </c>
      <c r="R10">
        <f t="shared" si="7"/>
        <v>56.949999999999989</v>
      </c>
      <c r="S10">
        <f t="shared" si="8"/>
        <v>0</v>
      </c>
    </row>
    <row r="11" spans="1:19" x14ac:dyDescent="0.3">
      <c r="A11" s="31">
        <v>44659</v>
      </c>
      <c r="B11" s="33" t="s">
        <v>13</v>
      </c>
      <c r="C11" s="32" t="s">
        <v>11</v>
      </c>
      <c r="D11" s="32">
        <v>2.15</v>
      </c>
      <c r="E11" s="40">
        <f t="shared" si="1"/>
        <v>114.99999999999999</v>
      </c>
      <c r="F11" s="32">
        <v>1.74</v>
      </c>
      <c r="G11" s="70">
        <f t="shared" si="2"/>
        <v>3.9828922747928264E-2</v>
      </c>
      <c r="H11" s="32">
        <v>2.068899</v>
      </c>
      <c r="I11" s="40">
        <f t="shared" si="3"/>
        <v>106.88990000000001</v>
      </c>
      <c r="J11" s="38">
        <f t="shared" si="4"/>
        <v>1.8232593929832841E-2</v>
      </c>
      <c r="K11" s="58">
        <f>+ROUND((57*2)/(D11-1),0)</f>
        <v>99</v>
      </c>
      <c r="L11" s="34">
        <v>0.2</v>
      </c>
      <c r="M11" s="63">
        <f t="shared" si="0"/>
        <v>113.85</v>
      </c>
      <c r="N11" s="63">
        <v>115</v>
      </c>
      <c r="O11" s="32" t="s">
        <v>75</v>
      </c>
      <c r="P11">
        <f t="shared" si="5"/>
        <v>1</v>
      </c>
      <c r="Q11">
        <f t="shared" si="6"/>
        <v>1</v>
      </c>
      <c r="R11">
        <f t="shared" si="7"/>
        <v>0</v>
      </c>
      <c r="S11">
        <f t="shared" si="8"/>
        <v>115</v>
      </c>
    </row>
    <row r="12" spans="1:19" x14ac:dyDescent="0.3">
      <c r="A12" s="31">
        <v>44659</v>
      </c>
      <c r="B12" s="33" t="s">
        <v>9</v>
      </c>
      <c r="C12" s="32" t="s">
        <v>6</v>
      </c>
      <c r="D12" s="32">
        <v>1.55</v>
      </c>
      <c r="E12" s="40">
        <f t="shared" si="1"/>
        <v>-181.81818181818181</v>
      </c>
      <c r="F12" s="32">
        <v>2.5</v>
      </c>
      <c r="G12" s="70">
        <f t="shared" si="2"/>
        <v>4.5161290322580649E-2</v>
      </c>
      <c r="H12" s="32">
        <v>1.4197668325150601</v>
      </c>
      <c r="I12" s="40">
        <f t="shared" si="3"/>
        <v>-238.22749263166779</v>
      </c>
      <c r="J12" s="38">
        <f t="shared" si="4"/>
        <v>5.9179716311966613E-2</v>
      </c>
      <c r="K12" s="58">
        <v>57</v>
      </c>
      <c r="L12" s="32">
        <v>0.5</v>
      </c>
      <c r="M12" s="63">
        <f t="shared" si="0"/>
        <v>31.35</v>
      </c>
      <c r="N12" s="63">
        <f>88.35-57</f>
        <v>31.349999999999994</v>
      </c>
      <c r="O12" s="32" t="s">
        <v>76</v>
      </c>
      <c r="P12">
        <f t="shared" si="5"/>
        <v>1</v>
      </c>
      <c r="Q12">
        <f t="shared" si="6"/>
        <v>0</v>
      </c>
      <c r="R12">
        <f t="shared" si="7"/>
        <v>31.349999999999994</v>
      </c>
      <c r="S12">
        <f t="shared" si="8"/>
        <v>0</v>
      </c>
    </row>
    <row r="13" spans="1:19" x14ac:dyDescent="0.3">
      <c r="A13" s="31">
        <v>44659</v>
      </c>
      <c r="B13" s="32" t="s">
        <v>32</v>
      </c>
      <c r="C13" s="33" t="s">
        <v>33</v>
      </c>
      <c r="D13" s="32">
        <v>1.48</v>
      </c>
      <c r="E13" s="40">
        <f t="shared" si="1"/>
        <v>-208.33333333333334</v>
      </c>
      <c r="F13" s="32">
        <v>2.7</v>
      </c>
      <c r="G13" s="70">
        <f t="shared" si="2"/>
        <v>4.6046046046046119E-2</v>
      </c>
      <c r="H13" s="32">
        <v>1.38365829337732</v>
      </c>
      <c r="I13" s="40">
        <f t="shared" si="3"/>
        <v>-260.64860769646401</v>
      </c>
      <c r="J13" s="38">
        <f t="shared" si="4"/>
        <v>4.7046115380942277E-2</v>
      </c>
      <c r="K13" s="58">
        <v>57</v>
      </c>
      <c r="L13" s="32">
        <v>0.5</v>
      </c>
      <c r="M13" s="63">
        <f t="shared" si="0"/>
        <v>27.36</v>
      </c>
      <c r="N13" s="63">
        <f>84.36-57</f>
        <v>27.36</v>
      </c>
      <c r="O13" s="32" t="s">
        <v>76</v>
      </c>
      <c r="P13">
        <f t="shared" si="5"/>
        <v>1</v>
      </c>
      <c r="Q13">
        <f t="shared" si="6"/>
        <v>0</v>
      </c>
      <c r="R13">
        <f t="shared" si="7"/>
        <v>27.36</v>
      </c>
      <c r="S13">
        <f t="shared" si="8"/>
        <v>0</v>
      </c>
    </row>
    <row r="14" spans="1:19" x14ac:dyDescent="0.3">
      <c r="A14" s="31">
        <v>44659</v>
      </c>
      <c r="B14" s="32" t="s">
        <v>8</v>
      </c>
      <c r="C14" s="33" t="s">
        <v>7</v>
      </c>
      <c r="D14" s="32">
        <v>2.5499999999999998</v>
      </c>
      <c r="E14" s="40">
        <f t="shared" si="1"/>
        <v>154.99999999999997</v>
      </c>
      <c r="F14" s="32">
        <v>1.54</v>
      </c>
      <c r="G14" s="70">
        <f t="shared" si="2"/>
        <v>4.1507512095747323E-2</v>
      </c>
      <c r="H14" s="32">
        <v>2.47044598969749</v>
      </c>
      <c r="I14" s="40">
        <f t="shared" si="3"/>
        <v>147.04459896974899</v>
      </c>
      <c r="J14" s="38">
        <f t="shared" si="4"/>
        <v>1.2628347767620562E-2</v>
      </c>
      <c r="K14" s="58">
        <v>29</v>
      </c>
      <c r="L14" s="32">
        <v>0.2</v>
      </c>
      <c r="M14" s="63">
        <f t="shared" si="0"/>
        <v>44.949999999999996</v>
      </c>
      <c r="N14" s="63">
        <v>-29</v>
      </c>
      <c r="O14" s="32" t="s">
        <v>75</v>
      </c>
      <c r="P14">
        <f t="shared" si="5"/>
        <v>0</v>
      </c>
      <c r="Q14">
        <f t="shared" si="6"/>
        <v>1</v>
      </c>
      <c r="R14">
        <f t="shared" si="7"/>
        <v>0</v>
      </c>
      <c r="S14">
        <f t="shared" si="8"/>
        <v>-29</v>
      </c>
    </row>
    <row r="15" spans="1:19" x14ac:dyDescent="0.3">
      <c r="A15" s="31">
        <v>44659</v>
      </c>
      <c r="B15" s="33" t="s">
        <v>25</v>
      </c>
      <c r="C15" s="35" t="s">
        <v>23</v>
      </c>
      <c r="D15" s="32">
        <v>2.4</v>
      </c>
      <c r="E15" s="40">
        <f t="shared" si="1"/>
        <v>140</v>
      </c>
      <c r="F15" s="32">
        <v>1.61</v>
      </c>
      <c r="G15" s="70">
        <f t="shared" si="2"/>
        <v>3.7784679089026829E-2</v>
      </c>
      <c r="H15" s="32">
        <v>2.3559640000000002</v>
      </c>
      <c r="I15" s="40">
        <f t="shared" si="3"/>
        <v>135.59640000000002</v>
      </c>
      <c r="J15" s="38">
        <f t="shared" si="4"/>
        <v>7.7880363763339622E-3</v>
      </c>
      <c r="K15" s="58">
        <v>20</v>
      </c>
      <c r="L15" s="32">
        <v>0.2</v>
      </c>
      <c r="M15" s="63">
        <f t="shared" si="0"/>
        <v>28</v>
      </c>
      <c r="N15" s="63">
        <v>-20</v>
      </c>
      <c r="O15" s="32" t="s">
        <v>75</v>
      </c>
      <c r="P15">
        <f t="shared" si="5"/>
        <v>0</v>
      </c>
      <c r="Q15">
        <f t="shared" si="6"/>
        <v>1</v>
      </c>
      <c r="R15">
        <f t="shared" si="7"/>
        <v>0</v>
      </c>
      <c r="S15">
        <f t="shared" si="8"/>
        <v>-20</v>
      </c>
    </row>
    <row r="16" spans="1:19" x14ac:dyDescent="0.3">
      <c r="A16" s="31">
        <v>44659</v>
      </c>
      <c r="B16" s="35" t="s">
        <v>21</v>
      </c>
      <c r="C16" s="33" t="s">
        <v>27</v>
      </c>
      <c r="D16" s="32">
        <v>2.65</v>
      </c>
      <c r="E16" s="40">
        <f t="shared" si="1"/>
        <v>165</v>
      </c>
      <c r="F16" s="32">
        <v>1.5</v>
      </c>
      <c r="G16" s="70">
        <f t="shared" si="2"/>
        <v>4.4025157232704393E-2</v>
      </c>
      <c r="H16" s="32">
        <v>2.2658100000000001</v>
      </c>
      <c r="I16" s="40">
        <f t="shared" si="3"/>
        <v>126.58100000000002</v>
      </c>
      <c r="J16" s="38">
        <f t="shared" si="4"/>
        <v>6.398478181778966E-2</v>
      </c>
      <c r="K16" s="58">
        <v>70</v>
      </c>
      <c r="L16" s="32">
        <v>1</v>
      </c>
      <c r="M16" s="63">
        <f t="shared" si="0"/>
        <v>115.5</v>
      </c>
      <c r="N16" s="63">
        <v>-70</v>
      </c>
      <c r="O16" s="32" t="s">
        <v>75</v>
      </c>
      <c r="P16">
        <f t="shared" si="5"/>
        <v>0</v>
      </c>
      <c r="Q16">
        <f t="shared" si="6"/>
        <v>1</v>
      </c>
      <c r="R16">
        <f t="shared" si="7"/>
        <v>0</v>
      </c>
      <c r="S16">
        <f t="shared" si="8"/>
        <v>-70</v>
      </c>
    </row>
    <row r="17" spans="1:19" x14ac:dyDescent="0.3">
      <c r="A17" s="31">
        <v>44659</v>
      </c>
      <c r="B17" s="35" t="s">
        <v>17</v>
      </c>
      <c r="C17" s="33" t="s">
        <v>16</v>
      </c>
      <c r="D17" s="32">
        <v>2.1</v>
      </c>
      <c r="E17" s="40">
        <f t="shared" si="1"/>
        <v>110.00000000000001</v>
      </c>
      <c r="F17" s="32">
        <v>1.74</v>
      </c>
      <c r="G17" s="70">
        <f t="shared" si="2"/>
        <v>5.0903119868637159E-2</v>
      </c>
      <c r="H17" s="32">
        <v>1.89889</v>
      </c>
      <c r="I17" s="40">
        <f t="shared" si="3"/>
        <v>-111.2483173691998</v>
      </c>
      <c r="J17" s="38">
        <f t="shared" si="4"/>
        <v>5.0432972245188945E-2</v>
      </c>
      <c r="K17" s="58">
        <v>85</v>
      </c>
      <c r="L17" s="32">
        <v>0.5</v>
      </c>
      <c r="M17" s="63">
        <f t="shared" ref="M17:M135" si="9">+K17*(D17-1)</f>
        <v>93.500000000000014</v>
      </c>
      <c r="N17" s="63">
        <f>178.5-85</f>
        <v>93.5</v>
      </c>
      <c r="O17" s="32" t="s">
        <v>77</v>
      </c>
      <c r="P17">
        <f t="shared" si="5"/>
        <v>1</v>
      </c>
      <c r="Q17">
        <f t="shared" si="6"/>
        <v>1</v>
      </c>
      <c r="R17">
        <f t="shared" si="7"/>
        <v>0</v>
      </c>
      <c r="S17">
        <f t="shared" si="8"/>
        <v>93.5</v>
      </c>
    </row>
    <row r="18" spans="1:19" x14ac:dyDescent="0.3">
      <c r="A18" s="28">
        <v>44660</v>
      </c>
      <c r="B18" s="26" t="s">
        <v>13</v>
      </c>
      <c r="C18" s="7" t="s">
        <v>11</v>
      </c>
      <c r="D18" s="7">
        <v>2.15</v>
      </c>
      <c r="E18" s="39">
        <f t="shared" si="1"/>
        <v>114.99999999999999</v>
      </c>
      <c r="F18" s="7">
        <v>1.74</v>
      </c>
      <c r="G18" s="69">
        <f t="shared" si="2"/>
        <v>3.9828922747928264E-2</v>
      </c>
      <c r="H18" s="7">
        <v>2.1056059999999999</v>
      </c>
      <c r="I18" s="39">
        <f t="shared" si="3"/>
        <v>110.56059999999999</v>
      </c>
      <c r="J18" s="55">
        <f t="shared" si="4"/>
        <v>9.806379775239682E-3</v>
      </c>
      <c r="K18" s="16">
        <v>25</v>
      </c>
      <c r="L18" s="7">
        <v>0.2</v>
      </c>
      <c r="M18" s="62">
        <f t="shared" si="9"/>
        <v>28.749999999999996</v>
      </c>
      <c r="N18" s="62">
        <v>-25</v>
      </c>
      <c r="O18" s="7" t="s">
        <v>75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-25</v>
      </c>
    </row>
    <row r="19" spans="1:19" x14ac:dyDescent="0.3">
      <c r="A19" s="28">
        <v>44660</v>
      </c>
      <c r="B19" s="26" t="s">
        <v>26</v>
      </c>
      <c r="C19" s="7" t="s">
        <v>28</v>
      </c>
      <c r="D19" s="7">
        <v>2.35</v>
      </c>
      <c r="E19" s="39">
        <f t="shared" si="1"/>
        <v>135</v>
      </c>
      <c r="F19" s="7">
        <v>1.63</v>
      </c>
      <c r="G19" s="69">
        <f t="shared" si="2"/>
        <v>3.9028847408954404E-2</v>
      </c>
      <c r="H19" s="7">
        <v>2.1403318555766</v>
      </c>
      <c r="I19" s="39">
        <f t="shared" si="3"/>
        <v>114.03318555766</v>
      </c>
      <c r="J19" s="55">
        <f t="shared" si="4"/>
        <v>4.1685352089779137E-2</v>
      </c>
      <c r="K19" s="16">
        <v>43</v>
      </c>
      <c r="L19" s="7">
        <v>0.5</v>
      </c>
      <c r="M19" s="62">
        <f t="shared" si="9"/>
        <v>58.050000000000004</v>
      </c>
      <c r="N19" s="62">
        <f>+M19</f>
        <v>58.050000000000004</v>
      </c>
      <c r="O19" s="7" t="s">
        <v>75</v>
      </c>
      <c r="P19">
        <f t="shared" si="5"/>
        <v>1</v>
      </c>
      <c r="Q19">
        <f t="shared" si="6"/>
        <v>1</v>
      </c>
      <c r="R19">
        <f t="shared" si="7"/>
        <v>0</v>
      </c>
      <c r="S19">
        <f t="shared" si="8"/>
        <v>58.050000000000004</v>
      </c>
    </row>
    <row r="20" spans="1:19" x14ac:dyDescent="0.3">
      <c r="A20" s="28">
        <v>44660</v>
      </c>
      <c r="B20" s="7" t="s">
        <v>10</v>
      </c>
      <c r="C20" s="26" t="s">
        <v>20</v>
      </c>
      <c r="D20" s="7">
        <v>2.7</v>
      </c>
      <c r="E20" s="39">
        <f t="shared" si="1"/>
        <v>170.00000000000003</v>
      </c>
      <c r="F20" s="7">
        <v>1.49</v>
      </c>
      <c r="G20" s="69">
        <f t="shared" si="2"/>
        <v>4.1511309967685817E-2</v>
      </c>
      <c r="H20" s="7">
        <v>2.2205577480827099</v>
      </c>
      <c r="I20" s="39">
        <f t="shared" si="3"/>
        <v>122.055774808271</v>
      </c>
      <c r="J20" s="55">
        <f t="shared" si="4"/>
        <v>7.9966938291576084E-2</v>
      </c>
      <c r="K20" s="16">
        <v>68</v>
      </c>
      <c r="L20" s="7">
        <v>1</v>
      </c>
      <c r="M20" s="62">
        <f t="shared" si="9"/>
        <v>115.60000000000001</v>
      </c>
      <c r="N20" s="62">
        <f>-K20</f>
        <v>-68</v>
      </c>
      <c r="O20" s="7" t="s">
        <v>77</v>
      </c>
      <c r="P20">
        <f t="shared" si="5"/>
        <v>0</v>
      </c>
      <c r="Q20">
        <f t="shared" si="6"/>
        <v>1</v>
      </c>
      <c r="R20">
        <f t="shared" si="7"/>
        <v>0</v>
      </c>
      <c r="S20">
        <f t="shared" si="8"/>
        <v>-68</v>
      </c>
    </row>
    <row r="21" spans="1:19" x14ac:dyDescent="0.3">
      <c r="A21" s="28">
        <v>44660</v>
      </c>
      <c r="B21" s="26" t="s">
        <v>9</v>
      </c>
      <c r="C21" s="7" t="s">
        <v>6</v>
      </c>
      <c r="D21" s="7">
        <v>1.44</v>
      </c>
      <c r="E21" s="39">
        <f t="shared" si="1"/>
        <v>-227.27272727272731</v>
      </c>
      <c r="F21" s="7">
        <v>2.85</v>
      </c>
      <c r="G21" s="69">
        <f t="shared" si="2"/>
        <v>4.5321637426900541E-2</v>
      </c>
      <c r="H21" s="7">
        <v>1.375902</v>
      </c>
      <c r="I21" s="39">
        <f t="shared" si="3"/>
        <v>-266.02678357657049</v>
      </c>
      <c r="J21" s="55">
        <f t="shared" si="4"/>
        <v>3.2351504685653509E-2</v>
      </c>
      <c r="K21" s="16">
        <v>29</v>
      </c>
      <c r="L21" s="7">
        <v>0.5</v>
      </c>
      <c r="M21" s="62">
        <f t="shared" si="9"/>
        <v>12.759999999999998</v>
      </c>
      <c r="N21" s="62">
        <v>12.76</v>
      </c>
      <c r="O21" s="7" t="s">
        <v>76</v>
      </c>
      <c r="P21">
        <f t="shared" si="5"/>
        <v>1</v>
      </c>
      <c r="Q21">
        <f t="shared" si="6"/>
        <v>0</v>
      </c>
      <c r="R21">
        <f t="shared" si="7"/>
        <v>12.76</v>
      </c>
      <c r="S21">
        <f t="shared" si="8"/>
        <v>0</v>
      </c>
    </row>
    <row r="22" spans="1:19" x14ac:dyDescent="0.3">
      <c r="A22" s="28">
        <v>44660</v>
      </c>
      <c r="B22" s="7" t="s">
        <v>24</v>
      </c>
      <c r="C22" s="26" t="s">
        <v>18</v>
      </c>
      <c r="D22" s="7">
        <v>2.75</v>
      </c>
      <c r="E22" s="39">
        <f t="shared" si="1"/>
        <v>175</v>
      </c>
      <c r="F22" s="7">
        <v>1.48</v>
      </c>
      <c r="G22" s="69">
        <f t="shared" si="2"/>
        <v>3.9312039312039193E-2</v>
      </c>
      <c r="H22" s="7">
        <v>2.04634776697957</v>
      </c>
      <c r="I22" s="39">
        <f t="shared" si="3"/>
        <v>104.63477669795699</v>
      </c>
      <c r="J22" s="55">
        <f t="shared" si="4"/>
        <v>0.12503912746845969</v>
      </c>
      <c r="K22" s="16">
        <v>66</v>
      </c>
      <c r="L22" s="7">
        <v>1.5</v>
      </c>
      <c r="M22" s="62">
        <f t="shared" si="9"/>
        <v>115.5</v>
      </c>
      <c r="N22" s="62">
        <f>-K22</f>
        <v>-66</v>
      </c>
      <c r="O22" s="7" t="s">
        <v>77</v>
      </c>
      <c r="P22">
        <f t="shared" si="5"/>
        <v>0</v>
      </c>
      <c r="Q22">
        <f t="shared" si="6"/>
        <v>1</v>
      </c>
      <c r="R22">
        <f t="shared" si="7"/>
        <v>0</v>
      </c>
      <c r="S22">
        <f t="shared" si="8"/>
        <v>-66</v>
      </c>
    </row>
    <row r="23" spans="1:19" x14ac:dyDescent="0.3">
      <c r="A23" s="28">
        <v>44660</v>
      </c>
      <c r="B23" s="26" t="s">
        <v>29</v>
      </c>
      <c r="C23" s="7" t="s">
        <v>30</v>
      </c>
      <c r="D23" s="7">
        <v>2.4</v>
      </c>
      <c r="E23" s="39">
        <f t="shared" si="1"/>
        <v>140</v>
      </c>
      <c r="F23" s="7">
        <v>1.61</v>
      </c>
      <c r="G23" s="69">
        <f t="shared" si="2"/>
        <v>3.7784679089026829E-2</v>
      </c>
      <c r="H23" s="7">
        <v>2.2008731772354801</v>
      </c>
      <c r="I23" s="39">
        <f t="shared" si="3"/>
        <v>120.08731772354801</v>
      </c>
      <c r="J23" s="55">
        <f t="shared" si="4"/>
        <v>3.7698450934567085E-2</v>
      </c>
      <c r="K23" s="16">
        <v>41</v>
      </c>
      <c r="L23" s="7">
        <v>0.5</v>
      </c>
      <c r="M23" s="62">
        <f t="shared" si="9"/>
        <v>57.4</v>
      </c>
      <c r="N23" s="62">
        <v>-41</v>
      </c>
      <c r="O23" s="7" t="s">
        <v>75</v>
      </c>
      <c r="P23">
        <f t="shared" si="5"/>
        <v>0</v>
      </c>
      <c r="Q23">
        <f t="shared" si="6"/>
        <v>1</v>
      </c>
      <c r="R23">
        <f t="shared" si="7"/>
        <v>0</v>
      </c>
      <c r="S23">
        <f t="shared" si="8"/>
        <v>-41</v>
      </c>
    </row>
    <row r="24" spans="1:19" x14ac:dyDescent="0.3">
      <c r="A24" s="28">
        <v>44660</v>
      </c>
      <c r="B24" s="7" t="s">
        <v>21</v>
      </c>
      <c r="C24" s="26" t="s">
        <v>27</v>
      </c>
      <c r="D24" s="7">
        <v>2.5499999999999998</v>
      </c>
      <c r="E24" s="39">
        <f t="shared" si="1"/>
        <v>154.99999999999997</v>
      </c>
      <c r="F24" s="7">
        <v>1.54</v>
      </c>
      <c r="G24" s="69">
        <f t="shared" si="2"/>
        <v>4.1507512095747323E-2</v>
      </c>
      <c r="H24" s="7">
        <v>2.34</v>
      </c>
      <c r="I24" s="39">
        <f t="shared" si="3"/>
        <v>134</v>
      </c>
      <c r="J24" s="55">
        <f t="shared" si="4"/>
        <v>3.5193564605329297E-2</v>
      </c>
      <c r="K24" s="16">
        <v>41</v>
      </c>
      <c r="L24" s="7">
        <v>0.5</v>
      </c>
      <c r="M24" s="62">
        <f t="shared" si="9"/>
        <v>63.54999999999999</v>
      </c>
      <c r="N24" s="62">
        <f>-K24</f>
        <v>-41</v>
      </c>
      <c r="O24" s="7" t="s">
        <v>75</v>
      </c>
      <c r="P24">
        <f t="shared" si="5"/>
        <v>0</v>
      </c>
      <c r="Q24">
        <f t="shared" si="6"/>
        <v>1</v>
      </c>
      <c r="R24">
        <f t="shared" si="7"/>
        <v>0</v>
      </c>
      <c r="S24">
        <f t="shared" si="8"/>
        <v>-41</v>
      </c>
    </row>
    <row r="25" spans="1:19" x14ac:dyDescent="0.3">
      <c r="A25" s="28">
        <v>44660</v>
      </c>
      <c r="B25" s="7" t="s">
        <v>31</v>
      </c>
      <c r="C25" s="26" t="s">
        <v>34</v>
      </c>
      <c r="D25" s="7">
        <v>1.61</v>
      </c>
      <c r="E25" s="39">
        <f t="shared" si="1"/>
        <v>-163.93442622950818</v>
      </c>
      <c r="F25" s="7">
        <v>2.4</v>
      </c>
      <c r="G25" s="69">
        <f t="shared" si="2"/>
        <v>3.7784679089026829E-2</v>
      </c>
      <c r="H25" s="7">
        <v>1.5312920000000001</v>
      </c>
      <c r="I25" s="39">
        <f t="shared" si="3"/>
        <v>-188.22041363318095</v>
      </c>
      <c r="J25" s="55">
        <f t="shared" si="4"/>
        <v>3.1925300022294323E-2</v>
      </c>
      <c r="K25" s="16">
        <v>58</v>
      </c>
      <c r="L25" s="7">
        <v>0.5</v>
      </c>
      <c r="M25" s="62">
        <f t="shared" si="9"/>
        <v>35.380000000000003</v>
      </c>
      <c r="N25" s="62">
        <f>+M25</f>
        <v>35.380000000000003</v>
      </c>
      <c r="O25" s="7" t="s">
        <v>75</v>
      </c>
      <c r="P25">
        <f t="shared" si="5"/>
        <v>1</v>
      </c>
      <c r="Q25">
        <f t="shared" si="6"/>
        <v>0</v>
      </c>
      <c r="R25">
        <f t="shared" si="7"/>
        <v>35.380000000000003</v>
      </c>
      <c r="S25">
        <f t="shared" si="8"/>
        <v>0</v>
      </c>
    </row>
    <row r="26" spans="1:19" x14ac:dyDescent="0.3">
      <c r="A26" s="28">
        <v>44660</v>
      </c>
      <c r="B26" s="7" t="s">
        <v>32</v>
      </c>
      <c r="C26" s="26" t="s">
        <v>33</v>
      </c>
      <c r="D26" s="7">
        <v>1.65</v>
      </c>
      <c r="E26" s="39">
        <f t="shared" si="1"/>
        <v>-153.84615384615387</v>
      </c>
      <c r="F26" s="7">
        <v>2.2999999999999998</v>
      </c>
      <c r="G26" s="69">
        <f t="shared" si="2"/>
        <v>4.0843214756258295E-2</v>
      </c>
      <c r="H26" s="7">
        <v>1.4109769999999999</v>
      </c>
      <c r="I26" s="39">
        <f t="shared" si="3"/>
        <v>-243.3226190273422</v>
      </c>
      <c r="J26" s="55">
        <f t="shared" si="4"/>
        <v>0.1026681683985099</v>
      </c>
      <c r="K26" s="16">
        <v>117</v>
      </c>
      <c r="L26" s="7">
        <v>1.5</v>
      </c>
      <c r="M26" s="62">
        <f t="shared" si="9"/>
        <v>76.049999999999983</v>
      </c>
      <c r="N26" s="62">
        <f>-K26</f>
        <v>-117</v>
      </c>
      <c r="O26" s="7" t="s">
        <v>75</v>
      </c>
      <c r="P26">
        <f t="shared" si="5"/>
        <v>0</v>
      </c>
      <c r="Q26">
        <f t="shared" si="6"/>
        <v>0</v>
      </c>
      <c r="R26">
        <f t="shared" si="7"/>
        <v>-117</v>
      </c>
      <c r="S26">
        <f t="shared" si="8"/>
        <v>0</v>
      </c>
    </row>
    <row r="27" spans="1:19" x14ac:dyDescent="0.3">
      <c r="A27" s="31">
        <v>44661</v>
      </c>
      <c r="B27" s="32" t="s">
        <v>24</v>
      </c>
      <c r="C27" s="33" t="s">
        <v>18</v>
      </c>
      <c r="D27" s="32">
        <v>2.92</v>
      </c>
      <c r="E27" s="40">
        <f t="shared" si="1"/>
        <v>192</v>
      </c>
      <c r="F27" s="32">
        <v>1.43</v>
      </c>
      <c r="G27" s="70">
        <f t="shared" si="2"/>
        <v>4.1766452725356951E-2</v>
      </c>
      <c r="H27" s="32">
        <v>2.0631721289999998</v>
      </c>
      <c r="I27" s="40">
        <f t="shared" si="3"/>
        <v>106.31721289999999</v>
      </c>
      <c r="J27" s="38">
        <f t="shared" si="4"/>
        <v>0.14222478012025358</v>
      </c>
      <c r="K27" s="58">
        <v>60</v>
      </c>
      <c r="L27" s="32">
        <v>2</v>
      </c>
      <c r="M27" s="63">
        <f t="shared" si="9"/>
        <v>115.19999999999999</v>
      </c>
      <c r="N27" s="63">
        <v>115.2</v>
      </c>
      <c r="O27" s="32" t="s">
        <v>77</v>
      </c>
      <c r="P27">
        <f t="shared" si="5"/>
        <v>1</v>
      </c>
      <c r="Q27">
        <f t="shared" si="6"/>
        <v>1</v>
      </c>
      <c r="R27">
        <f t="shared" si="7"/>
        <v>0</v>
      </c>
      <c r="S27">
        <f t="shared" si="8"/>
        <v>115.2</v>
      </c>
    </row>
    <row r="28" spans="1:19" x14ac:dyDescent="0.3">
      <c r="A28" s="31">
        <v>44661</v>
      </c>
      <c r="B28" s="32" t="s">
        <v>10</v>
      </c>
      <c r="C28" s="33" t="s">
        <v>20</v>
      </c>
      <c r="D28" s="32">
        <v>3.05</v>
      </c>
      <c r="E28" s="40">
        <f t="shared" si="1"/>
        <v>204.99999999999997</v>
      </c>
      <c r="F28" s="32">
        <v>1.4</v>
      </c>
      <c r="G28" s="70">
        <f t="shared" si="2"/>
        <v>4.2154566744730726E-2</v>
      </c>
      <c r="H28" s="32">
        <v>2.2727108619999998</v>
      </c>
      <c r="I28" s="40">
        <f t="shared" si="3"/>
        <v>127.27108619999998</v>
      </c>
      <c r="J28" s="38">
        <f t="shared" si="4"/>
        <v>0.11213432468072482</v>
      </c>
      <c r="K28" s="58">
        <v>56</v>
      </c>
      <c r="L28" s="32">
        <v>1.5</v>
      </c>
      <c r="M28" s="63">
        <f t="shared" si="9"/>
        <v>114.79999999999998</v>
      </c>
      <c r="N28" s="63">
        <v>114.8</v>
      </c>
      <c r="O28" s="32" t="s">
        <v>77</v>
      </c>
      <c r="P28">
        <f t="shared" si="5"/>
        <v>1</v>
      </c>
      <c r="Q28">
        <f t="shared" si="6"/>
        <v>1</v>
      </c>
      <c r="R28">
        <f t="shared" si="7"/>
        <v>0</v>
      </c>
      <c r="S28">
        <f t="shared" si="8"/>
        <v>114.8</v>
      </c>
    </row>
    <row r="29" spans="1:19" x14ac:dyDescent="0.3">
      <c r="A29" s="31">
        <v>44661</v>
      </c>
      <c r="B29" s="32" t="s">
        <v>21</v>
      </c>
      <c r="C29" s="33" t="s">
        <v>27</v>
      </c>
      <c r="D29" s="32">
        <v>2.7</v>
      </c>
      <c r="E29" s="40">
        <f t="shared" si="1"/>
        <v>170.00000000000003</v>
      </c>
      <c r="F29" s="32">
        <v>1.49</v>
      </c>
      <c r="G29" s="70">
        <f t="shared" si="2"/>
        <v>4.1511309967685817E-2</v>
      </c>
      <c r="H29" s="32">
        <v>2.3491151750000001</v>
      </c>
      <c r="I29" s="40">
        <f t="shared" si="3"/>
        <v>134.9115175</v>
      </c>
      <c r="J29" s="38">
        <f t="shared" si="4"/>
        <v>5.5321826692721676E-2</v>
      </c>
      <c r="K29" s="58">
        <v>67</v>
      </c>
      <c r="L29" s="32">
        <v>0.5</v>
      </c>
      <c r="M29" s="63">
        <f t="shared" si="9"/>
        <v>113.9</v>
      </c>
      <c r="N29" s="63">
        <v>113.9</v>
      </c>
      <c r="O29" s="32" t="s">
        <v>75</v>
      </c>
      <c r="P29">
        <f t="shared" si="5"/>
        <v>1</v>
      </c>
      <c r="Q29">
        <f t="shared" si="6"/>
        <v>1</v>
      </c>
      <c r="R29">
        <f t="shared" si="7"/>
        <v>0</v>
      </c>
      <c r="S29">
        <f t="shared" si="8"/>
        <v>113.9</v>
      </c>
    </row>
    <row r="30" spans="1:19" x14ac:dyDescent="0.3">
      <c r="A30" s="31">
        <v>44661</v>
      </c>
      <c r="B30" s="32" t="s">
        <v>30</v>
      </c>
      <c r="C30" s="33" t="s">
        <v>29</v>
      </c>
      <c r="D30" s="32">
        <v>2.77</v>
      </c>
      <c r="E30" s="40">
        <f t="shared" si="1"/>
        <v>177</v>
      </c>
      <c r="F30" s="32">
        <v>1.47</v>
      </c>
      <c r="G30" s="70">
        <f t="shared" si="2"/>
        <v>4.1282939168447275E-2</v>
      </c>
      <c r="H30" s="32">
        <v>2.3449693859999998</v>
      </c>
      <c r="I30" s="40">
        <f t="shared" si="3"/>
        <v>134.49693859999999</v>
      </c>
      <c r="J30" s="38">
        <f t="shared" si="4"/>
        <v>6.5433969325877694E-2</v>
      </c>
      <c r="K30" s="58">
        <v>64</v>
      </c>
      <c r="L30" s="32">
        <v>1</v>
      </c>
      <c r="M30" s="63">
        <f t="shared" si="9"/>
        <v>113.28</v>
      </c>
      <c r="N30" s="63">
        <v>113.28</v>
      </c>
      <c r="O30" s="32" t="s">
        <v>77</v>
      </c>
      <c r="P30">
        <f t="shared" si="5"/>
        <v>1</v>
      </c>
      <c r="Q30">
        <f t="shared" si="6"/>
        <v>1</v>
      </c>
      <c r="R30">
        <f t="shared" si="7"/>
        <v>0</v>
      </c>
      <c r="S30">
        <f t="shared" si="8"/>
        <v>113.28</v>
      </c>
    </row>
    <row r="31" spans="1:19" x14ac:dyDescent="0.3">
      <c r="A31" s="31">
        <v>44661</v>
      </c>
      <c r="B31" s="32" t="s">
        <v>14</v>
      </c>
      <c r="C31" s="33" t="s">
        <v>12</v>
      </c>
      <c r="D31" s="32">
        <v>1.95</v>
      </c>
      <c r="E31" s="40">
        <f t="shared" si="1"/>
        <v>-105.26315789473685</v>
      </c>
      <c r="F31" s="32">
        <v>1.88</v>
      </c>
      <c r="G31" s="70">
        <f t="shared" si="2"/>
        <v>4.4735406437534042E-2</v>
      </c>
      <c r="H31" s="32">
        <v>1.8366879629999999</v>
      </c>
      <c r="I31" s="40">
        <f t="shared" si="3"/>
        <v>-119.51887014299022</v>
      </c>
      <c r="J31" s="38">
        <f t="shared" si="4"/>
        <v>3.1637783931552255E-2</v>
      </c>
      <c r="K31" s="58">
        <v>57</v>
      </c>
      <c r="L31" s="32">
        <v>0.5</v>
      </c>
      <c r="M31" s="63">
        <f t="shared" si="9"/>
        <v>54.15</v>
      </c>
      <c r="N31" s="63">
        <v>54.15</v>
      </c>
      <c r="O31" s="32" t="s">
        <v>76</v>
      </c>
      <c r="P31">
        <f t="shared" si="5"/>
        <v>1</v>
      </c>
      <c r="Q31">
        <f t="shared" si="6"/>
        <v>0</v>
      </c>
      <c r="R31">
        <f t="shared" si="7"/>
        <v>54.15</v>
      </c>
      <c r="S31">
        <f t="shared" si="8"/>
        <v>0</v>
      </c>
    </row>
    <row r="32" spans="1:19" x14ac:dyDescent="0.3">
      <c r="A32" s="31">
        <v>44661</v>
      </c>
      <c r="B32" s="33" t="s">
        <v>13</v>
      </c>
      <c r="C32" s="35" t="s">
        <v>11</v>
      </c>
      <c r="D32" s="32">
        <v>2.16</v>
      </c>
      <c r="E32" s="40">
        <f t="shared" si="1"/>
        <v>116.00000000000001</v>
      </c>
      <c r="F32" s="32">
        <v>1.73</v>
      </c>
      <c r="G32" s="70">
        <f t="shared" si="2"/>
        <v>4.0997645043887809E-2</v>
      </c>
      <c r="H32" s="32">
        <v>1.9522740000000001</v>
      </c>
      <c r="I32" s="40">
        <f t="shared" si="3"/>
        <v>-105.01179282433417</v>
      </c>
      <c r="J32" s="38">
        <f t="shared" si="4"/>
        <v>4.9260218824019875E-2</v>
      </c>
      <c r="K32" s="58">
        <v>85</v>
      </c>
      <c r="L32" s="32">
        <v>0.5</v>
      </c>
      <c r="M32" s="63">
        <f t="shared" si="9"/>
        <v>98.600000000000009</v>
      </c>
      <c r="N32" s="63">
        <v>-85</v>
      </c>
      <c r="O32" s="32"/>
      <c r="P32">
        <f t="shared" si="5"/>
        <v>0</v>
      </c>
      <c r="Q32">
        <f t="shared" si="6"/>
        <v>1</v>
      </c>
      <c r="R32">
        <f t="shared" si="7"/>
        <v>0</v>
      </c>
      <c r="S32">
        <f t="shared" si="8"/>
        <v>-85</v>
      </c>
    </row>
    <row r="33" spans="1:19" x14ac:dyDescent="0.3">
      <c r="A33" s="31">
        <v>44661</v>
      </c>
      <c r="B33" s="33" t="s">
        <v>9</v>
      </c>
      <c r="C33" s="35" t="s">
        <v>6</v>
      </c>
      <c r="D33" s="32">
        <v>1.52</v>
      </c>
      <c r="E33" s="40">
        <f t="shared" si="1"/>
        <v>-192.30769230769229</v>
      </c>
      <c r="F33" s="32">
        <v>2.6</v>
      </c>
      <c r="G33" s="70">
        <f t="shared" si="2"/>
        <v>4.2510121457489891E-2</v>
      </c>
      <c r="H33" s="32">
        <v>1.34206</v>
      </c>
      <c r="I33" s="40">
        <f t="shared" si="3"/>
        <v>-292.3463719815237</v>
      </c>
      <c r="J33" s="38">
        <f t="shared" si="4"/>
        <v>8.7228432017707247E-2</v>
      </c>
      <c r="K33" s="58">
        <v>85</v>
      </c>
      <c r="L33" s="32">
        <v>1</v>
      </c>
      <c r="M33" s="63">
        <f t="shared" si="9"/>
        <v>44.2</v>
      </c>
      <c r="N33" s="63">
        <v>44.2</v>
      </c>
      <c r="O33" s="32" t="s">
        <v>76</v>
      </c>
      <c r="P33">
        <f t="shared" si="5"/>
        <v>1</v>
      </c>
      <c r="Q33">
        <f t="shared" si="6"/>
        <v>0</v>
      </c>
      <c r="R33">
        <f t="shared" si="7"/>
        <v>44.2</v>
      </c>
      <c r="S33">
        <f t="shared" si="8"/>
        <v>0</v>
      </c>
    </row>
    <row r="34" spans="1:19" x14ac:dyDescent="0.3">
      <c r="A34" s="31">
        <v>44661</v>
      </c>
      <c r="B34" s="33" t="s">
        <v>35</v>
      </c>
      <c r="C34" s="35" t="s">
        <v>22</v>
      </c>
      <c r="D34" s="32">
        <v>1.88</v>
      </c>
      <c r="E34" s="40">
        <f t="shared" si="1"/>
        <v>-113.63636363636365</v>
      </c>
      <c r="F34" s="32">
        <v>1.95</v>
      </c>
      <c r="G34" s="70">
        <f t="shared" si="2"/>
        <v>4.4735406437534042E-2</v>
      </c>
      <c r="H34" s="32">
        <v>1.828187</v>
      </c>
      <c r="I34" s="40">
        <f t="shared" si="3"/>
        <v>-120.7456770028991</v>
      </c>
      <c r="J34" s="38">
        <f t="shared" si="4"/>
        <v>1.5075102482940084E-2</v>
      </c>
      <c r="K34" s="58">
        <v>29</v>
      </c>
      <c r="L34" s="32">
        <v>0.2</v>
      </c>
      <c r="M34" s="63">
        <f t="shared" si="9"/>
        <v>25.519999999999996</v>
      </c>
      <c r="N34" s="63">
        <f>+M34</f>
        <v>25.519999999999996</v>
      </c>
      <c r="O34" s="32" t="s">
        <v>76</v>
      </c>
      <c r="P34">
        <f t="shared" si="5"/>
        <v>1</v>
      </c>
      <c r="Q34">
        <f t="shared" si="6"/>
        <v>0</v>
      </c>
      <c r="R34">
        <f t="shared" si="7"/>
        <v>25.519999999999996</v>
      </c>
      <c r="S34">
        <f t="shared" si="8"/>
        <v>0</v>
      </c>
    </row>
    <row r="35" spans="1:19" x14ac:dyDescent="0.3">
      <c r="A35" s="31">
        <v>44661</v>
      </c>
      <c r="B35" s="33" t="s">
        <v>8</v>
      </c>
      <c r="C35" s="35" t="s">
        <v>7</v>
      </c>
      <c r="D35" s="32">
        <v>1.7</v>
      </c>
      <c r="E35" s="40">
        <f t="shared" si="1"/>
        <v>-142.85714285714286</v>
      </c>
      <c r="F35" s="32">
        <v>2.2000000000000002</v>
      </c>
      <c r="G35" s="70">
        <f t="shared" si="2"/>
        <v>4.2780748663101553E-2</v>
      </c>
      <c r="H35" s="32">
        <v>1.6642319999999999</v>
      </c>
      <c r="I35" s="40">
        <f t="shared" si="3"/>
        <v>-150.54980789844512</v>
      </c>
      <c r="J35" s="38">
        <f t="shared" si="4"/>
        <v>1.2642468117425976E-2</v>
      </c>
      <c r="K35" s="58">
        <v>29</v>
      </c>
      <c r="L35" s="32">
        <v>0.2</v>
      </c>
      <c r="M35" s="63">
        <f t="shared" si="9"/>
        <v>20.299999999999997</v>
      </c>
      <c r="N35" s="63">
        <v>-29</v>
      </c>
      <c r="O35" s="32" t="s">
        <v>76</v>
      </c>
      <c r="P35">
        <f t="shared" si="5"/>
        <v>0</v>
      </c>
      <c r="Q35">
        <f t="shared" si="6"/>
        <v>0</v>
      </c>
      <c r="R35">
        <f t="shared" si="7"/>
        <v>-29</v>
      </c>
      <c r="S35">
        <f t="shared" si="8"/>
        <v>0</v>
      </c>
    </row>
    <row r="36" spans="1:19" x14ac:dyDescent="0.3">
      <c r="A36" s="28">
        <v>44662</v>
      </c>
      <c r="B36" s="7" t="s">
        <v>14</v>
      </c>
      <c r="C36" s="26" t="s">
        <v>12</v>
      </c>
      <c r="D36" s="7">
        <v>1.95</v>
      </c>
      <c r="E36" s="39">
        <f t="shared" si="1"/>
        <v>-105.26315789473685</v>
      </c>
      <c r="F36" s="7">
        <v>1.88</v>
      </c>
      <c r="G36" s="69">
        <f t="shared" si="2"/>
        <v>4.4735406437534042E-2</v>
      </c>
      <c r="H36" s="7">
        <v>1.7728458363603401</v>
      </c>
      <c r="I36" s="39">
        <f t="shared" si="3"/>
        <v>-129.39191142044908</v>
      </c>
      <c r="J36" s="55">
        <f t="shared" si="4"/>
        <v>5.124432546965918E-2</v>
      </c>
      <c r="K36" s="16">
        <v>60</v>
      </c>
      <c r="L36" s="7">
        <v>0.5</v>
      </c>
      <c r="M36" s="62">
        <f t="shared" si="9"/>
        <v>57</v>
      </c>
      <c r="N36" s="62">
        <f>+M36</f>
        <v>57</v>
      </c>
      <c r="O36" s="7" t="s">
        <v>76</v>
      </c>
      <c r="P36">
        <f t="shared" si="5"/>
        <v>1</v>
      </c>
      <c r="Q36">
        <f t="shared" si="6"/>
        <v>0</v>
      </c>
      <c r="R36">
        <f t="shared" si="7"/>
        <v>57</v>
      </c>
      <c r="S36">
        <f t="shared" si="8"/>
        <v>0</v>
      </c>
    </row>
    <row r="37" spans="1:19" x14ac:dyDescent="0.3">
      <c r="A37" s="28">
        <v>44662</v>
      </c>
      <c r="B37" s="7" t="s">
        <v>30</v>
      </c>
      <c r="C37" s="26" t="s">
        <v>29</v>
      </c>
      <c r="D37" s="7">
        <v>2.7</v>
      </c>
      <c r="E37" s="39">
        <f t="shared" si="1"/>
        <v>170.00000000000003</v>
      </c>
      <c r="F37" s="7">
        <v>1.49</v>
      </c>
      <c r="G37" s="69">
        <f t="shared" si="2"/>
        <v>4.1511309967685817E-2</v>
      </c>
      <c r="H37">
        <v>2.0901815549887002</v>
      </c>
      <c r="I37" s="39">
        <f t="shared" si="3"/>
        <v>109.01815549887002</v>
      </c>
      <c r="J37" s="55">
        <f t="shared" si="4"/>
        <v>0.10805696892619432</v>
      </c>
      <c r="K37" s="16">
        <v>70</v>
      </c>
      <c r="L37" s="7">
        <v>1.5</v>
      </c>
      <c r="M37" s="62">
        <f t="shared" si="9"/>
        <v>119.00000000000001</v>
      </c>
      <c r="N37" s="62">
        <v>0</v>
      </c>
      <c r="O37" s="7" t="s">
        <v>77</v>
      </c>
      <c r="P37">
        <f t="shared" si="5"/>
        <v>0</v>
      </c>
      <c r="Q37">
        <f t="shared" si="6"/>
        <v>1</v>
      </c>
      <c r="R37">
        <f t="shared" si="7"/>
        <v>0</v>
      </c>
      <c r="S37">
        <f t="shared" si="8"/>
        <v>0</v>
      </c>
    </row>
    <row r="38" spans="1:19" x14ac:dyDescent="0.3">
      <c r="A38" s="28">
        <v>44662</v>
      </c>
      <c r="B38" s="26" t="s">
        <v>13</v>
      </c>
      <c r="C38" s="7" t="s">
        <v>7</v>
      </c>
      <c r="D38" s="7">
        <v>2.0499999999999998</v>
      </c>
      <c r="E38" s="39">
        <f t="shared" si="1"/>
        <v>104.99999999999999</v>
      </c>
      <c r="F38" s="7">
        <v>1.8</v>
      </c>
      <c r="G38" s="69">
        <f t="shared" si="2"/>
        <v>4.3360433604336057E-2</v>
      </c>
      <c r="H38" s="7">
        <v>1.9580649999999999</v>
      </c>
      <c r="I38" s="39">
        <f t="shared" si="3"/>
        <v>-104.37705166142173</v>
      </c>
      <c r="J38" s="55">
        <f t="shared" si="4"/>
        <v>2.2903397723474217E-2</v>
      </c>
      <c r="K38" s="16">
        <v>60</v>
      </c>
      <c r="L38" s="7">
        <v>0.2</v>
      </c>
      <c r="M38" s="62">
        <f t="shared" si="9"/>
        <v>62.999999999999986</v>
      </c>
      <c r="N38" s="62">
        <f>+M38</f>
        <v>62.999999999999986</v>
      </c>
      <c r="O38" s="7" t="s">
        <v>75</v>
      </c>
      <c r="P38">
        <f t="shared" si="5"/>
        <v>1</v>
      </c>
      <c r="Q38">
        <f t="shared" si="6"/>
        <v>1</v>
      </c>
      <c r="R38">
        <f t="shared" si="7"/>
        <v>0</v>
      </c>
      <c r="S38">
        <f t="shared" si="8"/>
        <v>62.999999999999986</v>
      </c>
    </row>
    <row r="39" spans="1:19" x14ac:dyDescent="0.3">
      <c r="A39" s="28">
        <v>44662</v>
      </c>
      <c r="B39" s="7" t="s">
        <v>9</v>
      </c>
      <c r="C39" s="26" t="s">
        <v>18</v>
      </c>
      <c r="D39" s="7">
        <v>2.9</v>
      </c>
      <c r="E39" s="39">
        <f t="shared" si="1"/>
        <v>190</v>
      </c>
      <c r="F39" s="7">
        <v>1.43</v>
      </c>
      <c r="G39" s="69">
        <f t="shared" si="2"/>
        <v>4.4128285507595955E-2</v>
      </c>
      <c r="H39" s="7">
        <v>2.6213989999999998</v>
      </c>
      <c r="I39" s="39">
        <f t="shared" si="3"/>
        <v>162.13989999999998</v>
      </c>
      <c r="J39" s="55">
        <f t="shared" si="4"/>
        <v>3.66481067341628E-2</v>
      </c>
      <c r="K39" s="16">
        <v>48</v>
      </c>
      <c r="L39" s="7">
        <v>0.5</v>
      </c>
      <c r="M39" s="62">
        <f t="shared" si="9"/>
        <v>91.199999999999989</v>
      </c>
      <c r="N39" s="62">
        <f>+M39</f>
        <v>91.199999999999989</v>
      </c>
      <c r="O39" s="7" t="s">
        <v>75</v>
      </c>
      <c r="P39">
        <f t="shared" si="5"/>
        <v>1</v>
      </c>
      <c r="Q39">
        <f t="shared" si="6"/>
        <v>1</v>
      </c>
      <c r="R39">
        <f t="shared" si="7"/>
        <v>0</v>
      </c>
      <c r="S39">
        <f t="shared" si="8"/>
        <v>91.199999999999989</v>
      </c>
    </row>
    <row r="40" spans="1:19" x14ac:dyDescent="0.3">
      <c r="A40" s="28">
        <v>44662</v>
      </c>
      <c r="B40" s="41" t="s">
        <v>24</v>
      </c>
      <c r="C40" s="26" t="s">
        <v>23</v>
      </c>
      <c r="D40" s="7">
        <v>2.2999999999999998</v>
      </c>
      <c r="E40" s="39">
        <f t="shared" si="1"/>
        <v>129.99999999999997</v>
      </c>
      <c r="F40" s="7">
        <v>1.65</v>
      </c>
      <c r="G40" s="69">
        <f t="shared" si="2"/>
        <v>4.0843214756258295E-2</v>
      </c>
      <c r="H40" s="7">
        <v>1.722915</v>
      </c>
      <c r="I40" s="39">
        <f t="shared" si="3"/>
        <v>-138.3288491731393</v>
      </c>
      <c r="J40" s="55">
        <f t="shared" si="4"/>
        <v>0.14562907731323393</v>
      </c>
      <c r="K40" s="16">
        <v>92</v>
      </c>
      <c r="L40" s="7">
        <v>2</v>
      </c>
      <c r="M40" s="62">
        <f t="shared" si="9"/>
        <v>119.59999999999998</v>
      </c>
      <c r="N40" s="62">
        <v>-92</v>
      </c>
      <c r="O40" s="7" t="s">
        <v>75</v>
      </c>
      <c r="P40">
        <f t="shared" si="5"/>
        <v>0</v>
      </c>
      <c r="Q40">
        <f t="shared" si="6"/>
        <v>1</v>
      </c>
      <c r="R40">
        <f t="shared" si="7"/>
        <v>0</v>
      </c>
      <c r="S40">
        <f t="shared" si="8"/>
        <v>-92</v>
      </c>
    </row>
    <row r="41" spans="1:19" x14ac:dyDescent="0.3">
      <c r="A41" s="28">
        <v>44662</v>
      </c>
      <c r="B41" s="26" t="s">
        <v>8</v>
      </c>
      <c r="C41" s="7" t="s">
        <v>10</v>
      </c>
      <c r="D41" s="7">
        <v>1.85</v>
      </c>
      <c r="E41" s="39">
        <f t="shared" si="1"/>
        <v>-117.64705882352941</v>
      </c>
      <c r="F41" s="7">
        <v>1.98</v>
      </c>
      <c r="G41" s="69">
        <f t="shared" si="2"/>
        <v>4.5591045591045543E-2</v>
      </c>
      <c r="H41" s="7">
        <v>1.7871060000000001</v>
      </c>
      <c r="I41" s="39">
        <f t="shared" si="3"/>
        <v>-127.0476911623085</v>
      </c>
      <c r="J41" s="55">
        <f t="shared" si="4"/>
        <v>1.9023357739695879E-2</v>
      </c>
      <c r="K41" s="16">
        <v>30</v>
      </c>
      <c r="L41" s="7">
        <v>0.2</v>
      </c>
      <c r="M41" s="62">
        <f t="shared" si="9"/>
        <v>25.500000000000004</v>
      </c>
      <c r="N41" s="62">
        <f>+-K41</f>
        <v>-30</v>
      </c>
      <c r="O41" s="7" t="s">
        <v>76</v>
      </c>
      <c r="P41">
        <f t="shared" si="5"/>
        <v>0</v>
      </c>
      <c r="Q41">
        <f t="shared" si="6"/>
        <v>0</v>
      </c>
      <c r="R41">
        <f t="shared" si="7"/>
        <v>-30</v>
      </c>
      <c r="S41">
        <f t="shared" si="8"/>
        <v>0</v>
      </c>
    </row>
    <row r="42" spans="1:19" x14ac:dyDescent="0.3">
      <c r="A42" s="28">
        <v>44662</v>
      </c>
      <c r="B42" s="7" t="s">
        <v>21</v>
      </c>
      <c r="C42" s="26" t="s">
        <v>25</v>
      </c>
      <c r="D42" s="7">
        <v>2.95</v>
      </c>
      <c r="E42" s="39">
        <f t="shared" si="1"/>
        <v>195.00000000000003</v>
      </c>
      <c r="F42" s="7">
        <v>1.41</v>
      </c>
      <c r="G42" s="69">
        <f t="shared" si="2"/>
        <v>4.8202909003486116E-2</v>
      </c>
      <c r="H42" s="7">
        <v>2.266394</v>
      </c>
      <c r="I42" s="39">
        <f t="shared" si="3"/>
        <v>126.63939999999999</v>
      </c>
      <c r="J42" s="55">
        <f t="shared" si="4"/>
        <v>0.102246497059923</v>
      </c>
      <c r="K42" s="16">
        <v>62</v>
      </c>
      <c r="L42" s="7">
        <v>1.5</v>
      </c>
      <c r="M42" s="62">
        <f t="shared" si="9"/>
        <v>120.9</v>
      </c>
      <c r="N42" s="62">
        <f>+M42</f>
        <v>120.9</v>
      </c>
      <c r="O42" s="7" t="s">
        <v>75</v>
      </c>
      <c r="P42">
        <f t="shared" si="5"/>
        <v>1</v>
      </c>
      <c r="Q42">
        <f t="shared" si="6"/>
        <v>1</v>
      </c>
      <c r="R42">
        <f t="shared" si="7"/>
        <v>0</v>
      </c>
      <c r="S42">
        <f t="shared" si="8"/>
        <v>120.9</v>
      </c>
    </row>
    <row r="43" spans="1:19" x14ac:dyDescent="0.3">
      <c r="A43" s="28">
        <v>44662</v>
      </c>
      <c r="B43" s="7" t="s">
        <v>15</v>
      </c>
      <c r="C43" s="26" t="s">
        <v>19</v>
      </c>
      <c r="D43" s="7">
        <v>2.15</v>
      </c>
      <c r="E43" s="39">
        <f t="shared" si="1"/>
        <v>114.99999999999999</v>
      </c>
      <c r="F43" s="7">
        <v>1.74</v>
      </c>
      <c r="G43" s="69">
        <f t="shared" si="2"/>
        <v>3.9828922747928264E-2</v>
      </c>
      <c r="H43" s="7">
        <v>2.0663049999999998</v>
      </c>
      <c r="I43" s="39">
        <f t="shared" si="3"/>
        <v>106.63049999999998</v>
      </c>
      <c r="J43" s="55">
        <f t="shared" si="4"/>
        <v>1.8839380912665016E-2</v>
      </c>
      <c r="K43" s="16">
        <v>26</v>
      </c>
      <c r="L43" s="7">
        <v>0.2</v>
      </c>
      <c r="M43" s="62">
        <f t="shared" si="9"/>
        <v>29.9</v>
      </c>
      <c r="N43" s="62">
        <f>-K43</f>
        <v>-26</v>
      </c>
      <c r="O43" s="7" t="s">
        <v>77</v>
      </c>
      <c r="P43">
        <f t="shared" si="5"/>
        <v>0</v>
      </c>
      <c r="Q43">
        <f t="shared" si="6"/>
        <v>1</v>
      </c>
      <c r="R43">
        <f t="shared" si="7"/>
        <v>0</v>
      </c>
      <c r="S43">
        <f t="shared" si="8"/>
        <v>-26</v>
      </c>
    </row>
    <row r="44" spans="1:19" x14ac:dyDescent="0.3">
      <c r="A44" s="28">
        <v>44662</v>
      </c>
      <c r="B44" s="7" t="s">
        <v>35</v>
      </c>
      <c r="C44" s="26" t="s">
        <v>34</v>
      </c>
      <c r="D44" s="7">
        <v>2.31</v>
      </c>
      <c r="E44" s="39">
        <f t="shared" si="1"/>
        <v>131</v>
      </c>
      <c r="F44" s="7">
        <v>1.64</v>
      </c>
      <c r="G44" s="69">
        <f t="shared" si="2"/>
        <v>4.2656530461408604E-2</v>
      </c>
      <c r="H44" s="7">
        <v>1.8078730000000001</v>
      </c>
      <c r="I44" s="39">
        <f t="shared" si="3"/>
        <v>-123.78183204538337</v>
      </c>
      <c r="J44" s="55">
        <f t="shared" si="4"/>
        <v>0.12023576637905187</v>
      </c>
      <c r="K44" s="16">
        <v>92</v>
      </c>
      <c r="L44" s="7">
        <v>1.5</v>
      </c>
      <c r="M44" s="62">
        <f t="shared" si="9"/>
        <v>120.52000000000001</v>
      </c>
      <c r="N44" s="62">
        <v>120.52</v>
      </c>
      <c r="O44" s="7" t="s">
        <v>77</v>
      </c>
      <c r="P44">
        <f t="shared" si="5"/>
        <v>1</v>
      </c>
      <c r="Q44">
        <f t="shared" si="6"/>
        <v>1</v>
      </c>
      <c r="R44">
        <f t="shared" si="7"/>
        <v>0</v>
      </c>
      <c r="S44">
        <f t="shared" si="8"/>
        <v>120.52</v>
      </c>
    </row>
    <row r="45" spans="1:19" x14ac:dyDescent="0.3">
      <c r="A45" s="42">
        <v>44663</v>
      </c>
      <c r="B45" s="43" t="s">
        <v>9</v>
      </c>
      <c r="C45" s="44" t="s">
        <v>18</v>
      </c>
      <c r="D45" s="45">
        <v>2.78</v>
      </c>
      <c r="E45" s="45">
        <f t="shared" si="1"/>
        <v>177.99999999999997</v>
      </c>
      <c r="F45" s="45">
        <v>1.45</v>
      </c>
      <c r="G45" s="71">
        <f t="shared" si="2"/>
        <v>4.9367402629620472E-2</v>
      </c>
      <c r="H45" s="45">
        <v>2.7187969999999999</v>
      </c>
      <c r="I45" s="46">
        <f t="shared" si="3"/>
        <v>171.87969999999999</v>
      </c>
      <c r="J45" s="47">
        <f t="shared" si="4"/>
        <v>8.0975032802740321E-3</v>
      </c>
      <c r="K45" s="59">
        <v>20</v>
      </c>
      <c r="L45" s="45">
        <v>0.2</v>
      </c>
      <c r="M45" s="64">
        <f t="shared" si="9"/>
        <v>35.599999999999994</v>
      </c>
      <c r="N45" s="64">
        <f>-K45</f>
        <v>-20</v>
      </c>
      <c r="O45" s="45" t="s">
        <v>77</v>
      </c>
      <c r="P45">
        <f t="shared" si="5"/>
        <v>0</v>
      </c>
      <c r="Q45">
        <f t="shared" si="6"/>
        <v>1</v>
      </c>
      <c r="R45">
        <f t="shared" si="7"/>
        <v>0</v>
      </c>
      <c r="S45">
        <f t="shared" si="8"/>
        <v>-20</v>
      </c>
    </row>
    <row r="46" spans="1:19" x14ac:dyDescent="0.3">
      <c r="A46" s="42">
        <v>44663</v>
      </c>
      <c r="B46" s="45" t="s">
        <v>24</v>
      </c>
      <c r="C46" s="44" t="s">
        <v>23</v>
      </c>
      <c r="D46" s="45">
        <v>2.33</v>
      </c>
      <c r="E46" s="45">
        <f t="shared" si="1"/>
        <v>133</v>
      </c>
      <c r="F46" s="45">
        <v>1.61</v>
      </c>
      <c r="G46" s="71">
        <f t="shared" si="2"/>
        <v>5.0302561778583499E-2</v>
      </c>
      <c r="H46" s="45">
        <v>1.690822</v>
      </c>
      <c r="I46" s="46">
        <f t="shared" si="3"/>
        <v>-144.75508886514905</v>
      </c>
      <c r="J46" s="47">
        <f t="shared" si="4"/>
        <v>0.16224376184389133</v>
      </c>
      <c r="K46" s="59">
        <v>92</v>
      </c>
      <c r="L46" s="45">
        <v>2</v>
      </c>
      <c r="M46" s="64">
        <f t="shared" si="9"/>
        <v>122.36000000000001</v>
      </c>
      <c r="N46" s="64">
        <f>+M46</f>
        <v>122.36000000000001</v>
      </c>
      <c r="O46" s="45" t="s">
        <v>77</v>
      </c>
      <c r="P46">
        <f t="shared" si="5"/>
        <v>1</v>
      </c>
      <c r="Q46">
        <f t="shared" si="6"/>
        <v>1</v>
      </c>
      <c r="R46">
        <f t="shared" si="7"/>
        <v>0</v>
      </c>
      <c r="S46">
        <f t="shared" si="8"/>
        <v>122.36000000000001</v>
      </c>
    </row>
    <row r="47" spans="1:19" x14ac:dyDescent="0.3">
      <c r="A47" s="42">
        <v>44663</v>
      </c>
      <c r="B47" s="45" t="s">
        <v>6</v>
      </c>
      <c r="C47" s="44" t="s">
        <v>28</v>
      </c>
      <c r="D47" s="45">
        <v>1.64</v>
      </c>
      <c r="E47" s="48">
        <f t="shared" si="1"/>
        <v>-156.25000000000003</v>
      </c>
      <c r="F47" s="45">
        <v>2.3199999999999998</v>
      </c>
      <c r="G47" s="71">
        <f t="shared" si="2"/>
        <v>4.0790580319596259E-2</v>
      </c>
      <c r="H47" s="45">
        <v>1.5249269999999999</v>
      </c>
      <c r="I47" s="46">
        <f t="shared" si="3"/>
        <v>-190.50267942018607</v>
      </c>
      <c r="J47" s="47">
        <f t="shared" si="4"/>
        <v>4.6012998271152794E-2</v>
      </c>
      <c r="K47" s="59">
        <v>60</v>
      </c>
      <c r="L47" s="45">
        <v>0.5</v>
      </c>
      <c r="M47" s="64">
        <f t="shared" si="9"/>
        <v>38.399999999999991</v>
      </c>
      <c r="N47" s="64">
        <f>+M47</f>
        <v>38.399999999999991</v>
      </c>
      <c r="O47" s="45" t="s">
        <v>77</v>
      </c>
      <c r="P47">
        <f t="shared" si="5"/>
        <v>1</v>
      </c>
      <c r="Q47">
        <f t="shared" si="6"/>
        <v>0</v>
      </c>
      <c r="R47">
        <f t="shared" si="7"/>
        <v>38.399999999999991</v>
      </c>
      <c r="S47">
        <f t="shared" si="8"/>
        <v>0</v>
      </c>
    </row>
    <row r="48" spans="1:19" x14ac:dyDescent="0.3">
      <c r="A48" s="42">
        <v>44663</v>
      </c>
      <c r="B48" s="44" t="s">
        <v>29</v>
      </c>
      <c r="C48" s="45" t="s">
        <v>26</v>
      </c>
      <c r="D48" s="45">
        <v>2</v>
      </c>
      <c r="E48" s="48">
        <f t="shared" si="1"/>
        <v>-100</v>
      </c>
      <c r="F48" s="45">
        <v>1.83</v>
      </c>
      <c r="G48" s="71">
        <f t="shared" si="2"/>
        <v>4.644808743169393E-2</v>
      </c>
      <c r="H48" s="45">
        <v>1.949452</v>
      </c>
      <c r="I48" s="46">
        <f t="shared" si="3"/>
        <v>-105.32391316254008</v>
      </c>
      <c r="J48" s="47">
        <f t="shared" si="4"/>
        <v>1.2964669045454791E-2</v>
      </c>
      <c r="K48" s="59">
        <v>30</v>
      </c>
      <c r="L48" s="45">
        <v>0.2</v>
      </c>
      <c r="M48" s="64">
        <f t="shared" si="9"/>
        <v>30</v>
      </c>
      <c r="N48" s="64">
        <v>-30</v>
      </c>
      <c r="O48" s="45" t="s">
        <v>75</v>
      </c>
      <c r="P48">
        <f t="shared" si="5"/>
        <v>0</v>
      </c>
      <c r="Q48">
        <f t="shared" si="6"/>
        <v>0</v>
      </c>
      <c r="R48">
        <f t="shared" si="7"/>
        <v>-30</v>
      </c>
      <c r="S48">
        <f t="shared" si="8"/>
        <v>0</v>
      </c>
    </row>
    <row r="49" spans="1:19" x14ac:dyDescent="0.3">
      <c r="A49" s="42">
        <v>44663</v>
      </c>
      <c r="B49" s="45" t="s">
        <v>21</v>
      </c>
      <c r="C49" s="44" t="s">
        <v>25</v>
      </c>
      <c r="D49" s="45">
        <v>2.44</v>
      </c>
      <c r="E49" s="48">
        <f t="shared" si="1"/>
        <v>144</v>
      </c>
      <c r="F49" s="45">
        <v>1.59</v>
      </c>
      <c r="G49" s="71">
        <f t="shared" si="2"/>
        <v>3.8766883183833478E-2</v>
      </c>
      <c r="H49" s="45">
        <v>2.266394</v>
      </c>
      <c r="I49" s="46">
        <f t="shared" si="3"/>
        <v>126.63939999999999</v>
      </c>
      <c r="J49" s="47">
        <f t="shared" si="4"/>
        <v>3.1393482333610112E-2</v>
      </c>
      <c r="K49" s="59">
        <v>42</v>
      </c>
      <c r="L49" s="45">
        <v>0.5</v>
      </c>
      <c r="M49" s="64">
        <f t="shared" si="9"/>
        <v>60.48</v>
      </c>
      <c r="N49" s="64">
        <f>-K49</f>
        <v>-42</v>
      </c>
      <c r="O49" s="45" t="s">
        <v>77</v>
      </c>
      <c r="P49">
        <f t="shared" si="5"/>
        <v>0</v>
      </c>
      <c r="Q49">
        <f t="shared" si="6"/>
        <v>1</v>
      </c>
      <c r="R49">
        <f t="shared" si="7"/>
        <v>0</v>
      </c>
      <c r="S49">
        <f t="shared" si="8"/>
        <v>-42</v>
      </c>
    </row>
    <row r="50" spans="1:19" x14ac:dyDescent="0.3">
      <c r="A50" s="42">
        <v>44663</v>
      </c>
      <c r="B50" s="45" t="s">
        <v>30</v>
      </c>
      <c r="C50" s="44" t="s">
        <v>14</v>
      </c>
      <c r="D50" s="45">
        <v>2.56</v>
      </c>
      <c r="E50" s="45">
        <f t="shared" si="1"/>
        <v>156</v>
      </c>
      <c r="F50" s="45">
        <v>1.54</v>
      </c>
      <c r="G50" s="71">
        <f t="shared" si="2"/>
        <v>3.9975649350649345E-2</v>
      </c>
      <c r="H50" s="45">
        <v>2.225733</v>
      </c>
      <c r="I50" s="46">
        <f t="shared" si="3"/>
        <v>122.57329999999999</v>
      </c>
      <c r="J50" s="47">
        <f t="shared" si="4"/>
        <v>5.8665188895074105E-2</v>
      </c>
      <c r="K50" s="59">
        <v>58</v>
      </c>
      <c r="L50" s="45">
        <v>0.5</v>
      </c>
      <c r="M50" s="64">
        <f t="shared" si="9"/>
        <v>90.48</v>
      </c>
      <c r="N50" s="64">
        <v>-58</v>
      </c>
      <c r="O50" s="45" t="s">
        <v>77</v>
      </c>
      <c r="P50">
        <f t="shared" si="5"/>
        <v>0</v>
      </c>
      <c r="Q50">
        <f t="shared" si="6"/>
        <v>1</v>
      </c>
      <c r="R50">
        <f t="shared" si="7"/>
        <v>0</v>
      </c>
      <c r="S50">
        <f t="shared" si="8"/>
        <v>-58</v>
      </c>
    </row>
    <row r="51" spans="1:19" x14ac:dyDescent="0.3">
      <c r="A51" s="42">
        <v>44663</v>
      </c>
      <c r="B51" s="45" t="s">
        <v>20</v>
      </c>
      <c r="C51" s="44" t="s">
        <v>32</v>
      </c>
      <c r="D51" s="45">
        <v>2.39</v>
      </c>
      <c r="E51" s="45">
        <f t="shared" si="1"/>
        <v>139</v>
      </c>
      <c r="F51" s="45">
        <v>1.61</v>
      </c>
      <c r="G51" s="71">
        <f t="shared" si="2"/>
        <v>3.9528054263364254E-2</v>
      </c>
      <c r="H51" s="45">
        <v>2.2535729999999998</v>
      </c>
      <c r="I51" s="46">
        <f t="shared" si="3"/>
        <v>125.35729999999998</v>
      </c>
      <c r="J51" s="47">
        <f t="shared" si="4"/>
        <v>2.5329743823804596E-2</v>
      </c>
      <c r="K51" s="59">
        <v>44</v>
      </c>
      <c r="L51" s="45">
        <v>0.2</v>
      </c>
      <c r="M51" s="64">
        <f t="shared" si="9"/>
        <v>61.160000000000004</v>
      </c>
      <c r="N51" s="64">
        <f>+M51</f>
        <v>61.160000000000004</v>
      </c>
      <c r="O51" s="45" t="s">
        <v>77</v>
      </c>
      <c r="P51">
        <f t="shared" si="5"/>
        <v>1</v>
      </c>
      <c r="Q51">
        <f t="shared" si="6"/>
        <v>1</v>
      </c>
      <c r="R51">
        <f t="shared" si="7"/>
        <v>0</v>
      </c>
      <c r="S51">
        <f t="shared" si="8"/>
        <v>61.160000000000004</v>
      </c>
    </row>
    <row r="52" spans="1:19" x14ac:dyDescent="0.3">
      <c r="A52" s="42">
        <v>44663</v>
      </c>
      <c r="B52" s="44" t="s">
        <v>15</v>
      </c>
      <c r="C52" s="45" t="s">
        <v>33</v>
      </c>
      <c r="D52" s="45">
        <v>2.4</v>
      </c>
      <c r="E52" s="45">
        <f t="shared" si="1"/>
        <v>140</v>
      </c>
      <c r="F52" s="45">
        <v>1.61</v>
      </c>
      <c r="G52" s="71">
        <f t="shared" si="2"/>
        <v>3.7784679089026829E-2</v>
      </c>
      <c r="H52" s="45">
        <v>2.6265849999999999</v>
      </c>
      <c r="I52" s="46">
        <f t="shared" si="3"/>
        <v>162.6585</v>
      </c>
      <c r="J52" s="47">
        <f t="shared" si="4"/>
        <v>-3.5944169583952801E-2</v>
      </c>
      <c r="K52" s="59">
        <v>43</v>
      </c>
      <c r="L52" s="45">
        <v>0.2</v>
      </c>
      <c r="M52" s="64">
        <f t="shared" si="9"/>
        <v>60.199999999999996</v>
      </c>
      <c r="N52" s="64">
        <f>-K52</f>
        <v>-43</v>
      </c>
      <c r="O52" s="45" t="s">
        <v>75</v>
      </c>
      <c r="P52">
        <f t="shared" si="5"/>
        <v>0</v>
      </c>
      <c r="Q52">
        <f t="shared" si="6"/>
        <v>1</v>
      </c>
      <c r="R52">
        <f t="shared" si="7"/>
        <v>0</v>
      </c>
      <c r="S52">
        <f t="shared" si="8"/>
        <v>-43</v>
      </c>
    </row>
    <row r="53" spans="1:19" x14ac:dyDescent="0.3">
      <c r="A53" s="42">
        <v>44663</v>
      </c>
      <c r="B53" s="45" t="s">
        <v>17</v>
      </c>
      <c r="C53" s="44" t="s">
        <v>22</v>
      </c>
      <c r="D53" s="45">
        <v>2.35</v>
      </c>
      <c r="E53" s="45">
        <f t="shared" si="1"/>
        <v>135</v>
      </c>
      <c r="F53" s="45">
        <v>1.63</v>
      </c>
      <c r="G53" s="71">
        <f t="shared" si="2"/>
        <v>3.9028847408954404E-2</v>
      </c>
      <c r="H53" s="45">
        <v>2.2200000000000002</v>
      </c>
      <c r="I53" s="48">
        <f t="shared" si="3"/>
        <v>122.00000000000001</v>
      </c>
      <c r="J53" s="47">
        <f t="shared" si="4"/>
        <v>2.4918535556833377E-2</v>
      </c>
      <c r="K53" s="59">
        <v>45</v>
      </c>
      <c r="L53" s="45">
        <v>0.2</v>
      </c>
      <c r="M53" s="64">
        <f t="shared" si="9"/>
        <v>60.750000000000007</v>
      </c>
      <c r="N53" s="64">
        <f>-K53</f>
        <v>-45</v>
      </c>
      <c r="O53" s="45" t="s">
        <v>75</v>
      </c>
      <c r="P53">
        <f t="shared" si="5"/>
        <v>0</v>
      </c>
      <c r="Q53">
        <f t="shared" si="6"/>
        <v>1</v>
      </c>
      <c r="R53">
        <f t="shared" si="7"/>
        <v>0</v>
      </c>
      <c r="S53">
        <f t="shared" si="8"/>
        <v>-45</v>
      </c>
    </row>
    <row r="54" spans="1:19" x14ac:dyDescent="0.3">
      <c r="A54" s="42">
        <v>44663</v>
      </c>
      <c r="B54" s="45" t="s">
        <v>35</v>
      </c>
      <c r="C54" s="44" t="s">
        <v>34</v>
      </c>
      <c r="D54" s="45">
        <v>1.94</v>
      </c>
      <c r="E54" s="48">
        <f t="shared" si="1"/>
        <v>-106.38297872340426</v>
      </c>
      <c r="F54" s="45">
        <v>1.9</v>
      </c>
      <c r="G54" s="71">
        <f t="shared" si="2"/>
        <v>4.1779706999457433E-2</v>
      </c>
      <c r="H54" s="45">
        <v>1.878158</v>
      </c>
      <c r="I54" s="48">
        <f t="shared" si="3"/>
        <v>-113.87472413848077</v>
      </c>
      <c r="J54" s="47">
        <f t="shared" si="4"/>
        <v>1.6972650643677922E-2</v>
      </c>
      <c r="K54" s="59">
        <v>30</v>
      </c>
      <c r="L54" s="45">
        <v>0.2</v>
      </c>
      <c r="M54" s="64">
        <f t="shared" si="9"/>
        <v>28.2</v>
      </c>
      <c r="N54" s="64">
        <v>-30</v>
      </c>
      <c r="O54" s="45" t="s">
        <v>77</v>
      </c>
      <c r="P54">
        <f t="shared" si="5"/>
        <v>0</v>
      </c>
      <c r="Q54">
        <f t="shared" si="6"/>
        <v>0</v>
      </c>
      <c r="R54">
        <f t="shared" si="7"/>
        <v>-30</v>
      </c>
      <c r="S54">
        <f t="shared" si="8"/>
        <v>0</v>
      </c>
    </row>
    <row r="55" spans="1:19" x14ac:dyDescent="0.3">
      <c r="A55" s="51">
        <v>44664</v>
      </c>
      <c r="B55" s="52" t="s">
        <v>21</v>
      </c>
      <c r="C55" s="53" t="s">
        <v>88</v>
      </c>
      <c r="D55" s="52">
        <v>2.88</v>
      </c>
      <c r="E55" s="52">
        <f t="shared" si="1"/>
        <v>188</v>
      </c>
      <c r="F55" s="52">
        <v>1.42</v>
      </c>
      <c r="G55" s="72">
        <f t="shared" si="2"/>
        <v>5.1447574334898327E-2</v>
      </c>
      <c r="H55" s="52">
        <v>2.31</v>
      </c>
      <c r="I55" s="54">
        <f t="shared" si="3"/>
        <v>131</v>
      </c>
      <c r="J55" s="55">
        <f t="shared" si="4"/>
        <v>8.5678210678210687E-2</v>
      </c>
      <c r="K55" s="60">
        <v>64</v>
      </c>
      <c r="L55" s="52">
        <v>1</v>
      </c>
      <c r="M55" s="65">
        <f t="shared" si="9"/>
        <v>120.32</v>
      </c>
      <c r="N55" s="65">
        <f>+M55</f>
        <v>120.32</v>
      </c>
      <c r="O55" s="52" t="s">
        <v>75</v>
      </c>
      <c r="P55">
        <f t="shared" si="5"/>
        <v>1</v>
      </c>
      <c r="Q55">
        <f t="shared" si="6"/>
        <v>1</v>
      </c>
      <c r="R55">
        <f t="shared" si="7"/>
        <v>0</v>
      </c>
      <c r="S55">
        <f t="shared" si="8"/>
        <v>120.32</v>
      </c>
    </row>
    <row r="56" spans="1:19" x14ac:dyDescent="0.3">
      <c r="A56" s="51">
        <v>44664</v>
      </c>
      <c r="B56" s="52" t="s">
        <v>29</v>
      </c>
      <c r="C56" s="53" t="s">
        <v>26</v>
      </c>
      <c r="D56" s="52">
        <v>2.1</v>
      </c>
      <c r="E56" s="52">
        <f t="shared" si="1"/>
        <v>110.00000000000001</v>
      </c>
      <c r="F56" s="52">
        <v>1.78</v>
      </c>
      <c r="G56" s="72">
        <f t="shared" si="2"/>
        <v>3.7988228999465079E-2</v>
      </c>
      <c r="H56" s="52">
        <v>1.92</v>
      </c>
      <c r="I56" s="54">
        <f t="shared" si="3"/>
        <v>-108.69565217391305</v>
      </c>
      <c r="J56" s="55">
        <f t="shared" si="4"/>
        <v>4.4642857142857206E-2</v>
      </c>
      <c r="K56" s="60">
        <v>55</v>
      </c>
      <c r="L56" s="52">
        <v>0.5</v>
      </c>
      <c r="M56" s="65">
        <f t="shared" si="9"/>
        <v>60.500000000000007</v>
      </c>
      <c r="N56" s="65">
        <f>-K56</f>
        <v>-55</v>
      </c>
      <c r="O56" s="52" t="s">
        <v>76</v>
      </c>
      <c r="P56">
        <f t="shared" si="5"/>
        <v>0</v>
      </c>
      <c r="Q56">
        <f t="shared" si="6"/>
        <v>1</v>
      </c>
      <c r="R56">
        <f t="shared" si="7"/>
        <v>0</v>
      </c>
      <c r="S56">
        <f t="shared" si="8"/>
        <v>-55</v>
      </c>
    </row>
    <row r="57" spans="1:19" x14ac:dyDescent="0.3">
      <c r="A57" s="51">
        <v>44664</v>
      </c>
      <c r="B57" s="52" t="s">
        <v>27</v>
      </c>
      <c r="C57" s="53" t="s">
        <v>12</v>
      </c>
      <c r="D57" s="52">
        <v>2.1</v>
      </c>
      <c r="E57" s="52">
        <f t="shared" si="1"/>
        <v>110.00000000000001</v>
      </c>
      <c r="F57" s="52">
        <v>1.77</v>
      </c>
      <c r="G57" s="72">
        <f t="shared" si="2"/>
        <v>4.1162227602905554E-2</v>
      </c>
      <c r="H57" s="52">
        <v>1.95</v>
      </c>
      <c r="I57" s="54">
        <f t="shared" si="3"/>
        <v>-105.26315789473685</v>
      </c>
      <c r="J57" s="55">
        <f t="shared" si="4"/>
        <v>3.6630036630036722E-2</v>
      </c>
      <c r="K57" s="60">
        <v>55</v>
      </c>
      <c r="L57" s="52">
        <v>0.5</v>
      </c>
      <c r="M57" s="65">
        <f t="shared" si="9"/>
        <v>60.500000000000007</v>
      </c>
      <c r="N57" s="65">
        <f>+M57</f>
        <v>60.500000000000007</v>
      </c>
      <c r="O57" s="52" t="s">
        <v>75</v>
      </c>
      <c r="P57">
        <f t="shared" si="5"/>
        <v>1</v>
      </c>
      <c r="Q57">
        <f t="shared" si="6"/>
        <v>1</v>
      </c>
      <c r="R57">
        <f t="shared" si="7"/>
        <v>0</v>
      </c>
      <c r="S57">
        <f t="shared" si="8"/>
        <v>60.500000000000007</v>
      </c>
    </row>
    <row r="58" spans="1:19" x14ac:dyDescent="0.3">
      <c r="A58" s="51">
        <v>44664</v>
      </c>
      <c r="B58" s="52" t="s">
        <v>24</v>
      </c>
      <c r="C58" s="53" t="s">
        <v>23</v>
      </c>
      <c r="D58" s="52">
        <v>1.96</v>
      </c>
      <c r="E58" s="54">
        <f t="shared" si="1"/>
        <v>-104.16666666666667</v>
      </c>
      <c r="F58" s="52">
        <v>1.88</v>
      </c>
      <c r="G58" s="72">
        <f t="shared" si="2"/>
        <v>4.2118975249674229E-2</v>
      </c>
      <c r="H58" s="52">
        <v>1.69</v>
      </c>
      <c r="I58" s="54">
        <f t="shared" si="3"/>
        <v>-144.92753623188406</v>
      </c>
      <c r="J58" s="55">
        <f t="shared" si="4"/>
        <v>8.1511894698707898E-2</v>
      </c>
      <c r="K58" s="60">
        <v>120</v>
      </c>
      <c r="L58" s="52">
        <v>1</v>
      </c>
      <c r="M58" s="65">
        <f t="shared" si="9"/>
        <v>115.19999999999999</v>
      </c>
      <c r="N58" s="65">
        <f>+M58</f>
        <v>115.19999999999999</v>
      </c>
      <c r="O58" s="52" t="s">
        <v>77</v>
      </c>
      <c r="P58">
        <f t="shared" si="5"/>
        <v>1</v>
      </c>
      <c r="Q58">
        <f t="shared" si="6"/>
        <v>0</v>
      </c>
      <c r="R58">
        <f t="shared" si="7"/>
        <v>115.19999999999999</v>
      </c>
      <c r="S58">
        <f t="shared" si="8"/>
        <v>0</v>
      </c>
    </row>
    <row r="59" spans="1:19" x14ac:dyDescent="0.3">
      <c r="A59" s="51">
        <v>44664</v>
      </c>
      <c r="B59" s="53" t="s">
        <v>13</v>
      </c>
      <c r="C59" s="52" t="s">
        <v>7</v>
      </c>
      <c r="D59" s="52">
        <v>2.1</v>
      </c>
      <c r="E59" s="52">
        <f t="shared" si="1"/>
        <v>110.00000000000001</v>
      </c>
      <c r="F59" s="52">
        <v>1.77</v>
      </c>
      <c r="G59" s="72">
        <f t="shared" si="2"/>
        <v>4.1162227602905554E-2</v>
      </c>
      <c r="H59" s="52">
        <v>2.0299999999999998</v>
      </c>
      <c r="I59" s="54">
        <f t="shared" si="3"/>
        <v>102.99999999999999</v>
      </c>
      <c r="J59" s="55">
        <f t="shared" si="4"/>
        <v>1.6420361247947546E-2</v>
      </c>
      <c r="K59" s="60">
        <v>30</v>
      </c>
      <c r="L59" s="52">
        <v>0.2</v>
      </c>
      <c r="M59" s="65">
        <f t="shared" si="9"/>
        <v>33</v>
      </c>
      <c r="N59" s="65">
        <f>-K59</f>
        <v>-30</v>
      </c>
      <c r="O59" s="52" t="s">
        <v>77</v>
      </c>
      <c r="P59">
        <f t="shared" si="5"/>
        <v>0</v>
      </c>
      <c r="Q59">
        <f t="shared" si="6"/>
        <v>1</v>
      </c>
      <c r="R59">
        <f t="shared" si="7"/>
        <v>0</v>
      </c>
      <c r="S59">
        <f t="shared" si="8"/>
        <v>-30</v>
      </c>
    </row>
    <row r="60" spans="1:19" x14ac:dyDescent="0.3">
      <c r="A60" s="28">
        <v>44664</v>
      </c>
      <c r="B60" s="52" t="s">
        <v>8</v>
      </c>
      <c r="C60" s="53" t="s">
        <v>10</v>
      </c>
      <c r="D60" s="52">
        <v>2.4500000000000002</v>
      </c>
      <c r="E60" s="52">
        <f t="shared" si="1"/>
        <v>145.00000000000003</v>
      </c>
      <c r="F60" s="52">
        <v>1.57</v>
      </c>
      <c r="G60" s="72">
        <f t="shared" si="2"/>
        <v>4.5105940465357985E-2</v>
      </c>
      <c r="H60" s="52">
        <v>2.2200000000000002</v>
      </c>
      <c r="I60" s="54">
        <f t="shared" si="3"/>
        <v>122.00000000000001</v>
      </c>
      <c r="J60" s="55">
        <f t="shared" si="4"/>
        <v>4.2287185144327999E-2</v>
      </c>
      <c r="K60" s="60">
        <v>62</v>
      </c>
      <c r="L60" s="52">
        <v>0.5</v>
      </c>
      <c r="M60" s="65">
        <f t="shared" si="9"/>
        <v>89.9</v>
      </c>
      <c r="N60" s="62">
        <f>+M60</f>
        <v>89.9</v>
      </c>
      <c r="O60" s="7" t="s">
        <v>75</v>
      </c>
      <c r="P60">
        <f t="shared" si="5"/>
        <v>1</v>
      </c>
      <c r="Q60">
        <f t="shared" si="6"/>
        <v>1</v>
      </c>
      <c r="R60">
        <f t="shared" si="7"/>
        <v>0</v>
      </c>
      <c r="S60">
        <f t="shared" si="8"/>
        <v>89.9</v>
      </c>
    </row>
    <row r="61" spans="1:19" x14ac:dyDescent="0.3">
      <c r="A61" s="28">
        <v>44664</v>
      </c>
      <c r="B61" s="52" t="s">
        <v>35</v>
      </c>
      <c r="C61" s="53" t="s">
        <v>34</v>
      </c>
      <c r="D61" s="52">
        <v>2.0699999999999998</v>
      </c>
      <c r="E61" s="52">
        <f t="shared" si="1"/>
        <v>106.99999999999999</v>
      </c>
      <c r="F61" s="52">
        <v>1.79</v>
      </c>
      <c r="G61" s="72">
        <f t="shared" si="2"/>
        <v>4.17510053167085E-2</v>
      </c>
      <c r="H61" s="52">
        <v>1.8779999999999999</v>
      </c>
      <c r="I61" s="54">
        <f t="shared" si="3"/>
        <v>-113.89521640091118</v>
      </c>
      <c r="J61" s="55">
        <f t="shared" si="4"/>
        <v>4.9389575712676104E-2</v>
      </c>
      <c r="K61" s="60">
        <v>60</v>
      </c>
      <c r="L61" s="52">
        <v>0.5</v>
      </c>
      <c r="M61" s="65">
        <f t="shared" si="9"/>
        <v>64.199999999999989</v>
      </c>
      <c r="N61" s="62">
        <f>-K61</f>
        <v>-60</v>
      </c>
      <c r="O61" s="52" t="s">
        <v>77</v>
      </c>
      <c r="P61">
        <f t="shared" si="5"/>
        <v>0</v>
      </c>
      <c r="Q61">
        <f t="shared" si="6"/>
        <v>1</v>
      </c>
      <c r="R61">
        <f t="shared" si="7"/>
        <v>0</v>
      </c>
      <c r="S61">
        <f t="shared" si="8"/>
        <v>-60</v>
      </c>
    </row>
    <row r="62" spans="1:19" x14ac:dyDescent="0.3">
      <c r="A62" s="42">
        <v>44665</v>
      </c>
      <c r="B62" s="45" t="s">
        <v>9</v>
      </c>
      <c r="C62" s="44" t="s">
        <v>18</v>
      </c>
      <c r="D62" s="45">
        <v>2.86</v>
      </c>
      <c r="E62" s="45">
        <f t="shared" si="1"/>
        <v>186</v>
      </c>
      <c r="F62" s="45">
        <v>1.43</v>
      </c>
      <c r="G62" s="71">
        <f t="shared" si="2"/>
        <v>4.8951048951049181E-2</v>
      </c>
      <c r="H62" s="45">
        <v>2.5819999999999999</v>
      </c>
      <c r="I62" s="45">
        <f t="shared" si="3"/>
        <v>158.19999999999999</v>
      </c>
      <c r="J62" s="47">
        <f t="shared" si="4"/>
        <v>3.7646319598294786E-2</v>
      </c>
      <c r="K62" s="59">
        <v>54</v>
      </c>
      <c r="L62" s="45">
        <v>0.5</v>
      </c>
      <c r="M62" s="64">
        <f t="shared" si="9"/>
        <v>100.44</v>
      </c>
      <c r="N62" s="64">
        <f>+M62</f>
        <v>100.44</v>
      </c>
      <c r="O62" s="45" t="s">
        <v>77</v>
      </c>
      <c r="P62">
        <f t="shared" si="5"/>
        <v>1</v>
      </c>
      <c r="Q62">
        <f t="shared" si="6"/>
        <v>1</v>
      </c>
      <c r="R62">
        <f t="shared" si="7"/>
        <v>0</v>
      </c>
      <c r="S62">
        <f t="shared" si="8"/>
        <v>100.44</v>
      </c>
    </row>
    <row r="63" spans="1:19" x14ac:dyDescent="0.3">
      <c r="A63" s="42">
        <v>44665</v>
      </c>
      <c r="B63" s="45" t="s">
        <v>28</v>
      </c>
      <c r="C63" s="44" t="s">
        <v>30</v>
      </c>
      <c r="D63" s="45">
        <v>2.25</v>
      </c>
      <c r="E63" s="45">
        <f t="shared" si="1"/>
        <v>125</v>
      </c>
      <c r="F63" s="45">
        <v>1.69</v>
      </c>
      <c r="G63" s="71">
        <f t="shared" si="2"/>
        <v>3.6160420775805502E-2</v>
      </c>
      <c r="H63" s="45">
        <v>1.9704360000000001</v>
      </c>
      <c r="I63" s="48">
        <f t="shared" si="3"/>
        <v>-103.04646571231899</v>
      </c>
      <c r="J63" s="47">
        <f t="shared" si="4"/>
        <v>6.3057448537616412E-2</v>
      </c>
      <c r="K63" s="59">
        <v>80</v>
      </c>
      <c r="L63" s="45">
        <v>1</v>
      </c>
      <c r="M63" s="64">
        <f t="shared" si="9"/>
        <v>100</v>
      </c>
      <c r="N63" s="64">
        <f>-K63</f>
        <v>-80</v>
      </c>
      <c r="O63" s="45" t="s">
        <v>75</v>
      </c>
      <c r="P63">
        <f t="shared" si="5"/>
        <v>0</v>
      </c>
      <c r="Q63">
        <f t="shared" si="6"/>
        <v>1</v>
      </c>
      <c r="R63">
        <f t="shared" si="7"/>
        <v>0</v>
      </c>
      <c r="S63">
        <f t="shared" si="8"/>
        <v>-80</v>
      </c>
    </row>
    <row r="64" spans="1:19" x14ac:dyDescent="0.3">
      <c r="A64" s="42">
        <v>44665</v>
      </c>
      <c r="B64" s="45" t="s">
        <v>29</v>
      </c>
      <c r="C64" s="44" t="s">
        <v>25</v>
      </c>
      <c r="D64" s="45">
        <v>2.11</v>
      </c>
      <c r="E64" s="45">
        <f t="shared" si="1"/>
        <v>110.99999999999999</v>
      </c>
      <c r="F64" s="45">
        <v>1.73</v>
      </c>
      <c r="G64" s="71">
        <f t="shared" si="2"/>
        <v>5.1968331370024323E-2</v>
      </c>
      <c r="H64" s="45">
        <v>2.0087600000000001</v>
      </c>
      <c r="I64" s="48">
        <f t="shared" si="3"/>
        <v>100.876</v>
      </c>
      <c r="J64" s="47">
        <f t="shared" si="4"/>
        <v>2.3885901080282546E-2</v>
      </c>
      <c r="K64" s="59">
        <v>60</v>
      </c>
      <c r="L64" s="45">
        <v>0.5</v>
      </c>
      <c r="M64" s="64">
        <f t="shared" si="9"/>
        <v>66.599999999999994</v>
      </c>
      <c r="N64" s="64">
        <f>-K64</f>
        <v>-60</v>
      </c>
      <c r="O64" s="45" t="s">
        <v>77</v>
      </c>
      <c r="P64">
        <f t="shared" si="5"/>
        <v>0</v>
      </c>
      <c r="Q64">
        <f t="shared" si="6"/>
        <v>1</v>
      </c>
      <c r="R64">
        <f t="shared" si="7"/>
        <v>0</v>
      </c>
      <c r="S64">
        <f t="shared" si="8"/>
        <v>-60</v>
      </c>
    </row>
    <row r="65" spans="1:19" x14ac:dyDescent="0.3">
      <c r="A65" s="42">
        <v>44665</v>
      </c>
      <c r="B65" s="44" t="s">
        <v>34</v>
      </c>
      <c r="C65" s="45" t="s">
        <v>21</v>
      </c>
      <c r="D65" s="45">
        <v>1.92</v>
      </c>
      <c r="E65" s="48">
        <f t="shared" si="1"/>
        <v>-108.69565217391305</v>
      </c>
      <c r="F65" s="45">
        <v>1.92</v>
      </c>
      <c r="G65" s="71">
        <f t="shared" si="2"/>
        <v>4.1666666666666741E-2</v>
      </c>
      <c r="H65" s="45">
        <v>1.8461320000000001</v>
      </c>
      <c r="I65" s="48">
        <f t="shared" si="3"/>
        <v>-118.18486950026708</v>
      </c>
      <c r="J65" s="47">
        <f t="shared" si="4"/>
        <v>2.0839743131404798E-2</v>
      </c>
      <c r="K65" s="59">
        <v>33</v>
      </c>
      <c r="L65" s="45">
        <v>0.2</v>
      </c>
      <c r="M65" s="64">
        <f t="shared" si="9"/>
        <v>30.36</v>
      </c>
      <c r="N65" s="64">
        <f>+M65</f>
        <v>30.36</v>
      </c>
      <c r="O65" s="45" t="s">
        <v>77</v>
      </c>
      <c r="P65">
        <f t="shared" si="5"/>
        <v>1</v>
      </c>
      <c r="Q65">
        <f t="shared" si="6"/>
        <v>0</v>
      </c>
      <c r="R65">
        <f t="shared" si="7"/>
        <v>30.36</v>
      </c>
      <c r="S65">
        <f t="shared" si="8"/>
        <v>0</v>
      </c>
    </row>
    <row r="66" spans="1:19" x14ac:dyDescent="0.3">
      <c r="A66" s="42">
        <v>44665</v>
      </c>
      <c r="B66" s="45" t="s">
        <v>14</v>
      </c>
      <c r="C66" s="44" t="s">
        <v>13</v>
      </c>
      <c r="D66" s="45">
        <v>2.15</v>
      </c>
      <c r="E66" s="45">
        <f t="shared" si="1"/>
        <v>114.99999999999999</v>
      </c>
      <c r="F66" s="45">
        <v>1.74</v>
      </c>
      <c r="G66" s="71">
        <f t="shared" si="2"/>
        <v>3.9828922747928264E-2</v>
      </c>
      <c r="H66" s="45">
        <v>1.8235779999999999</v>
      </c>
      <c r="I66" s="48">
        <f t="shared" si="3"/>
        <v>-121.42140756552507</v>
      </c>
      <c r="J66" s="47">
        <f t="shared" si="4"/>
        <v>8.3256206231108132E-2</v>
      </c>
      <c r="K66" s="59">
        <v>115</v>
      </c>
      <c r="L66" s="45">
        <v>1</v>
      </c>
      <c r="M66" s="64">
        <f t="shared" si="9"/>
        <v>132.25</v>
      </c>
      <c r="N66" s="64">
        <f>+M66</f>
        <v>132.25</v>
      </c>
      <c r="O66" s="45" t="s">
        <v>75</v>
      </c>
      <c r="P66">
        <f t="shared" si="5"/>
        <v>1</v>
      </c>
      <c r="Q66">
        <f t="shared" si="6"/>
        <v>1</v>
      </c>
      <c r="R66">
        <f t="shared" si="7"/>
        <v>0</v>
      </c>
      <c r="S66">
        <f t="shared" si="8"/>
        <v>132.25</v>
      </c>
    </row>
    <row r="67" spans="1:19" x14ac:dyDescent="0.3">
      <c r="A67" s="42">
        <v>44665</v>
      </c>
      <c r="B67" s="44" t="s">
        <v>20</v>
      </c>
      <c r="C67" s="45" t="s">
        <v>17</v>
      </c>
      <c r="D67" s="45">
        <v>2.2999999999999998</v>
      </c>
      <c r="E67" s="45">
        <f t="shared" ref="E67:E186" si="10">+IF(D67&gt;2,(D67-1)*100,-100/(D67-1))</f>
        <v>129.99999999999997</v>
      </c>
      <c r="F67" s="45">
        <v>1.65</v>
      </c>
      <c r="G67" s="71">
        <f t="shared" ref="G67:G156" si="11">+((1/D67)+(1/F67)-1)</f>
        <v>4.0843214756258295E-2</v>
      </c>
      <c r="H67" s="45">
        <v>2.0999140000000001</v>
      </c>
      <c r="I67" s="48">
        <f t="shared" ref="I67:I186" si="12">+IF(H67&gt;2,(H67-1)*100,-100/(H67-1))</f>
        <v>109.9914</v>
      </c>
      <c r="J67" s="47">
        <f t="shared" ref="J67:J120" si="13">(1/H67)-(1/D67)</f>
        <v>4.1427369427261385E-2</v>
      </c>
      <c r="K67" s="59">
        <v>51</v>
      </c>
      <c r="L67" s="45">
        <v>0.5</v>
      </c>
      <c r="M67" s="64">
        <f t="shared" si="9"/>
        <v>66.3</v>
      </c>
      <c r="N67" s="64">
        <f>+M67</f>
        <v>66.3</v>
      </c>
      <c r="O67" s="45" t="s">
        <v>75</v>
      </c>
      <c r="P67">
        <f t="shared" ref="P67:P130" si="14">+IF(N67&gt;0,1,0)</f>
        <v>1</v>
      </c>
      <c r="Q67">
        <f t="shared" ref="Q67:Q130" si="15">+IF(D67&gt;2,1,0)</f>
        <v>1</v>
      </c>
      <c r="R67">
        <f t="shared" ref="R67:R130" si="16">+IF(Q67=0,N67,0)</f>
        <v>0</v>
      </c>
      <c r="S67">
        <f t="shared" ref="S67:S130" si="17">+IF(Q67=1,N67,0)</f>
        <v>66.3</v>
      </c>
    </row>
    <row r="68" spans="1:19" x14ac:dyDescent="0.3">
      <c r="A68" s="42">
        <v>44665</v>
      </c>
      <c r="B68" s="45" t="s">
        <v>32</v>
      </c>
      <c r="C68" s="44" t="s">
        <v>26</v>
      </c>
      <c r="D68" s="45">
        <v>2.11</v>
      </c>
      <c r="E68" s="45">
        <f t="shared" si="10"/>
        <v>110.99999999999999</v>
      </c>
      <c r="F68" s="45">
        <v>1.73</v>
      </c>
      <c r="G68" s="71">
        <f t="shared" si="11"/>
        <v>5.1968331370024323E-2</v>
      </c>
      <c r="H68" s="45">
        <v>1.8769400000000001</v>
      </c>
      <c r="I68" s="48">
        <f t="shared" si="12"/>
        <v>-114.03288708463521</v>
      </c>
      <c r="J68" s="47">
        <f t="shared" si="13"/>
        <v>5.8848432183936317E-2</v>
      </c>
      <c r="K68" s="59">
        <v>90</v>
      </c>
      <c r="L68" s="45">
        <v>0.5</v>
      </c>
      <c r="M68" s="64">
        <f t="shared" si="9"/>
        <v>99.899999999999991</v>
      </c>
      <c r="N68" s="64">
        <f>+M68</f>
        <v>99.899999999999991</v>
      </c>
      <c r="O68" s="45" t="s">
        <v>77</v>
      </c>
      <c r="P68">
        <f t="shared" si="14"/>
        <v>1</v>
      </c>
      <c r="Q68">
        <f t="shared" si="15"/>
        <v>1</v>
      </c>
      <c r="R68">
        <f t="shared" si="16"/>
        <v>0</v>
      </c>
      <c r="S68">
        <f t="shared" si="17"/>
        <v>99.899999999999991</v>
      </c>
    </row>
    <row r="69" spans="1:19" x14ac:dyDescent="0.3">
      <c r="A69" s="42">
        <v>44665</v>
      </c>
      <c r="B69" s="45" t="s">
        <v>33</v>
      </c>
      <c r="C69" s="44" t="s">
        <v>27</v>
      </c>
      <c r="D69" s="45">
        <v>3.27</v>
      </c>
      <c r="E69" s="45">
        <f t="shared" si="10"/>
        <v>227</v>
      </c>
      <c r="F69" s="45">
        <v>1.34</v>
      </c>
      <c r="G69" s="71">
        <f t="shared" si="11"/>
        <v>5.2079054269934755E-2</v>
      </c>
      <c r="H69" s="45">
        <v>2.8735300000000001</v>
      </c>
      <c r="I69" s="48">
        <f t="shared" si="12"/>
        <v>187.35300000000001</v>
      </c>
      <c r="J69" s="47">
        <f t="shared" si="13"/>
        <v>4.2193625372988208E-2</v>
      </c>
      <c r="K69" s="59">
        <v>44</v>
      </c>
      <c r="L69" s="45">
        <v>0.5</v>
      </c>
      <c r="M69" s="64">
        <f t="shared" si="9"/>
        <v>99.88</v>
      </c>
      <c r="N69" s="64">
        <f>-K69</f>
        <v>-44</v>
      </c>
      <c r="O69" s="45" t="s">
        <v>77</v>
      </c>
      <c r="P69">
        <f t="shared" si="14"/>
        <v>0</v>
      </c>
      <c r="Q69">
        <f t="shared" si="15"/>
        <v>1</v>
      </c>
      <c r="R69">
        <f t="shared" si="16"/>
        <v>0</v>
      </c>
      <c r="S69">
        <f t="shared" si="17"/>
        <v>-44</v>
      </c>
    </row>
    <row r="70" spans="1:19" x14ac:dyDescent="0.3">
      <c r="A70" s="28">
        <v>44666</v>
      </c>
      <c r="B70" s="7" t="s">
        <v>7</v>
      </c>
      <c r="C70" s="26" t="s">
        <v>15</v>
      </c>
      <c r="D70" s="7">
        <v>2.1</v>
      </c>
      <c r="E70" s="7">
        <f t="shared" si="10"/>
        <v>110.00000000000001</v>
      </c>
      <c r="F70" s="7">
        <v>1.75</v>
      </c>
      <c r="G70" s="69">
        <f t="shared" si="11"/>
        <v>4.761904761904745E-2</v>
      </c>
      <c r="H70" s="7">
        <v>2.0457320000000001</v>
      </c>
      <c r="I70" s="56">
        <f t="shared" si="12"/>
        <v>104.57320000000001</v>
      </c>
      <c r="J70" s="55">
        <f t="shared" si="13"/>
        <v>1.2632106630733997E-2</v>
      </c>
      <c r="K70" s="16">
        <v>34</v>
      </c>
      <c r="L70" s="7">
        <v>0.2</v>
      </c>
      <c r="M70" s="62">
        <f t="shared" si="9"/>
        <v>37.400000000000006</v>
      </c>
      <c r="N70" s="62">
        <f>+M70</f>
        <v>37.400000000000006</v>
      </c>
      <c r="O70" s="7" t="s">
        <v>76</v>
      </c>
      <c r="P70">
        <f t="shared" si="14"/>
        <v>1</v>
      </c>
      <c r="Q70">
        <f t="shared" si="15"/>
        <v>1</v>
      </c>
      <c r="R70">
        <f t="shared" si="16"/>
        <v>0</v>
      </c>
      <c r="S70">
        <f t="shared" si="17"/>
        <v>37.400000000000006</v>
      </c>
    </row>
    <row r="71" spans="1:19" x14ac:dyDescent="0.3">
      <c r="A71" s="28">
        <v>44666</v>
      </c>
      <c r="B71" s="7" t="s">
        <v>23</v>
      </c>
      <c r="C71" s="26" t="s">
        <v>31</v>
      </c>
      <c r="D71" s="7">
        <v>3.07</v>
      </c>
      <c r="E71" s="7">
        <f t="shared" si="10"/>
        <v>206.99999999999997</v>
      </c>
      <c r="F71" s="7">
        <v>1.38</v>
      </c>
      <c r="G71" s="69">
        <f t="shared" si="11"/>
        <v>5.0370580182221847E-2</v>
      </c>
      <c r="H71" s="7">
        <v>2.93</v>
      </c>
      <c r="I71" s="7">
        <f t="shared" si="12"/>
        <v>193.00000000000003</v>
      </c>
      <c r="J71" s="55">
        <f t="shared" si="13"/>
        <v>1.5564029304843685E-2</v>
      </c>
      <c r="K71" s="16">
        <v>17</v>
      </c>
      <c r="L71" s="7">
        <v>0.2</v>
      </c>
      <c r="M71" s="62">
        <f t="shared" si="9"/>
        <v>35.19</v>
      </c>
      <c r="N71" s="62">
        <f>-K71</f>
        <v>-17</v>
      </c>
      <c r="O71" s="7" t="s">
        <v>77</v>
      </c>
      <c r="P71">
        <f t="shared" si="14"/>
        <v>0</v>
      </c>
      <c r="Q71">
        <f t="shared" si="15"/>
        <v>1</v>
      </c>
      <c r="R71">
        <f t="shared" si="16"/>
        <v>0</v>
      </c>
      <c r="S71">
        <f t="shared" si="17"/>
        <v>-17</v>
      </c>
    </row>
    <row r="72" spans="1:19" x14ac:dyDescent="0.3">
      <c r="A72" s="28">
        <v>44666</v>
      </c>
      <c r="B72" s="7" t="s">
        <v>22</v>
      </c>
      <c r="C72" s="26" t="s">
        <v>24</v>
      </c>
      <c r="D72" s="7">
        <v>2.15</v>
      </c>
      <c r="E72" s="7">
        <f t="shared" si="10"/>
        <v>114.99999999999999</v>
      </c>
      <c r="F72" s="7">
        <v>1.74</v>
      </c>
      <c r="G72" s="69">
        <f t="shared" si="11"/>
        <v>3.9828922747928264E-2</v>
      </c>
      <c r="H72" s="7">
        <v>2.0779700000000001</v>
      </c>
      <c r="I72" s="56">
        <f t="shared" si="12"/>
        <v>107.79700000000001</v>
      </c>
      <c r="J72" s="55">
        <f t="shared" si="13"/>
        <v>1.6122622358068384E-2</v>
      </c>
      <c r="K72" s="16">
        <v>34</v>
      </c>
      <c r="L72" s="7">
        <v>0.2</v>
      </c>
      <c r="M72" s="62">
        <f t="shared" si="9"/>
        <v>39.099999999999994</v>
      </c>
      <c r="N72" s="62">
        <f>-K72</f>
        <v>-34</v>
      </c>
      <c r="O72" s="7" t="s">
        <v>75</v>
      </c>
      <c r="P72">
        <f t="shared" si="14"/>
        <v>0</v>
      </c>
      <c r="Q72">
        <f t="shared" si="15"/>
        <v>1</v>
      </c>
      <c r="R72">
        <f t="shared" si="16"/>
        <v>0</v>
      </c>
      <c r="S72">
        <f t="shared" si="17"/>
        <v>-34</v>
      </c>
    </row>
    <row r="73" spans="1:19" x14ac:dyDescent="0.3">
      <c r="A73" s="28">
        <v>44666</v>
      </c>
      <c r="B73" s="7" t="s">
        <v>6</v>
      </c>
      <c r="C73" s="26" t="s">
        <v>8</v>
      </c>
      <c r="D73" s="7">
        <v>1.5</v>
      </c>
      <c r="E73" s="7">
        <f t="shared" si="10"/>
        <v>-200</v>
      </c>
      <c r="F73" s="7">
        <v>2.65</v>
      </c>
      <c r="G73" s="69">
        <f t="shared" si="11"/>
        <v>4.4025157232704393E-2</v>
      </c>
      <c r="H73" s="7">
        <v>1.36852</v>
      </c>
      <c r="I73" s="56">
        <f t="shared" si="12"/>
        <v>-271.35569304244007</v>
      </c>
      <c r="J73" s="55">
        <f t="shared" si="13"/>
        <v>6.4049727686357083E-2</v>
      </c>
      <c r="K73" s="16">
        <v>68</v>
      </c>
      <c r="L73" s="7">
        <v>1</v>
      </c>
      <c r="M73" s="62">
        <f t="shared" si="9"/>
        <v>34</v>
      </c>
      <c r="N73" s="62">
        <f>-K73</f>
        <v>-68</v>
      </c>
      <c r="O73" s="7" t="s">
        <v>76</v>
      </c>
      <c r="P73">
        <f t="shared" si="14"/>
        <v>0</v>
      </c>
      <c r="Q73">
        <f t="shared" si="15"/>
        <v>0</v>
      </c>
      <c r="R73">
        <f t="shared" si="16"/>
        <v>-68</v>
      </c>
      <c r="S73">
        <f t="shared" si="17"/>
        <v>0</v>
      </c>
    </row>
    <row r="74" spans="1:19" x14ac:dyDescent="0.3">
      <c r="A74" s="28">
        <v>44666</v>
      </c>
      <c r="B74" s="7" t="s">
        <v>10</v>
      </c>
      <c r="C74" s="26" t="s">
        <v>18</v>
      </c>
      <c r="D74" s="7">
        <v>2.7</v>
      </c>
      <c r="E74" s="7">
        <f t="shared" si="10"/>
        <v>170.00000000000003</v>
      </c>
      <c r="F74" s="7">
        <v>1.49</v>
      </c>
      <c r="G74" s="69">
        <f t="shared" si="11"/>
        <v>4.1511309967685817E-2</v>
      </c>
      <c r="H74" s="7">
        <v>2.1904699999999999</v>
      </c>
      <c r="I74" s="56">
        <f t="shared" si="12"/>
        <v>119.047</v>
      </c>
      <c r="J74" s="55">
        <f t="shared" si="13"/>
        <v>8.615265893384294E-2</v>
      </c>
      <c r="K74" s="16">
        <v>78</v>
      </c>
      <c r="L74" s="7">
        <v>1</v>
      </c>
      <c r="M74" s="62">
        <f t="shared" si="9"/>
        <v>132.60000000000002</v>
      </c>
      <c r="N74" s="62">
        <f>-K74</f>
        <v>-78</v>
      </c>
      <c r="O74" s="7" t="s">
        <v>75</v>
      </c>
      <c r="P74">
        <f t="shared" si="14"/>
        <v>0</v>
      </c>
      <c r="Q74">
        <f t="shared" si="15"/>
        <v>1</v>
      </c>
      <c r="R74">
        <f t="shared" si="16"/>
        <v>0</v>
      </c>
      <c r="S74">
        <f t="shared" si="17"/>
        <v>-78</v>
      </c>
    </row>
    <row r="75" spans="1:19" x14ac:dyDescent="0.3">
      <c r="A75" s="28">
        <v>44666</v>
      </c>
      <c r="B75" s="26" t="s">
        <v>12</v>
      </c>
      <c r="C75" s="7" t="s">
        <v>35</v>
      </c>
      <c r="D75" s="7">
        <v>2.35</v>
      </c>
      <c r="E75" s="7">
        <f t="shared" si="10"/>
        <v>135</v>
      </c>
      <c r="F75" s="7">
        <v>1.63</v>
      </c>
      <c r="G75" s="69">
        <f t="shared" si="11"/>
        <v>3.9028847408954404E-2</v>
      </c>
      <c r="H75" s="7">
        <v>2.1472959999999999</v>
      </c>
      <c r="I75" s="56">
        <f t="shared" si="12"/>
        <v>114.72959999999999</v>
      </c>
      <c r="J75" s="55">
        <f t="shared" si="13"/>
        <v>4.0170065643765851E-2</v>
      </c>
      <c r="K75" s="16">
        <v>60</v>
      </c>
      <c r="L75" s="7">
        <v>0.5</v>
      </c>
      <c r="M75" s="62">
        <f t="shared" si="9"/>
        <v>81</v>
      </c>
      <c r="N75" s="62">
        <f>-K75</f>
        <v>-60</v>
      </c>
      <c r="O75" s="7" t="s">
        <v>75</v>
      </c>
      <c r="P75">
        <f t="shared" si="14"/>
        <v>0</v>
      </c>
      <c r="Q75">
        <f t="shared" si="15"/>
        <v>1</v>
      </c>
      <c r="R75">
        <f t="shared" si="16"/>
        <v>0</v>
      </c>
      <c r="S75">
        <f t="shared" si="17"/>
        <v>-60</v>
      </c>
    </row>
    <row r="76" spans="1:19" x14ac:dyDescent="0.3">
      <c r="A76" s="28">
        <v>44666</v>
      </c>
      <c r="B76" s="7" t="s">
        <v>20</v>
      </c>
      <c r="C76" s="26" t="s">
        <v>17</v>
      </c>
      <c r="D76" s="7">
        <v>1.85</v>
      </c>
      <c r="E76" s="56">
        <f t="shared" si="10"/>
        <v>-117.64705882352941</v>
      </c>
      <c r="F76" s="7">
        <v>1.98</v>
      </c>
      <c r="G76" s="69">
        <f t="shared" si="11"/>
        <v>4.5591045591045543E-2</v>
      </c>
      <c r="H76" s="7">
        <v>1.8042899999999999</v>
      </c>
      <c r="I76" s="56">
        <f t="shared" si="12"/>
        <v>-124.33326287781772</v>
      </c>
      <c r="J76" s="55">
        <f t="shared" si="13"/>
        <v>1.3694089147591737E-2</v>
      </c>
      <c r="K76" s="16">
        <v>34</v>
      </c>
      <c r="L76" s="7">
        <v>0.2</v>
      </c>
      <c r="M76" s="62">
        <f t="shared" si="9"/>
        <v>28.900000000000002</v>
      </c>
      <c r="N76" s="62">
        <f>+M76</f>
        <v>28.900000000000002</v>
      </c>
      <c r="O76" s="7" t="s">
        <v>76</v>
      </c>
      <c r="P76">
        <f t="shared" si="14"/>
        <v>1</v>
      </c>
      <c r="Q76">
        <f t="shared" si="15"/>
        <v>0</v>
      </c>
      <c r="R76">
        <f t="shared" si="16"/>
        <v>28.900000000000002</v>
      </c>
      <c r="S76">
        <f t="shared" si="17"/>
        <v>0</v>
      </c>
    </row>
    <row r="77" spans="1:19" x14ac:dyDescent="0.3">
      <c r="A77" s="57">
        <v>44666</v>
      </c>
      <c r="B77" s="7" t="s">
        <v>14</v>
      </c>
      <c r="C77" s="26" t="s">
        <v>13</v>
      </c>
      <c r="D77" s="7">
        <v>2.11</v>
      </c>
      <c r="E77" s="7">
        <f t="shared" si="10"/>
        <v>110.99999999999999</v>
      </c>
      <c r="F77" s="7">
        <v>1.73</v>
      </c>
      <c r="G77" s="69">
        <f t="shared" si="11"/>
        <v>5.1968331370024323E-2</v>
      </c>
      <c r="H77" s="7">
        <v>1.870355</v>
      </c>
      <c r="I77" s="56">
        <f t="shared" si="12"/>
        <v>-114.89564602949372</v>
      </c>
      <c r="J77" s="55">
        <f t="shared" si="13"/>
        <v>6.0724209780435356E-2</v>
      </c>
      <c r="K77" s="16">
        <v>46</v>
      </c>
      <c r="L77" s="7">
        <v>1</v>
      </c>
      <c r="M77" s="62">
        <f t="shared" si="9"/>
        <v>51.059999999999995</v>
      </c>
      <c r="N77" s="62">
        <f>+M77</f>
        <v>51.059999999999995</v>
      </c>
      <c r="O77" s="7" t="s">
        <v>77</v>
      </c>
      <c r="P77">
        <f t="shared" si="14"/>
        <v>1</v>
      </c>
      <c r="Q77">
        <f t="shared" si="15"/>
        <v>1</v>
      </c>
      <c r="R77">
        <f t="shared" si="16"/>
        <v>0</v>
      </c>
      <c r="S77">
        <f t="shared" si="17"/>
        <v>51.059999999999995</v>
      </c>
    </row>
    <row r="78" spans="1:19" x14ac:dyDescent="0.3">
      <c r="A78" s="28">
        <v>44666</v>
      </c>
      <c r="B78" s="7" t="s">
        <v>28</v>
      </c>
      <c r="C78" s="26" t="s">
        <v>30</v>
      </c>
      <c r="D78" s="7">
        <v>2.35</v>
      </c>
      <c r="E78" s="7">
        <f t="shared" si="10"/>
        <v>135</v>
      </c>
      <c r="F78" s="7">
        <v>1.63</v>
      </c>
      <c r="G78" s="69">
        <f t="shared" si="11"/>
        <v>3.9028847408954404E-2</v>
      </c>
      <c r="H78" s="7">
        <v>1.9824440000000001</v>
      </c>
      <c r="I78" s="56">
        <f t="shared" si="12"/>
        <v>-101.78697208186929</v>
      </c>
      <c r="J78" s="55">
        <f t="shared" si="13"/>
        <v>7.8895952930139901E-2</v>
      </c>
      <c r="K78" s="16">
        <v>100</v>
      </c>
      <c r="L78" s="7">
        <v>1</v>
      </c>
      <c r="M78" s="62">
        <f t="shared" si="9"/>
        <v>135</v>
      </c>
      <c r="N78" s="62">
        <f>+M78</f>
        <v>135</v>
      </c>
      <c r="O78" s="7" t="s">
        <v>75</v>
      </c>
      <c r="P78">
        <f t="shared" si="14"/>
        <v>1</v>
      </c>
      <c r="Q78">
        <f t="shared" si="15"/>
        <v>1</v>
      </c>
      <c r="R78">
        <f t="shared" si="16"/>
        <v>0</v>
      </c>
      <c r="S78">
        <f t="shared" si="17"/>
        <v>135</v>
      </c>
    </row>
    <row r="79" spans="1:19" x14ac:dyDescent="0.3">
      <c r="A79" s="28">
        <v>44666</v>
      </c>
      <c r="B79" s="7" t="s">
        <v>32</v>
      </c>
      <c r="C79" s="26" t="s">
        <v>26</v>
      </c>
      <c r="D79" s="7">
        <v>2.1</v>
      </c>
      <c r="E79" s="7">
        <f t="shared" si="10"/>
        <v>110.00000000000001</v>
      </c>
      <c r="F79" s="7">
        <v>1.74</v>
      </c>
      <c r="G79" s="69">
        <f t="shared" si="11"/>
        <v>5.0903119868637159E-2</v>
      </c>
      <c r="H79" s="7">
        <v>1.851772</v>
      </c>
      <c r="I79" s="56">
        <f t="shared" si="12"/>
        <v>-117.40230953823324</v>
      </c>
      <c r="J79" s="55">
        <f t="shared" si="13"/>
        <v>6.3832809613607711E-2</v>
      </c>
      <c r="K79" s="16">
        <v>90</v>
      </c>
      <c r="L79" s="7">
        <v>1</v>
      </c>
      <c r="M79" s="62">
        <f t="shared" si="9"/>
        <v>99.000000000000014</v>
      </c>
      <c r="N79" s="62">
        <f>+-K79</f>
        <v>-90</v>
      </c>
      <c r="O79" s="7" t="s">
        <v>77</v>
      </c>
      <c r="P79">
        <f t="shared" si="14"/>
        <v>0</v>
      </c>
      <c r="Q79">
        <f t="shared" si="15"/>
        <v>1</v>
      </c>
      <c r="R79">
        <f t="shared" si="16"/>
        <v>0</v>
      </c>
      <c r="S79">
        <f t="shared" si="17"/>
        <v>-90</v>
      </c>
    </row>
    <row r="80" spans="1:19" x14ac:dyDescent="0.3">
      <c r="A80" s="42">
        <v>44667</v>
      </c>
      <c r="B80" s="45" t="s">
        <v>10</v>
      </c>
      <c r="C80" s="44" t="s">
        <v>18</v>
      </c>
      <c r="D80" s="45">
        <v>2.93</v>
      </c>
      <c r="E80" s="45">
        <f t="shared" si="10"/>
        <v>193.00000000000003</v>
      </c>
      <c r="F80" s="45">
        <v>1.41</v>
      </c>
      <c r="G80" s="71">
        <f t="shared" si="11"/>
        <v>5.0516786483673304E-2</v>
      </c>
      <c r="H80" s="45">
        <v>2.8443503174644098</v>
      </c>
      <c r="I80" s="48">
        <f t="shared" si="12"/>
        <v>184.43503174644098</v>
      </c>
      <c r="J80" s="47">
        <f t="shared" si="13"/>
        <v>1.0277205793586541E-2</v>
      </c>
      <c r="K80" s="59">
        <v>18</v>
      </c>
      <c r="L80" s="45">
        <v>0.2</v>
      </c>
      <c r="M80" s="64">
        <f t="shared" si="9"/>
        <v>34.74</v>
      </c>
      <c r="N80" s="64">
        <f>+M80</f>
        <v>34.74</v>
      </c>
      <c r="O80" s="45" t="s">
        <v>77</v>
      </c>
      <c r="P80">
        <f t="shared" si="14"/>
        <v>1</v>
      </c>
      <c r="Q80">
        <f t="shared" si="15"/>
        <v>1</v>
      </c>
      <c r="R80">
        <f t="shared" si="16"/>
        <v>0</v>
      </c>
      <c r="S80">
        <f t="shared" si="17"/>
        <v>34.74</v>
      </c>
    </row>
    <row r="81" spans="1:19" x14ac:dyDescent="0.3">
      <c r="A81" s="42">
        <v>44667</v>
      </c>
      <c r="B81" s="44" t="s">
        <v>34</v>
      </c>
      <c r="C81" s="45" t="s">
        <v>21</v>
      </c>
      <c r="D81" s="45">
        <v>1.91</v>
      </c>
      <c r="E81" s="48">
        <f t="shared" si="10"/>
        <v>-109.8901098901099</v>
      </c>
      <c r="F81" s="45">
        <v>1.91</v>
      </c>
      <c r="G81" s="71">
        <f t="shared" si="11"/>
        <v>4.7120418848167533E-2</v>
      </c>
      <c r="H81" s="45">
        <v>1.7244236007946501</v>
      </c>
      <c r="I81" s="48">
        <f t="shared" si="12"/>
        <v>-138.040781512786</v>
      </c>
      <c r="J81" s="47">
        <f t="shared" si="13"/>
        <v>5.6343707188504566E-2</v>
      </c>
      <c r="K81" s="59">
        <v>101</v>
      </c>
      <c r="L81" s="45">
        <v>0.5</v>
      </c>
      <c r="M81" s="64">
        <f t="shared" si="9"/>
        <v>91.91</v>
      </c>
      <c r="N81" s="64">
        <f>-M81</f>
        <v>-91.91</v>
      </c>
      <c r="O81" s="45" t="s">
        <v>76</v>
      </c>
      <c r="P81">
        <f t="shared" si="14"/>
        <v>0</v>
      </c>
      <c r="Q81">
        <f t="shared" si="15"/>
        <v>0</v>
      </c>
      <c r="R81">
        <f t="shared" si="16"/>
        <v>-91.91</v>
      </c>
      <c r="S81">
        <f t="shared" si="17"/>
        <v>0</v>
      </c>
    </row>
    <row r="82" spans="1:19" x14ac:dyDescent="0.3">
      <c r="A82" s="42">
        <v>44667</v>
      </c>
      <c r="B82" s="45" t="s">
        <v>7</v>
      </c>
      <c r="C82" s="44" t="s">
        <v>15</v>
      </c>
      <c r="D82" s="45">
        <v>2.1</v>
      </c>
      <c r="E82" s="45">
        <f t="shared" si="10"/>
        <v>110.00000000000001</v>
      </c>
      <c r="F82" s="45">
        <v>1.77</v>
      </c>
      <c r="G82" s="71">
        <f t="shared" si="11"/>
        <v>4.1162227602905554E-2</v>
      </c>
      <c r="H82" s="45">
        <v>1.92761131433004</v>
      </c>
      <c r="I82" s="48">
        <f t="shared" si="12"/>
        <v>-107.8037734718924</v>
      </c>
      <c r="J82" s="47">
        <f t="shared" si="13"/>
        <v>4.2586308613549395E-2</v>
      </c>
      <c r="K82" s="59">
        <v>61</v>
      </c>
      <c r="L82" s="45">
        <v>0.5</v>
      </c>
      <c r="M82" s="64">
        <f t="shared" si="9"/>
        <v>67.100000000000009</v>
      </c>
      <c r="N82" s="64">
        <f>-M82</f>
        <v>-67.100000000000009</v>
      </c>
      <c r="O82" s="45" t="s">
        <v>75</v>
      </c>
      <c r="P82">
        <f t="shared" si="14"/>
        <v>0</v>
      </c>
      <c r="Q82">
        <f t="shared" si="15"/>
        <v>1</v>
      </c>
      <c r="R82">
        <f t="shared" si="16"/>
        <v>0</v>
      </c>
      <c r="S82">
        <f t="shared" si="17"/>
        <v>-67.100000000000009</v>
      </c>
    </row>
    <row r="83" spans="1:19" x14ac:dyDescent="0.3">
      <c r="A83" s="42">
        <v>44667</v>
      </c>
      <c r="B83" s="45" t="s">
        <v>11</v>
      </c>
      <c r="C83" s="44" t="s">
        <v>9</v>
      </c>
      <c r="D83" s="45">
        <v>2.16</v>
      </c>
      <c r="E83" s="45">
        <f t="shared" si="10"/>
        <v>116.00000000000001</v>
      </c>
      <c r="F83" s="45">
        <v>1.7</v>
      </c>
      <c r="G83" s="71">
        <f t="shared" si="11"/>
        <v>5.1198257080609988E-2</v>
      </c>
      <c r="H83" s="45">
        <v>1.9604140000000001</v>
      </c>
      <c r="I83" s="48">
        <f t="shared" si="12"/>
        <v>-104.12176415587443</v>
      </c>
      <c r="J83" s="47">
        <f t="shared" si="13"/>
        <v>4.7133373831203973E-2</v>
      </c>
      <c r="K83" s="59">
        <v>87</v>
      </c>
      <c r="L83" s="45">
        <v>0.5</v>
      </c>
      <c r="M83" s="64">
        <f t="shared" si="9"/>
        <v>100.92000000000002</v>
      </c>
      <c r="N83" s="64">
        <f>-K83</f>
        <v>-87</v>
      </c>
      <c r="O83" s="45" t="s">
        <v>77</v>
      </c>
      <c r="P83">
        <f t="shared" si="14"/>
        <v>0</v>
      </c>
      <c r="Q83">
        <f t="shared" si="15"/>
        <v>1</v>
      </c>
      <c r="R83">
        <f t="shared" si="16"/>
        <v>0</v>
      </c>
      <c r="S83">
        <f t="shared" si="17"/>
        <v>-87</v>
      </c>
    </row>
    <row r="84" spans="1:19" x14ac:dyDescent="0.3">
      <c r="A84" s="42">
        <v>44667</v>
      </c>
      <c r="B84" s="44" t="s">
        <v>23</v>
      </c>
      <c r="C84" s="45" t="s">
        <v>31</v>
      </c>
      <c r="D84" s="45">
        <v>1.62</v>
      </c>
      <c r="E84" s="48">
        <f t="shared" si="10"/>
        <v>-161.29032258064512</v>
      </c>
      <c r="F84" s="45">
        <v>2.35</v>
      </c>
      <c r="G84" s="71">
        <f t="shared" si="11"/>
        <v>4.2815865510900997E-2</v>
      </c>
      <c r="H84" s="45">
        <v>1.583974</v>
      </c>
      <c r="I84" s="48">
        <f t="shared" si="12"/>
        <v>-171.24050043323848</v>
      </c>
      <c r="J84" s="47">
        <f t="shared" si="13"/>
        <v>1.4039543328955073E-2</v>
      </c>
      <c r="K84" s="59">
        <v>34</v>
      </c>
      <c r="L84" s="45">
        <v>0.2</v>
      </c>
      <c r="M84" s="64">
        <f t="shared" si="9"/>
        <v>21.080000000000005</v>
      </c>
      <c r="N84" s="64">
        <f>-K84</f>
        <v>-34</v>
      </c>
      <c r="O84" s="45" t="s">
        <v>76</v>
      </c>
      <c r="P84">
        <f t="shared" si="14"/>
        <v>0</v>
      </c>
      <c r="Q84">
        <f t="shared" si="15"/>
        <v>0</v>
      </c>
      <c r="R84">
        <f t="shared" si="16"/>
        <v>-34</v>
      </c>
      <c r="S84">
        <f t="shared" si="17"/>
        <v>0</v>
      </c>
    </row>
    <row r="85" spans="1:19" x14ac:dyDescent="0.3">
      <c r="A85" s="42">
        <v>44667</v>
      </c>
      <c r="B85" s="45" t="s">
        <v>22</v>
      </c>
      <c r="C85" s="44" t="s">
        <v>24</v>
      </c>
      <c r="D85" s="45">
        <v>2.25</v>
      </c>
      <c r="E85" s="45">
        <f t="shared" si="10"/>
        <v>125</v>
      </c>
      <c r="F85" s="45">
        <v>1.69</v>
      </c>
      <c r="G85" s="71">
        <f t="shared" si="11"/>
        <v>3.6160420775805502E-2</v>
      </c>
      <c r="H85" s="45">
        <v>2.1332089999999999</v>
      </c>
      <c r="I85" s="48">
        <f t="shared" si="12"/>
        <v>113.32089999999999</v>
      </c>
      <c r="J85" s="47">
        <f t="shared" si="13"/>
        <v>2.4332876483790955E-2</v>
      </c>
      <c r="K85" s="59">
        <v>54</v>
      </c>
      <c r="L85" s="45">
        <v>0.2</v>
      </c>
      <c r="M85" s="64">
        <f t="shared" si="9"/>
        <v>67.5</v>
      </c>
      <c r="N85" s="64">
        <f>+M85</f>
        <v>67.5</v>
      </c>
      <c r="O85" s="45" t="s">
        <v>75</v>
      </c>
      <c r="P85">
        <f t="shared" si="14"/>
        <v>1</v>
      </c>
      <c r="Q85">
        <f t="shared" si="15"/>
        <v>1</v>
      </c>
      <c r="R85">
        <f t="shared" si="16"/>
        <v>0</v>
      </c>
      <c r="S85">
        <f t="shared" si="17"/>
        <v>67.5</v>
      </c>
    </row>
    <row r="86" spans="1:19" x14ac:dyDescent="0.3">
      <c r="A86" s="42">
        <v>44667</v>
      </c>
      <c r="B86" s="44" t="s">
        <v>20</v>
      </c>
      <c r="C86" s="43" t="s">
        <v>17</v>
      </c>
      <c r="D86" s="45">
        <v>2.1</v>
      </c>
      <c r="E86" s="45">
        <f t="shared" si="10"/>
        <v>110.00000000000001</v>
      </c>
      <c r="F86" s="45">
        <v>1.78</v>
      </c>
      <c r="G86" s="71">
        <f t="shared" si="11"/>
        <v>3.7988228999465079E-2</v>
      </c>
      <c r="H86" s="45">
        <v>1.934312</v>
      </c>
      <c r="I86" s="48">
        <f t="shared" si="12"/>
        <v>-107.03062788447542</v>
      </c>
      <c r="J86" s="47">
        <f t="shared" si="13"/>
        <v>4.0789204440156324E-2</v>
      </c>
      <c r="K86" s="59">
        <v>61</v>
      </c>
      <c r="L86" s="45">
        <v>0.5</v>
      </c>
      <c r="M86" s="64">
        <f t="shared" si="9"/>
        <v>67.100000000000009</v>
      </c>
      <c r="N86" s="64">
        <f>-K86</f>
        <v>-61</v>
      </c>
      <c r="O86" s="45" t="s">
        <v>76</v>
      </c>
      <c r="P86">
        <f t="shared" si="14"/>
        <v>0</v>
      </c>
      <c r="Q86">
        <f t="shared" si="15"/>
        <v>1</v>
      </c>
      <c r="R86">
        <f t="shared" si="16"/>
        <v>0</v>
      </c>
      <c r="S86">
        <f t="shared" si="17"/>
        <v>-61</v>
      </c>
    </row>
    <row r="87" spans="1:19" x14ac:dyDescent="0.3">
      <c r="A87" s="42">
        <v>44667</v>
      </c>
      <c r="B87" s="45" t="s">
        <v>6</v>
      </c>
      <c r="C87" s="44" t="s">
        <v>8</v>
      </c>
      <c r="D87" s="45">
        <v>1.55</v>
      </c>
      <c r="E87" s="48">
        <f t="shared" si="10"/>
        <v>-181.81818181818181</v>
      </c>
      <c r="F87" s="45">
        <v>2.5</v>
      </c>
      <c r="G87" s="71">
        <f t="shared" si="11"/>
        <v>4.5161290322580649E-2</v>
      </c>
      <c r="H87" s="45">
        <v>1.4420869999999999</v>
      </c>
      <c r="I87" s="48">
        <f t="shared" si="12"/>
        <v>-226.19982039734265</v>
      </c>
      <c r="J87" s="47">
        <f t="shared" si="13"/>
        <v>4.8278148490750405E-2</v>
      </c>
      <c r="K87" s="59">
        <v>67</v>
      </c>
      <c r="L87" s="45">
        <v>0.5</v>
      </c>
      <c r="M87" s="64">
        <f t="shared" si="9"/>
        <v>36.85</v>
      </c>
      <c r="N87" s="64">
        <f>+M87</f>
        <v>36.85</v>
      </c>
      <c r="O87" s="45" t="s">
        <v>76</v>
      </c>
      <c r="P87">
        <f t="shared" si="14"/>
        <v>1</v>
      </c>
      <c r="Q87">
        <f t="shared" si="15"/>
        <v>0</v>
      </c>
      <c r="R87">
        <f t="shared" si="16"/>
        <v>36.85</v>
      </c>
      <c r="S87">
        <f t="shared" si="17"/>
        <v>0</v>
      </c>
    </row>
    <row r="88" spans="1:19" x14ac:dyDescent="0.3">
      <c r="A88" s="42">
        <v>44667</v>
      </c>
      <c r="B88" s="45" t="s">
        <v>32</v>
      </c>
      <c r="C88" s="44" t="s">
        <v>26</v>
      </c>
      <c r="D88" s="45">
        <v>2.1</v>
      </c>
      <c r="E88" s="45">
        <f t="shared" si="10"/>
        <v>110.00000000000001</v>
      </c>
      <c r="F88" s="45">
        <v>1.78</v>
      </c>
      <c r="G88" s="71">
        <f t="shared" si="11"/>
        <v>3.7988228999465079E-2</v>
      </c>
      <c r="H88" s="45">
        <v>1.963282</v>
      </c>
      <c r="I88" s="48">
        <f t="shared" si="12"/>
        <v>-103.8117602114438</v>
      </c>
      <c r="J88" s="47">
        <f t="shared" si="13"/>
        <v>3.3160702091604599E-2</v>
      </c>
      <c r="K88" s="59">
        <v>61</v>
      </c>
      <c r="L88" s="45">
        <v>0.5</v>
      </c>
      <c r="M88" s="64">
        <f t="shared" si="9"/>
        <v>67.100000000000009</v>
      </c>
      <c r="N88" s="64">
        <f>-K88</f>
        <v>-61</v>
      </c>
      <c r="O88" s="45" t="s">
        <v>76</v>
      </c>
      <c r="P88">
        <f t="shared" si="14"/>
        <v>0</v>
      </c>
      <c r="Q88">
        <f t="shared" si="15"/>
        <v>1</v>
      </c>
      <c r="R88">
        <f t="shared" si="16"/>
        <v>0</v>
      </c>
      <c r="S88">
        <f t="shared" si="17"/>
        <v>-61</v>
      </c>
    </row>
    <row r="89" spans="1:19" x14ac:dyDescent="0.3">
      <c r="A89" s="42">
        <v>44667</v>
      </c>
      <c r="B89" s="44" t="s">
        <v>19</v>
      </c>
      <c r="C89" s="45" t="s">
        <v>16</v>
      </c>
      <c r="D89" s="45">
        <v>2.25</v>
      </c>
      <c r="E89" s="45">
        <f t="shared" si="10"/>
        <v>125</v>
      </c>
      <c r="F89" s="45">
        <v>1.69</v>
      </c>
      <c r="G89" s="71">
        <f t="shared" si="11"/>
        <v>3.6160420775805502E-2</v>
      </c>
      <c r="H89" s="45">
        <v>1.9092899999999999</v>
      </c>
      <c r="I89" s="48">
        <f t="shared" si="12"/>
        <v>-109.97591527455488</v>
      </c>
      <c r="J89" s="47">
        <f t="shared" si="13"/>
        <v>7.9310459210841122E-2</v>
      </c>
      <c r="K89" s="59">
        <v>107</v>
      </c>
      <c r="L89" s="45">
        <v>1</v>
      </c>
      <c r="M89" s="64">
        <f t="shared" si="9"/>
        <v>133.75</v>
      </c>
      <c r="N89" s="64">
        <f>-K89</f>
        <v>-107</v>
      </c>
      <c r="O89" s="45" t="s">
        <v>75</v>
      </c>
      <c r="P89">
        <f t="shared" si="14"/>
        <v>0</v>
      </c>
      <c r="Q89">
        <f t="shared" si="15"/>
        <v>1</v>
      </c>
      <c r="R89">
        <f t="shared" si="16"/>
        <v>0</v>
      </c>
      <c r="S89">
        <f t="shared" si="17"/>
        <v>-107</v>
      </c>
    </row>
    <row r="90" spans="1:19" x14ac:dyDescent="0.3">
      <c r="A90" s="51">
        <v>44668</v>
      </c>
      <c r="B90" s="52" t="s">
        <v>10</v>
      </c>
      <c r="C90" s="53" t="s">
        <v>18</v>
      </c>
      <c r="D90" s="52">
        <v>3.21</v>
      </c>
      <c r="E90" s="52">
        <f t="shared" si="10"/>
        <v>221</v>
      </c>
      <c r="F90" s="52">
        <v>1.35</v>
      </c>
      <c r="G90" s="72">
        <f t="shared" si="11"/>
        <v>5.226722049151955E-2</v>
      </c>
      <c r="H90" s="52">
        <v>2.5077880000000001</v>
      </c>
      <c r="I90" s="54">
        <f t="shared" si="12"/>
        <v>150.77880000000002</v>
      </c>
      <c r="J90" s="55">
        <f t="shared" si="13"/>
        <v>8.7231309982643612E-2</v>
      </c>
      <c r="K90" s="60">
        <v>58</v>
      </c>
      <c r="L90" s="52">
        <v>1</v>
      </c>
      <c r="M90" s="65">
        <f t="shared" si="9"/>
        <v>128.18</v>
      </c>
      <c r="N90" s="65">
        <f>-K90</f>
        <v>-58</v>
      </c>
      <c r="O90" s="52" t="s">
        <v>77</v>
      </c>
      <c r="P90">
        <f t="shared" si="14"/>
        <v>0</v>
      </c>
      <c r="Q90">
        <f t="shared" si="15"/>
        <v>1</v>
      </c>
      <c r="R90">
        <f t="shared" si="16"/>
        <v>0</v>
      </c>
      <c r="S90">
        <f t="shared" si="17"/>
        <v>-58</v>
      </c>
    </row>
    <row r="91" spans="1:19" x14ac:dyDescent="0.3">
      <c r="A91" s="51">
        <v>44668</v>
      </c>
      <c r="B91" s="53" t="s">
        <v>7</v>
      </c>
      <c r="C91" s="52" t="s">
        <v>15</v>
      </c>
      <c r="D91" s="52">
        <v>1.85</v>
      </c>
      <c r="E91" s="54">
        <f t="shared" si="10"/>
        <v>-117.64705882352941</v>
      </c>
      <c r="F91" s="52">
        <v>1.98</v>
      </c>
      <c r="G91" s="72">
        <f t="shared" si="11"/>
        <v>4.5591045591045543E-2</v>
      </c>
      <c r="H91" s="52">
        <v>1.729241</v>
      </c>
      <c r="I91" s="54">
        <f t="shared" si="12"/>
        <v>-137.12887783325402</v>
      </c>
      <c r="J91" s="55">
        <f t="shared" si="13"/>
        <v>3.7747853037913948E-2</v>
      </c>
      <c r="K91" s="60">
        <v>32</v>
      </c>
      <c r="L91" s="52">
        <v>0.5</v>
      </c>
      <c r="M91" s="65">
        <f t="shared" si="9"/>
        <v>27.200000000000003</v>
      </c>
      <c r="N91" s="65">
        <f>+M91</f>
        <v>27.200000000000003</v>
      </c>
      <c r="O91" s="52" t="s">
        <v>76</v>
      </c>
      <c r="P91">
        <f t="shared" si="14"/>
        <v>1</v>
      </c>
      <c r="Q91">
        <f t="shared" si="15"/>
        <v>0</v>
      </c>
      <c r="R91">
        <f t="shared" si="16"/>
        <v>27.200000000000003</v>
      </c>
      <c r="S91">
        <f t="shared" si="17"/>
        <v>0</v>
      </c>
    </row>
    <row r="92" spans="1:19" x14ac:dyDescent="0.3">
      <c r="A92" s="51">
        <v>44668</v>
      </c>
      <c r="B92" s="52" t="s">
        <v>6</v>
      </c>
      <c r="C92" s="53" t="s">
        <v>8</v>
      </c>
      <c r="D92" s="52">
        <v>1.55</v>
      </c>
      <c r="E92" s="54">
        <f t="shared" si="10"/>
        <v>-181.81818181818181</v>
      </c>
      <c r="F92" s="52">
        <v>2.5</v>
      </c>
      <c r="G92" s="72">
        <f t="shared" si="11"/>
        <v>4.5161290322580649E-2</v>
      </c>
      <c r="H92" s="52">
        <v>1.395181</v>
      </c>
      <c r="I92" s="54">
        <f t="shared" si="12"/>
        <v>-253.04860304518689</v>
      </c>
      <c r="J92" s="55">
        <f t="shared" si="13"/>
        <v>7.1591589769679831E-2</v>
      </c>
      <c r="K92" s="60">
        <v>64</v>
      </c>
      <c r="L92" s="52">
        <v>1</v>
      </c>
      <c r="M92" s="65">
        <f t="shared" si="9"/>
        <v>35.200000000000003</v>
      </c>
      <c r="N92" s="65">
        <f>-K92</f>
        <v>-64</v>
      </c>
      <c r="O92" s="52" t="s">
        <v>76</v>
      </c>
      <c r="P92">
        <f t="shared" si="14"/>
        <v>0</v>
      </c>
      <c r="Q92">
        <f t="shared" si="15"/>
        <v>0</v>
      </c>
      <c r="R92">
        <f t="shared" si="16"/>
        <v>-64</v>
      </c>
      <c r="S92">
        <f t="shared" si="17"/>
        <v>0</v>
      </c>
    </row>
    <row r="93" spans="1:19" x14ac:dyDescent="0.3">
      <c r="A93" s="51">
        <v>44668</v>
      </c>
      <c r="B93" s="52" t="s">
        <v>11</v>
      </c>
      <c r="C93" s="53" t="s">
        <v>9</v>
      </c>
      <c r="D93" s="52">
        <v>1.98</v>
      </c>
      <c r="E93" s="54">
        <f t="shared" si="10"/>
        <v>-102.04081632653062</v>
      </c>
      <c r="F93" s="52">
        <v>1.83</v>
      </c>
      <c r="G93" s="72">
        <f t="shared" si="11"/>
        <v>5.1498592482198902E-2</v>
      </c>
      <c r="H93" s="52">
        <v>1.8309949999999999</v>
      </c>
      <c r="I93" s="54">
        <f t="shared" si="12"/>
        <v>-120.33766749499095</v>
      </c>
      <c r="J93" s="55">
        <f t="shared" si="13"/>
        <v>4.1100631353471972E-2</v>
      </c>
      <c r="K93" s="60">
        <v>64</v>
      </c>
      <c r="L93" s="52">
        <v>0.5</v>
      </c>
      <c r="M93" s="65">
        <f t="shared" si="9"/>
        <v>62.72</v>
      </c>
      <c r="N93" s="65">
        <f>+M93</f>
        <v>62.72</v>
      </c>
      <c r="O93" s="52" t="s">
        <v>77</v>
      </c>
      <c r="P93">
        <f t="shared" si="14"/>
        <v>1</v>
      </c>
      <c r="Q93">
        <f t="shared" si="15"/>
        <v>0</v>
      </c>
      <c r="R93">
        <f t="shared" si="16"/>
        <v>62.72</v>
      </c>
      <c r="S93">
        <f t="shared" si="17"/>
        <v>0</v>
      </c>
    </row>
    <row r="94" spans="1:19" x14ac:dyDescent="0.3">
      <c r="A94" s="51">
        <v>44668</v>
      </c>
      <c r="B94" s="53" t="s">
        <v>29</v>
      </c>
      <c r="C94" s="52" t="s">
        <v>25</v>
      </c>
      <c r="D94" s="52">
        <v>2.1</v>
      </c>
      <c r="E94" s="52">
        <f t="shared" si="10"/>
        <v>110.00000000000001</v>
      </c>
      <c r="F94" s="52">
        <v>1.78</v>
      </c>
      <c r="G94" s="72">
        <f t="shared" si="11"/>
        <v>3.7988228999465079E-2</v>
      </c>
      <c r="H94" s="52">
        <v>1.988883</v>
      </c>
      <c r="I94" s="54">
        <f t="shared" si="12"/>
        <v>-101.12419770589645</v>
      </c>
      <c r="J94" s="55">
        <f t="shared" si="13"/>
        <v>2.660430862089791E-2</v>
      </c>
      <c r="K94" s="60">
        <v>30</v>
      </c>
      <c r="L94" s="52">
        <v>0.2</v>
      </c>
      <c r="M94" s="65">
        <f t="shared" si="9"/>
        <v>33</v>
      </c>
      <c r="N94" s="65">
        <f>+M94</f>
        <v>33</v>
      </c>
      <c r="O94" s="52" t="s">
        <v>76</v>
      </c>
      <c r="P94">
        <f t="shared" si="14"/>
        <v>1</v>
      </c>
      <c r="Q94">
        <f t="shared" si="15"/>
        <v>1</v>
      </c>
      <c r="R94">
        <f t="shared" si="16"/>
        <v>0</v>
      </c>
      <c r="S94">
        <f t="shared" si="17"/>
        <v>33</v>
      </c>
    </row>
    <row r="95" spans="1:19" x14ac:dyDescent="0.3">
      <c r="A95" s="51">
        <v>44668</v>
      </c>
      <c r="B95" s="52" t="s">
        <v>28</v>
      </c>
      <c r="C95" s="53" t="s">
        <v>30</v>
      </c>
      <c r="D95" s="52">
        <v>2.2000000000000002</v>
      </c>
      <c r="E95" s="52">
        <f t="shared" si="10"/>
        <v>120.00000000000001</v>
      </c>
      <c r="F95" s="52">
        <v>1.71</v>
      </c>
      <c r="G95" s="72">
        <f t="shared" si="11"/>
        <v>3.9340776182881454E-2</v>
      </c>
      <c r="H95" s="52">
        <v>2.06</v>
      </c>
      <c r="I95" s="52">
        <f t="shared" si="12"/>
        <v>106</v>
      </c>
      <c r="J95" s="55">
        <f t="shared" si="13"/>
        <v>3.0891438658428971E-2</v>
      </c>
      <c r="K95" s="60">
        <v>28</v>
      </c>
      <c r="L95" s="52">
        <v>0.5</v>
      </c>
      <c r="M95" s="65">
        <f t="shared" si="9"/>
        <v>33.600000000000009</v>
      </c>
      <c r="N95" s="65">
        <f>-K95</f>
        <v>-28</v>
      </c>
      <c r="O95" s="52" t="s">
        <v>75</v>
      </c>
      <c r="P95">
        <f t="shared" si="14"/>
        <v>0</v>
      </c>
      <c r="Q95">
        <f t="shared" si="15"/>
        <v>1</v>
      </c>
      <c r="R95">
        <f t="shared" si="16"/>
        <v>0</v>
      </c>
      <c r="S95">
        <f t="shared" si="17"/>
        <v>-28</v>
      </c>
    </row>
    <row r="96" spans="1:19" x14ac:dyDescent="0.3">
      <c r="A96" s="51">
        <v>44668</v>
      </c>
      <c r="B96" s="53" t="s">
        <v>22</v>
      </c>
      <c r="C96" s="52" t="s">
        <v>24</v>
      </c>
      <c r="D96" s="52">
        <v>2.2599999999999998</v>
      </c>
      <c r="E96" s="52">
        <f t="shared" si="10"/>
        <v>125.99999999999997</v>
      </c>
      <c r="F96" s="52">
        <v>1.64</v>
      </c>
      <c r="G96" s="72">
        <f t="shared" si="11"/>
        <v>5.2233973667170197E-2</v>
      </c>
      <c r="H96" s="52">
        <v>1.8357270000000001</v>
      </c>
      <c r="I96" s="54">
        <f t="shared" si="12"/>
        <v>-119.65629924604565</v>
      </c>
      <c r="J96" s="55">
        <f t="shared" si="13"/>
        <v>0.10226543267555765</v>
      </c>
      <c r="K96" s="60">
        <v>101</v>
      </c>
      <c r="L96" s="52">
        <v>1.5</v>
      </c>
      <c r="M96" s="65">
        <f t="shared" si="9"/>
        <v>127.25999999999998</v>
      </c>
      <c r="N96" s="65">
        <f>+M96</f>
        <v>127.25999999999998</v>
      </c>
      <c r="O96" s="52" t="s">
        <v>77</v>
      </c>
      <c r="P96">
        <f t="shared" si="14"/>
        <v>1</v>
      </c>
      <c r="Q96">
        <f t="shared" si="15"/>
        <v>1</v>
      </c>
      <c r="R96">
        <f t="shared" si="16"/>
        <v>0</v>
      </c>
      <c r="S96">
        <f t="shared" si="17"/>
        <v>127.25999999999998</v>
      </c>
    </row>
    <row r="97" spans="1:19" x14ac:dyDescent="0.3">
      <c r="A97" s="51">
        <v>44668</v>
      </c>
      <c r="B97" s="52" t="s">
        <v>32</v>
      </c>
      <c r="C97" s="53" t="s">
        <v>26</v>
      </c>
      <c r="D97" s="52">
        <v>2.1</v>
      </c>
      <c r="E97" s="52">
        <f t="shared" si="10"/>
        <v>110.00000000000001</v>
      </c>
      <c r="F97" s="52">
        <v>1.74</v>
      </c>
      <c r="G97" s="72">
        <f t="shared" si="11"/>
        <v>5.0903119868637159E-2</v>
      </c>
      <c r="H97" s="52">
        <v>2.021309</v>
      </c>
      <c r="I97" s="54">
        <f t="shared" si="12"/>
        <v>102.1309</v>
      </c>
      <c r="J97" s="55">
        <f t="shared" si="13"/>
        <v>1.8538434629195633E-2</v>
      </c>
      <c r="K97" s="60">
        <v>32</v>
      </c>
      <c r="L97" s="52">
        <v>0.2</v>
      </c>
      <c r="M97" s="65">
        <f t="shared" si="9"/>
        <v>35.200000000000003</v>
      </c>
      <c r="N97" s="65">
        <f>+M97</f>
        <v>35.200000000000003</v>
      </c>
      <c r="O97" s="52" t="s">
        <v>77</v>
      </c>
      <c r="P97">
        <f t="shared" si="14"/>
        <v>1</v>
      </c>
      <c r="Q97">
        <f t="shared" si="15"/>
        <v>1</v>
      </c>
      <c r="R97">
        <f t="shared" si="16"/>
        <v>0</v>
      </c>
      <c r="S97">
        <f t="shared" si="17"/>
        <v>35.200000000000003</v>
      </c>
    </row>
    <row r="98" spans="1:19" x14ac:dyDescent="0.3">
      <c r="A98" s="42">
        <v>44669</v>
      </c>
      <c r="B98" s="45" t="s">
        <v>28</v>
      </c>
      <c r="C98" s="44" t="s">
        <v>29</v>
      </c>
      <c r="D98" s="45">
        <v>2.5499999999999998</v>
      </c>
      <c r="E98" s="45">
        <f t="shared" si="10"/>
        <v>154.99999999999997</v>
      </c>
      <c r="F98" s="45">
        <v>1.54</v>
      </c>
      <c r="G98" s="71">
        <f t="shared" si="11"/>
        <v>4.1507512095747323E-2</v>
      </c>
      <c r="H98" s="45">
        <v>2.4613160000000001</v>
      </c>
      <c r="I98" s="48">
        <f t="shared" si="12"/>
        <v>146.13159999999999</v>
      </c>
      <c r="J98" s="47">
        <f t="shared" si="13"/>
        <v>1.4129855417055803E-2</v>
      </c>
      <c r="K98" s="59">
        <v>21</v>
      </c>
      <c r="L98" s="45">
        <v>0.2</v>
      </c>
      <c r="M98" s="64">
        <f t="shared" si="9"/>
        <v>32.549999999999997</v>
      </c>
      <c r="N98" s="64">
        <f>-K98</f>
        <v>-21</v>
      </c>
      <c r="O98" s="45" t="s">
        <v>75</v>
      </c>
      <c r="P98">
        <f t="shared" si="14"/>
        <v>0</v>
      </c>
      <c r="Q98">
        <f t="shared" si="15"/>
        <v>1</v>
      </c>
      <c r="R98">
        <f t="shared" si="16"/>
        <v>0</v>
      </c>
      <c r="S98">
        <f t="shared" si="17"/>
        <v>-21</v>
      </c>
    </row>
    <row r="99" spans="1:19" x14ac:dyDescent="0.3">
      <c r="A99" s="42">
        <v>44669</v>
      </c>
      <c r="B99" s="44" t="s">
        <v>32</v>
      </c>
      <c r="C99" s="45" t="s">
        <v>24</v>
      </c>
      <c r="D99" s="45">
        <v>2.4</v>
      </c>
      <c r="E99" s="45">
        <f t="shared" si="10"/>
        <v>140</v>
      </c>
      <c r="F99" s="45">
        <v>1.61</v>
      </c>
      <c r="G99" s="71">
        <f t="shared" si="11"/>
        <v>3.7784679089026829E-2</v>
      </c>
      <c r="H99" s="45">
        <v>2.1842489999999999</v>
      </c>
      <c r="I99" s="48">
        <f t="shared" si="12"/>
        <v>118.42489999999999</v>
      </c>
      <c r="J99" s="47">
        <f t="shared" si="13"/>
        <v>4.1156594326013207E-2</v>
      </c>
      <c r="K99" s="59">
        <v>47</v>
      </c>
      <c r="L99" s="45">
        <v>0.5</v>
      </c>
      <c r="M99" s="64">
        <f t="shared" si="9"/>
        <v>65.8</v>
      </c>
      <c r="N99" s="64">
        <f>+M99</f>
        <v>65.8</v>
      </c>
      <c r="O99" s="45" t="s">
        <v>75</v>
      </c>
      <c r="P99">
        <f t="shared" si="14"/>
        <v>1</v>
      </c>
      <c r="Q99">
        <f t="shared" si="15"/>
        <v>1</v>
      </c>
      <c r="R99">
        <f t="shared" si="16"/>
        <v>0</v>
      </c>
      <c r="S99">
        <f t="shared" si="17"/>
        <v>65.8</v>
      </c>
    </row>
    <row r="100" spans="1:19" x14ac:dyDescent="0.3">
      <c r="A100" s="42">
        <v>44669</v>
      </c>
      <c r="B100" s="45" t="s">
        <v>33</v>
      </c>
      <c r="C100" s="44" t="s">
        <v>21</v>
      </c>
      <c r="D100" s="45">
        <v>2.89</v>
      </c>
      <c r="E100" s="45">
        <f t="shared" si="10"/>
        <v>189</v>
      </c>
      <c r="F100" s="45">
        <v>1.42</v>
      </c>
      <c r="G100" s="71">
        <f t="shared" si="11"/>
        <v>5.0246113358350719E-2</v>
      </c>
      <c r="H100" s="45">
        <v>2.6216020000000002</v>
      </c>
      <c r="I100" s="48">
        <f t="shared" si="12"/>
        <v>162.16020000000003</v>
      </c>
      <c r="J100" s="47">
        <f t="shared" si="13"/>
        <v>3.5425392670899947E-2</v>
      </c>
      <c r="K100" s="64">
        <v>35</v>
      </c>
      <c r="L100" s="45">
        <v>0.5</v>
      </c>
      <c r="M100" s="64">
        <f t="shared" si="9"/>
        <v>66.150000000000006</v>
      </c>
      <c r="N100" s="64">
        <f>-K100</f>
        <v>-35</v>
      </c>
      <c r="O100" s="45" t="s">
        <v>77</v>
      </c>
      <c r="P100">
        <f t="shared" si="14"/>
        <v>0</v>
      </c>
      <c r="Q100">
        <f t="shared" si="15"/>
        <v>1</v>
      </c>
      <c r="R100">
        <f t="shared" si="16"/>
        <v>0</v>
      </c>
      <c r="S100">
        <f t="shared" si="17"/>
        <v>-35</v>
      </c>
    </row>
    <row r="101" spans="1:19" x14ac:dyDescent="0.3">
      <c r="A101" s="51">
        <v>44670</v>
      </c>
      <c r="B101" s="53" t="s">
        <v>25</v>
      </c>
      <c r="C101" s="52" t="s">
        <v>31</v>
      </c>
      <c r="D101" s="52">
        <v>1.7</v>
      </c>
      <c r="E101" s="54">
        <f t="shared" si="10"/>
        <v>-142.85714285714286</v>
      </c>
      <c r="F101" s="52">
        <v>2.2000000000000002</v>
      </c>
      <c r="G101" s="55">
        <f t="shared" si="11"/>
        <v>4.2780748663101553E-2</v>
      </c>
      <c r="H101" s="52">
        <v>1.661103</v>
      </c>
      <c r="I101" s="54">
        <f t="shared" si="12"/>
        <v>-151.26236002559358</v>
      </c>
      <c r="J101" s="55">
        <f t="shared" si="13"/>
        <v>1.3774334424351831E-2</v>
      </c>
      <c r="K101" s="65">
        <v>33</v>
      </c>
      <c r="L101" s="52">
        <v>0.2</v>
      </c>
      <c r="M101" s="65">
        <f t="shared" si="9"/>
        <v>23.099999999999998</v>
      </c>
      <c r="N101" s="65">
        <f>+M101</f>
        <v>23.099999999999998</v>
      </c>
      <c r="O101" s="52" t="s">
        <v>76</v>
      </c>
      <c r="P101">
        <f t="shared" si="14"/>
        <v>1</v>
      </c>
      <c r="Q101">
        <f t="shared" si="15"/>
        <v>0</v>
      </c>
      <c r="R101">
        <f t="shared" si="16"/>
        <v>23.099999999999998</v>
      </c>
      <c r="S101">
        <f t="shared" si="17"/>
        <v>0</v>
      </c>
    </row>
    <row r="102" spans="1:19" x14ac:dyDescent="0.3">
      <c r="A102" s="51">
        <v>44670</v>
      </c>
      <c r="B102" s="53" t="s">
        <v>13</v>
      </c>
      <c r="C102" s="52" t="s">
        <v>8</v>
      </c>
      <c r="D102" s="52">
        <v>2.85</v>
      </c>
      <c r="E102" s="52">
        <f t="shared" si="10"/>
        <v>185</v>
      </c>
      <c r="F102" s="52">
        <v>1.43</v>
      </c>
      <c r="G102" s="55">
        <f t="shared" si="11"/>
        <v>5.0177892283155501E-2</v>
      </c>
      <c r="H102" s="52">
        <v>2.3059940000000001</v>
      </c>
      <c r="I102" s="54">
        <f t="shared" si="12"/>
        <v>130.5994</v>
      </c>
      <c r="J102" s="55">
        <f t="shared" si="13"/>
        <v>8.2775279660577628E-2</v>
      </c>
      <c r="K102" s="65">
        <v>71</v>
      </c>
      <c r="L102" s="52">
        <v>1</v>
      </c>
      <c r="M102" s="65">
        <f t="shared" si="9"/>
        <v>131.35</v>
      </c>
      <c r="N102" s="65">
        <f>-K102</f>
        <v>-71</v>
      </c>
      <c r="O102" s="52" t="s">
        <v>75</v>
      </c>
      <c r="P102">
        <f t="shared" si="14"/>
        <v>0</v>
      </c>
      <c r="Q102">
        <f t="shared" si="15"/>
        <v>1</v>
      </c>
      <c r="R102">
        <f t="shared" si="16"/>
        <v>0</v>
      </c>
      <c r="S102">
        <f t="shared" si="17"/>
        <v>-71</v>
      </c>
    </row>
    <row r="103" spans="1:19" x14ac:dyDescent="0.3">
      <c r="A103" s="51">
        <v>44670</v>
      </c>
      <c r="B103" s="75" t="s">
        <v>28</v>
      </c>
      <c r="C103" s="53" t="s">
        <v>29</v>
      </c>
      <c r="D103" s="52">
        <v>3.27</v>
      </c>
      <c r="E103" s="52">
        <f t="shared" si="10"/>
        <v>227</v>
      </c>
      <c r="F103" s="52">
        <v>1.34</v>
      </c>
      <c r="G103" s="55">
        <f t="shared" si="11"/>
        <v>5.2079054269934755E-2</v>
      </c>
      <c r="H103" s="52">
        <v>2.398447</v>
      </c>
      <c r="I103" s="54">
        <f t="shared" si="12"/>
        <v>139.84469999999999</v>
      </c>
      <c r="J103" s="55">
        <f t="shared" si="13"/>
        <v>0.11112606174702228</v>
      </c>
      <c r="K103" s="65">
        <v>58</v>
      </c>
      <c r="L103" s="52">
        <v>1.5</v>
      </c>
      <c r="M103" s="65">
        <f t="shared" si="9"/>
        <v>131.66</v>
      </c>
      <c r="N103" s="65">
        <f>-K103</f>
        <v>-58</v>
      </c>
      <c r="O103" s="52" t="s">
        <v>77</v>
      </c>
      <c r="P103">
        <f t="shared" si="14"/>
        <v>0</v>
      </c>
      <c r="Q103">
        <f t="shared" si="15"/>
        <v>1</v>
      </c>
      <c r="R103">
        <f t="shared" si="16"/>
        <v>0</v>
      </c>
      <c r="S103">
        <f t="shared" si="17"/>
        <v>-58</v>
      </c>
    </row>
    <row r="104" spans="1:19" x14ac:dyDescent="0.3">
      <c r="A104" s="51">
        <v>44670</v>
      </c>
      <c r="B104" s="53" t="s">
        <v>25</v>
      </c>
      <c r="C104" s="52" t="s">
        <v>31</v>
      </c>
      <c r="D104" s="52">
        <v>1.78</v>
      </c>
      <c r="E104" s="54">
        <f t="shared" si="10"/>
        <v>-128.2051282051282</v>
      </c>
      <c r="F104" s="52">
        <v>2.1</v>
      </c>
      <c r="G104" s="55">
        <f t="shared" si="11"/>
        <v>3.7988228999465079E-2</v>
      </c>
      <c r="H104" s="52">
        <v>1.6717</v>
      </c>
      <c r="I104" s="54">
        <f t="shared" si="12"/>
        <v>-148.87598630340926</v>
      </c>
      <c r="J104" s="55">
        <f t="shared" si="13"/>
        <v>3.6395702954605147E-2</v>
      </c>
      <c r="K104" s="65">
        <v>65</v>
      </c>
      <c r="L104" s="52">
        <v>0.5</v>
      </c>
      <c r="M104" s="65">
        <f t="shared" si="9"/>
        <v>50.7</v>
      </c>
      <c r="N104" s="65">
        <f>+M104</f>
        <v>50.7</v>
      </c>
      <c r="O104" s="52" t="s">
        <v>76</v>
      </c>
      <c r="P104">
        <f t="shared" si="14"/>
        <v>1</v>
      </c>
      <c r="Q104">
        <f t="shared" si="15"/>
        <v>0</v>
      </c>
      <c r="R104">
        <f t="shared" si="16"/>
        <v>50.7</v>
      </c>
      <c r="S104">
        <f t="shared" si="17"/>
        <v>0</v>
      </c>
    </row>
    <row r="105" spans="1:19" x14ac:dyDescent="0.3">
      <c r="A105" s="51">
        <v>44670</v>
      </c>
      <c r="B105" s="52" t="s">
        <v>7</v>
      </c>
      <c r="C105" s="53" t="s">
        <v>10</v>
      </c>
      <c r="D105" s="52">
        <v>2.2000000000000002</v>
      </c>
      <c r="E105" s="52">
        <f t="shared" si="10"/>
        <v>120.00000000000001</v>
      </c>
      <c r="F105" s="52">
        <v>1.68</v>
      </c>
      <c r="G105" s="55">
        <f t="shared" si="11"/>
        <v>4.9783549783549708E-2</v>
      </c>
      <c r="H105" s="52">
        <v>1.9803029999999999</v>
      </c>
      <c r="I105" s="54">
        <f t="shared" si="12"/>
        <v>-102.00927672362525</v>
      </c>
      <c r="J105" s="55">
        <f t="shared" si="13"/>
        <v>5.042777429881834E-2</v>
      </c>
      <c r="K105" s="65">
        <v>55</v>
      </c>
      <c r="L105" s="52">
        <v>0.5</v>
      </c>
      <c r="M105" s="65">
        <f t="shared" si="9"/>
        <v>66.000000000000014</v>
      </c>
      <c r="N105" s="65">
        <f>-K105</f>
        <v>-55</v>
      </c>
      <c r="O105" s="52" t="s">
        <v>77</v>
      </c>
      <c r="P105">
        <f t="shared" si="14"/>
        <v>0</v>
      </c>
      <c r="Q105">
        <f t="shared" si="15"/>
        <v>1</v>
      </c>
      <c r="R105">
        <f t="shared" si="16"/>
        <v>0</v>
      </c>
      <c r="S105">
        <f t="shared" si="17"/>
        <v>-55</v>
      </c>
    </row>
    <row r="106" spans="1:19" x14ac:dyDescent="0.3">
      <c r="A106" s="51">
        <v>44670</v>
      </c>
      <c r="B106" s="53" t="s">
        <v>14</v>
      </c>
      <c r="C106" s="75" t="s">
        <v>15</v>
      </c>
      <c r="D106" s="52">
        <v>2.0499999999999998</v>
      </c>
      <c r="E106" s="52">
        <f t="shared" si="10"/>
        <v>104.99999999999999</v>
      </c>
      <c r="F106" s="52">
        <v>1.8</v>
      </c>
      <c r="G106" s="55">
        <f t="shared" si="11"/>
        <v>4.3360433604336057E-2</v>
      </c>
      <c r="H106" s="52">
        <v>1.96933</v>
      </c>
      <c r="I106" s="54">
        <f t="shared" si="12"/>
        <v>-103.16404114181961</v>
      </c>
      <c r="J106" s="55">
        <f t="shared" si="13"/>
        <v>1.9982034251341874E-2</v>
      </c>
      <c r="K106" s="65">
        <v>95</v>
      </c>
      <c r="L106" s="52">
        <v>0.2</v>
      </c>
      <c r="M106" s="65">
        <f t="shared" si="9"/>
        <v>99.749999999999986</v>
      </c>
      <c r="N106" s="65">
        <f>+M106</f>
        <v>99.749999999999986</v>
      </c>
      <c r="O106" s="52" t="s">
        <v>75</v>
      </c>
      <c r="P106">
        <f t="shared" si="14"/>
        <v>1</v>
      </c>
      <c r="Q106">
        <f t="shared" si="15"/>
        <v>1</v>
      </c>
      <c r="R106">
        <f t="shared" si="16"/>
        <v>0</v>
      </c>
      <c r="S106">
        <f t="shared" si="17"/>
        <v>99.749999999999986</v>
      </c>
    </row>
    <row r="107" spans="1:19" x14ac:dyDescent="0.3">
      <c r="A107" s="51">
        <v>44670</v>
      </c>
      <c r="B107" s="52" t="s">
        <v>26</v>
      </c>
      <c r="C107" s="53" t="s">
        <v>9</v>
      </c>
      <c r="D107" s="52">
        <v>1.8</v>
      </c>
      <c r="E107" s="52">
        <f t="shared" si="10"/>
        <v>-125</v>
      </c>
      <c r="F107" s="52">
        <v>2.0499999999999998</v>
      </c>
      <c r="G107" s="55">
        <f t="shared" si="11"/>
        <v>4.3360433604336057E-2</v>
      </c>
      <c r="H107" s="52">
        <v>1.582851</v>
      </c>
      <c r="I107" s="54">
        <f t="shared" si="12"/>
        <v>-171.57043566880728</v>
      </c>
      <c r="J107" s="55">
        <f t="shared" si="13"/>
        <v>7.6215849333470587E-2</v>
      </c>
      <c r="K107" s="65">
        <v>97</v>
      </c>
      <c r="L107" s="52">
        <v>1</v>
      </c>
      <c r="M107" s="65">
        <f t="shared" si="9"/>
        <v>77.600000000000009</v>
      </c>
      <c r="N107" s="65">
        <f>+M107</f>
        <v>77.600000000000009</v>
      </c>
      <c r="O107" s="52" t="s">
        <v>76</v>
      </c>
      <c r="P107">
        <f t="shared" si="14"/>
        <v>1</v>
      </c>
      <c r="Q107">
        <f t="shared" si="15"/>
        <v>0</v>
      </c>
      <c r="R107">
        <f t="shared" si="16"/>
        <v>77.600000000000009</v>
      </c>
      <c r="S107">
        <f t="shared" si="17"/>
        <v>0</v>
      </c>
    </row>
    <row r="108" spans="1:19" x14ac:dyDescent="0.3">
      <c r="A108" s="42">
        <v>44671</v>
      </c>
      <c r="B108" s="44" t="s">
        <v>18</v>
      </c>
      <c r="C108" s="43" t="s">
        <v>6</v>
      </c>
      <c r="D108" s="45">
        <v>1.8</v>
      </c>
      <c r="E108" s="45">
        <f t="shared" si="10"/>
        <v>-125</v>
      </c>
      <c r="F108" s="45">
        <v>2.02</v>
      </c>
      <c r="G108" s="47">
        <f t="shared" si="11"/>
        <v>5.0605060506050625E-2</v>
      </c>
      <c r="H108" s="45">
        <v>1.475867</v>
      </c>
      <c r="I108" s="48">
        <f t="shared" si="12"/>
        <v>-210.14274997005464</v>
      </c>
      <c r="J108" s="47">
        <f t="shared" si="13"/>
        <v>0.12201227406594828</v>
      </c>
      <c r="K108" s="64">
        <v>130</v>
      </c>
      <c r="L108" s="45">
        <v>1.5</v>
      </c>
      <c r="M108" s="64">
        <f t="shared" si="9"/>
        <v>104</v>
      </c>
      <c r="N108" s="76">
        <f>-K108</f>
        <v>-130</v>
      </c>
      <c r="O108" s="45" t="s">
        <v>76</v>
      </c>
      <c r="P108">
        <f t="shared" si="14"/>
        <v>0</v>
      </c>
      <c r="Q108">
        <f t="shared" si="15"/>
        <v>0</v>
      </c>
      <c r="R108">
        <f t="shared" si="16"/>
        <v>-130</v>
      </c>
      <c r="S108">
        <f t="shared" si="17"/>
        <v>0</v>
      </c>
    </row>
    <row r="109" spans="1:19" x14ac:dyDescent="0.3">
      <c r="A109" s="42">
        <v>44671</v>
      </c>
      <c r="B109" s="44" t="s">
        <v>16</v>
      </c>
      <c r="C109" s="43" t="s">
        <v>17</v>
      </c>
      <c r="D109" s="45">
        <v>2.0499999999999998</v>
      </c>
      <c r="E109" s="45">
        <f t="shared" si="10"/>
        <v>104.99999999999999</v>
      </c>
      <c r="F109" s="45">
        <v>1.8</v>
      </c>
      <c r="G109" s="47">
        <f t="shared" si="11"/>
        <v>4.3360433604336057E-2</v>
      </c>
      <c r="H109" s="45">
        <v>1.7413270000000001</v>
      </c>
      <c r="I109" s="48">
        <f t="shared" si="12"/>
        <v>-134.8932387461943</v>
      </c>
      <c r="J109" s="47">
        <f t="shared" si="13"/>
        <v>8.6469798677647092E-2</v>
      </c>
      <c r="K109" s="64">
        <v>130</v>
      </c>
      <c r="L109" s="45">
        <v>1</v>
      </c>
      <c r="M109" s="64">
        <f t="shared" si="9"/>
        <v>136.49999999999997</v>
      </c>
      <c r="N109" s="76">
        <f>-K109</f>
        <v>-130</v>
      </c>
      <c r="O109" s="45" t="s">
        <v>75</v>
      </c>
      <c r="P109">
        <f t="shared" si="14"/>
        <v>0</v>
      </c>
      <c r="Q109">
        <f t="shared" si="15"/>
        <v>1</v>
      </c>
      <c r="R109">
        <f t="shared" si="16"/>
        <v>0</v>
      </c>
      <c r="S109">
        <f t="shared" si="17"/>
        <v>-130</v>
      </c>
    </row>
    <row r="110" spans="1:19" x14ac:dyDescent="0.3">
      <c r="A110" s="42">
        <v>44671</v>
      </c>
      <c r="B110" s="44" t="s">
        <v>13</v>
      </c>
      <c r="C110" s="43" t="s">
        <v>8</v>
      </c>
      <c r="D110" s="45">
        <v>2.4500000000000002</v>
      </c>
      <c r="E110" s="45">
        <f t="shared" si="10"/>
        <v>145.00000000000003</v>
      </c>
      <c r="F110" s="45">
        <v>1.57</v>
      </c>
      <c r="G110" s="47">
        <f t="shared" si="11"/>
        <v>4.5105940465357985E-2</v>
      </c>
      <c r="H110" s="45">
        <v>2.4187270000000001</v>
      </c>
      <c r="I110" s="48">
        <f t="shared" si="12"/>
        <v>141.87270000000001</v>
      </c>
      <c r="J110" s="47">
        <f t="shared" si="13"/>
        <v>5.2773586253919702E-3</v>
      </c>
      <c r="K110" s="64">
        <v>23</v>
      </c>
      <c r="L110" s="45">
        <v>0.2</v>
      </c>
      <c r="M110" s="64">
        <f t="shared" si="9"/>
        <v>33.35</v>
      </c>
      <c r="N110" s="76">
        <f>-K110</f>
        <v>-23</v>
      </c>
      <c r="O110" s="45" t="s">
        <v>75</v>
      </c>
      <c r="P110">
        <f t="shared" si="14"/>
        <v>0</v>
      </c>
      <c r="Q110">
        <f t="shared" si="15"/>
        <v>1</v>
      </c>
      <c r="R110">
        <f t="shared" si="16"/>
        <v>0</v>
      </c>
      <c r="S110">
        <f t="shared" si="17"/>
        <v>-23</v>
      </c>
    </row>
    <row r="111" spans="1:19" x14ac:dyDescent="0.3">
      <c r="A111" s="42">
        <v>44671</v>
      </c>
      <c r="B111" s="44" t="s">
        <v>25</v>
      </c>
      <c r="C111" s="43" t="s">
        <v>31</v>
      </c>
      <c r="D111" s="45">
        <v>1.85</v>
      </c>
      <c r="E111" s="48">
        <f t="shared" si="10"/>
        <v>-117.64705882352941</v>
      </c>
      <c r="F111" s="45">
        <v>1.98</v>
      </c>
      <c r="G111" s="47">
        <f t="shared" si="11"/>
        <v>4.5591045591045543E-2</v>
      </c>
      <c r="H111" s="45">
        <v>1.7319230000000001</v>
      </c>
      <c r="I111" s="48">
        <f t="shared" si="12"/>
        <v>-136.62639375999933</v>
      </c>
      <c r="J111" s="47">
        <f t="shared" si="13"/>
        <v>3.6852334315905177E-2</v>
      </c>
      <c r="K111" s="64">
        <v>66</v>
      </c>
      <c r="L111" s="45">
        <v>0.5</v>
      </c>
      <c r="M111" s="64">
        <f t="shared" si="9"/>
        <v>56.100000000000009</v>
      </c>
      <c r="N111" s="76">
        <f>-K111</f>
        <v>-66</v>
      </c>
      <c r="O111" s="45" t="s">
        <v>76</v>
      </c>
      <c r="P111">
        <f t="shared" si="14"/>
        <v>0</v>
      </c>
      <c r="Q111">
        <f t="shared" si="15"/>
        <v>0</v>
      </c>
      <c r="R111">
        <f t="shared" si="16"/>
        <v>-66</v>
      </c>
      <c r="S111">
        <f t="shared" si="17"/>
        <v>0</v>
      </c>
    </row>
    <row r="112" spans="1:19" x14ac:dyDescent="0.3">
      <c r="A112" s="42">
        <v>44671</v>
      </c>
      <c r="B112" s="44" t="s">
        <v>14</v>
      </c>
      <c r="C112" s="43" t="s">
        <v>15</v>
      </c>
      <c r="D112" s="45">
        <v>2.1</v>
      </c>
      <c r="E112" s="45">
        <f t="shared" si="10"/>
        <v>110.00000000000001</v>
      </c>
      <c r="F112" s="45">
        <v>1.77</v>
      </c>
      <c r="G112" s="47">
        <f t="shared" si="11"/>
        <v>4.1162227602905554E-2</v>
      </c>
      <c r="H112" s="45">
        <v>1.859605</v>
      </c>
      <c r="I112" s="48">
        <f t="shared" si="12"/>
        <v>-116.33250155594722</v>
      </c>
      <c r="J112" s="47">
        <f t="shared" si="13"/>
        <v>6.1558131712815101E-2</v>
      </c>
      <c r="K112" s="64">
        <v>90</v>
      </c>
      <c r="L112" s="45">
        <v>1</v>
      </c>
      <c r="M112" s="64">
        <f t="shared" si="9"/>
        <v>99.000000000000014</v>
      </c>
      <c r="N112" s="76">
        <f>+M112</f>
        <v>99.000000000000014</v>
      </c>
      <c r="O112" s="45" t="s">
        <v>76</v>
      </c>
      <c r="P112">
        <f t="shared" si="14"/>
        <v>1</v>
      </c>
      <c r="Q112">
        <f t="shared" si="15"/>
        <v>1</v>
      </c>
      <c r="R112">
        <f t="shared" si="16"/>
        <v>0</v>
      </c>
      <c r="S112">
        <f t="shared" si="17"/>
        <v>99.000000000000014</v>
      </c>
    </row>
    <row r="113" spans="1:19" x14ac:dyDescent="0.3">
      <c r="A113" s="42">
        <v>44671</v>
      </c>
      <c r="B113" s="44" t="s">
        <v>26</v>
      </c>
      <c r="C113" s="43" t="s">
        <v>9</v>
      </c>
      <c r="D113" s="45">
        <v>1.87</v>
      </c>
      <c r="E113" s="48">
        <f t="shared" si="10"/>
        <v>-114.94252873563217</v>
      </c>
      <c r="F113" s="45">
        <v>1.93</v>
      </c>
      <c r="G113" s="47">
        <f t="shared" si="11"/>
        <v>5.2894073314676771E-2</v>
      </c>
      <c r="H113" s="45">
        <v>1.6260399999999999</v>
      </c>
      <c r="I113" s="48">
        <f t="shared" si="12"/>
        <v>-159.7342022873938</v>
      </c>
      <c r="J113" s="47">
        <f t="shared" si="13"/>
        <v>8.0231662842321527E-2</v>
      </c>
      <c r="K113" s="64">
        <v>130</v>
      </c>
      <c r="L113" s="45">
        <v>1</v>
      </c>
      <c r="M113" s="64">
        <f t="shared" si="9"/>
        <v>113.10000000000001</v>
      </c>
      <c r="N113" s="76">
        <f>+M113</f>
        <v>113.10000000000001</v>
      </c>
      <c r="O113" s="45" t="s">
        <v>77</v>
      </c>
      <c r="P113">
        <f t="shared" si="14"/>
        <v>1</v>
      </c>
      <c r="Q113">
        <f t="shared" si="15"/>
        <v>0</v>
      </c>
      <c r="R113">
        <f t="shared" si="16"/>
        <v>113.10000000000001</v>
      </c>
      <c r="S113">
        <f t="shared" si="17"/>
        <v>0</v>
      </c>
    </row>
    <row r="114" spans="1:19" x14ac:dyDescent="0.3">
      <c r="A114" s="51">
        <v>44672</v>
      </c>
      <c r="B114" s="53" t="s">
        <v>13</v>
      </c>
      <c r="C114" s="75" t="s">
        <v>8</v>
      </c>
      <c r="D114" s="52">
        <v>2.4</v>
      </c>
      <c r="E114" s="52">
        <f t="shared" si="10"/>
        <v>140</v>
      </c>
      <c r="F114" s="52">
        <v>1.62</v>
      </c>
      <c r="G114" s="55">
        <f t="shared" si="11"/>
        <v>3.3950617283950546E-2</v>
      </c>
      <c r="H114" s="52">
        <v>2.2619560000000001</v>
      </c>
      <c r="I114" s="54">
        <f t="shared" si="12"/>
        <v>126.19560000000001</v>
      </c>
      <c r="J114" s="55">
        <f t="shared" si="13"/>
        <v>2.5428581870440115E-2</v>
      </c>
      <c r="K114" s="52">
        <v>48</v>
      </c>
      <c r="L114" s="52">
        <v>0.2</v>
      </c>
      <c r="M114" s="52">
        <f t="shared" si="9"/>
        <v>67.199999999999989</v>
      </c>
      <c r="N114" s="52">
        <f>+M114</f>
        <v>67.199999999999989</v>
      </c>
      <c r="O114" s="52" t="s">
        <v>75</v>
      </c>
      <c r="P114">
        <f t="shared" si="14"/>
        <v>1</v>
      </c>
      <c r="Q114">
        <f t="shared" si="15"/>
        <v>1</v>
      </c>
      <c r="R114">
        <f t="shared" si="16"/>
        <v>0</v>
      </c>
      <c r="S114">
        <f t="shared" si="17"/>
        <v>67.199999999999989</v>
      </c>
    </row>
    <row r="115" spans="1:19" x14ac:dyDescent="0.3">
      <c r="A115" s="51">
        <v>44672</v>
      </c>
      <c r="B115" s="53" t="s">
        <v>12</v>
      </c>
      <c r="C115" s="75" t="s">
        <v>11</v>
      </c>
      <c r="D115" s="52">
        <v>2.23</v>
      </c>
      <c r="E115" s="52">
        <f t="shared" si="10"/>
        <v>123</v>
      </c>
      <c r="F115" s="52">
        <v>1.72</v>
      </c>
      <c r="G115" s="55">
        <f t="shared" si="11"/>
        <v>2.982584211075201E-2</v>
      </c>
      <c r="H115" s="52">
        <v>1.9157999999999999</v>
      </c>
      <c r="I115" s="54">
        <f t="shared" si="12"/>
        <v>-109.19414719371042</v>
      </c>
      <c r="J115" s="55">
        <f t="shared" si="13"/>
        <v>7.3544660709127851E-2</v>
      </c>
      <c r="K115" s="52">
        <v>108</v>
      </c>
      <c r="L115" s="52">
        <v>1</v>
      </c>
      <c r="M115" s="52">
        <f t="shared" si="9"/>
        <v>132.84</v>
      </c>
      <c r="N115" s="52">
        <f>+M115</f>
        <v>132.84</v>
      </c>
      <c r="O115" s="52" t="s">
        <v>77</v>
      </c>
      <c r="P115">
        <f t="shared" si="14"/>
        <v>1</v>
      </c>
      <c r="Q115">
        <f t="shared" si="15"/>
        <v>1</v>
      </c>
      <c r="R115">
        <f t="shared" si="16"/>
        <v>0</v>
      </c>
      <c r="S115">
        <f t="shared" si="17"/>
        <v>132.84</v>
      </c>
    </row>
    <row r="116" spans="1:19" x14ac:dyDescent="0.3">
      <c r="A116" s="51">
        <v>44672</v>
      </c>
      <c r="B116" s="53" t="s">
        <v>14</v>
      </c>
      <c r="C116" s="75" t="s">
        <v>15</v>
      </c>
      <c r="D116" s="52">
        <v>2.1</v>
      </c>
      <c r="E116" s="52">
        <f t="shared" si="10"/>
        <v>110.00000000000001</v>
      </c>
      <c r="F116" s="52">
        <v>1.79</v>
      </c>
      <c r="G116" s="55">
        <f t="shared" si="11"/>
        <v>3.4849694067571102E-2</v>
      </c>
      <c r="H116" s="52">
        <v>1.9826490000000001</v>
      </c>
      <c r="I116" s="54">
        <f t="shared" si="12"/>
        <v>-101.76573730803165</v>
      </c>
      <c r="J116" s="55">
        <f t="shared" si="13"/>
        <v>2.8185235294511779E-2</v>
      </c>
      <c r="K116" s="52">
        <v>60</v>
      </c>
      <c r="L116" s="52">
        <v>0.2</v>
      </c>
      <c r="M116" s="52">
        <f t="shared" si="9"/>
        <v>66</v>
      </c>
      <c r="N116" s="52">
        <f>-K116</f>
        <v>-60</v>
      </c>
      <c r="O116" s="52" t="s">
        <v>76</v>
      </c>
      <c r="P116">
        <f t="shared" si="14"/>
        <v>0</v>
      </c>
      <c r="Q116">
        <f t="shared" si="15"/>
        <v>1</v>
      </c>
      <c r="R116">
        <f t="shared" si="16"/>
        <v>0</v>
      </c>
      <c r="S116">
        <f t="shared" si="17"/>
        <v>-60</v>
      </c>
    </row>
    <row r="117" spans="1:19" x14ac:dyDescent="0.3">
      <c r="A117" s="28">
        <v>44672</v>
      </c>
      <c r="B117" s="53" t="s">
        <v>7</v>
      </c>
      <c r="C117" s="7" t="s">
        <v>10</v>
      </c>
      <c r="D117" s="7">
        <v>1.95</v>
      </c>
      <c r="E117" s="56">
        <f t="shared" si="10"/>
        <v>-105.26315789473685</v>
      </c>
      <c r="F117" s="7">
        <v>1.88</v>
      </c>
      <c r="G117" s="55">
        <f t="shared" si="11"/>
        <v>4.4735406437534042E-2</v>
      </c>
      <c r="H117" s="7">
        <v>1.888779</v>
      </c>
      <c r="I117" s="54">
        <f t="shared" si="12"/>
        <v>-112.51390953206591</v>
      </c>
      <c r="J117" s="55">
        <f t="shared" si="13"/>
        <v>1.6622052985227231E-2</v>
      </c>
      <c r="K117" s="7">
        <v>33</v>
      </c>
      <c r="L117" s="7">
        <v>0.2</v>
      </c>
      <c r="M117" s="7">
        <f t="shared" si="9"/>
        <v>31.349999999999998</v>
      </c>
      <c r="N117" s="7">
        <f>-K117</f>
        <v>-33</v>
      </c>
      <c r="O117" s="7" t="s">
        <v>76</v>
      </c>
      <c r="P117">
        <f t="shared" si="14"/>
        <v>0</v>
      </c>
      <c r="Q117">
        <f t="shared" si="15"/>
        <v>0</v>
      </c>
      <c r="R117">
        <f t="shared" si="16"/>
        <v>-33</v>
      </c>
      <c r="S117">
        <f t="shared" si="17"/>
        <v>0</v>
      </c>
    </row>
    <row r="118" spans="1:19" x14ac:dyDescent="0.3">
      <c r="A118" s="28">
        <v>44672</v>
      </c>
      <c r="B118" s="75" t="s">
        <v>22</v>
      </c>
      <c r="C118" s="26" t="s">
        <v>30</v>
      </c>
      <c r="D118" s="7">
        <v>2.1</v>
      </c>
      <c r="E118" s="56">
        <f t="shared" si="10"/>
        <v>110.00000000000001</v>
      </c>
      <c r="F118" s="7">
        <v>1.78</v>
      </c>
      <c r="G118" s="55">
        <f t="shared" si="11"/>
        <v>3.7988228999465079E-2</v>
      </c>
      <c r="H118" s="7">
        <v>1.9529749999999999</v>
      </c>
      <c r="I118" s="54">
        <f t="shared" si="12"/>
        <v>-104.9345470762612</v>
      </c>
      <c r="J118" s="55">
        <f t="shared" si="13"/>
        <v>3.5848848429654634E-2</v>
      </c>
      <c r="K118" s="7">
        <v>60</v>
      </c>
      <c r="L118" s="7">
        <v>0.5</v>
      </c>
      <c r="M118" s="7">
        <f t="shared" si="9"/>
        <v>66</v>
      </c>
      <c r="N118" s="7">
        <f>-K118</f>
        <v>-60</v>
      </c>
      <c r="O118" s="7" t="s">
        <v>76</v>
      </c>
      <c r="P118">
        <f t="shared" si="14"/>
        <v>0</v>
      </c>
      <c r="Q118">
        <f t="shared" si="15"/>
        <v>1</v>
      </c>
      <c r="R118">
        <f t="shared" si="16"/>
        <v>0</v>
      </c>
      <c r="S118">
        <f t="shared" si="17"/>
        <v>-60</v>
      </c>
    </row>
    <row r="119" spans="1:19" x14ac:dyDescent="0.3">
      <c r="A119" s="28">
        <v>44672</v>
      </c>
      <c r="B119" s="75" t="s">
        <v>26</v>
      </c>
      <c r="C119" s="26" t="s">
        <v>29</v>
      </c>
      <c r="D119" s="7">
        <v>2.41</v>
      </c>
      <c r="E119" s="56">
        <f t="shared" si="10"/>
        <v>141</v>
      </c>
      <c r="F119" s="7">
        <v>1.62</v>
      </c>
      <c r="G119" s="55">
        <f t="shared" si="11"/>
        <v>3.2221709953383471E-2</v>
      </c>
      <c r="H119" s="7">
        <v>2.02529</v>
      </c>
      <c r="I119" s="54">
        <f t="shared" si="12"/>
        <v>102.529</v>
      </c>
      <c r="J119" s="55">
        <f t="shared" si="13"/>
        <v>7.8818690357524535E-2</v>
      </c>
      <c r="K119" s="7">
        <v>94</v>
      </c>
      <c r="L119" s="7">
        <v>1</v>
      </c>
      <c r="M119" s="7">
        <f t="shared" si="9"/>
        <v>132.54000000000002</v>
      </c>
      <c r="N119" s="7">
        <f>+M119</f>
        <v>132.54000000000002</v>
      </c>
      <c r="O119" s="7" t="s">
        <v>77</v>
      </c>
      <c r="P119">
        <f t="shared" si="14"/>
        <v>1</v>
      </c>
      <c r="Q119">
        <f t="shared" si="15"/>
        <v>1</v>
      </c>
      <c r="R119">
        <f t="shared" si="16"/>
        <v>0</v>
      </c>
      <c r="S119">
        <f t="shared" si="17"/>
        <v>132.54000000000002</v>
      </c>
    </row>
    <row r="120" spans="1:19" x14ac:dyDescent="0.3">
      <c r="A120" s="28">
        <v>44672</v>
      </c>
      <c r="B120" s="53" t="s">
        <v>19</v>
      </c>
      <c r="C120" s="41" t="s">
        <v>20</v>
      </c>
      <c r="D120" s="7">
        <v>1.75</v>
      </c>
      <c r="E120" s="56">
        <f t="shared" si="10"/>
        <v>-133.33333333333334</v>
      </c>
      <c r="F120" s="7">
        <v>2.15</v>
      </c>
      <c r="G120" s="55">
        <f t="shared" si="11"/>
        <v>3.6544850498338777E-2</v>
      </c>
      <c r="H120" s="77">
        <v>1.7199949999999999</v>
      </c>
      <c r="I120" s="54">
        <f t="shared" si="12"/>
        <v>-138.88985340175975</v>
      </c>
      <c r="J120" s="55">
        <f t="shared" si="13"/>
        <v>9.9684675163093095E-3</v>
      </c>
      <c r="K120" s="7">
        <v>33</v>
      </c>
      <c r="L120" s="7">
        <v>0.2</v>
      </c>
      <c r="M120" s="7">
        <f t="shared" si="9"/>
        <v>24.75</v>
      </c>
      <c r="N120" s="7">
        <f>-K120</f>
        <v>-33</v>
      </c>
      <c r="O120" s="7" t="s">
        <v>76</v>
      </c>
      <c r="P120">
        <f t="shared" si="14"/>
        <v>0</v>
      </c>
      <c r="Q120">
        <f t="shared" si="15"/>
        <v>0</v>
      </c>
      <c r="R120">
        <f t="shared" si="16"/>
        <v>-33</v>
      </c>
      <c r="S120">
        <f t="shared" si="17"/>
        <v>0</v>
      </c>
    </row>
    <row r="121" spans="1:19" x14ac:dyDescent="0.3">
      <c r="A121" s="42">
        <v>44673</v>
      </c>
      <c r="B121" s="43" t="s">
        <v>26</v>
      </c>
      <c r="C121" s="44" t="s">
        <v>29</v>
      </c>
      <c r="D121" s="45">
        <v>2.5299999999999998</v>
      </c>
      <c r="E121" s="45">
        <f t="shared" si="10"/>
        <v>152.99999999999997</v>
      </c>
      <c r="F121" s="45">
        <v>1.56</v>
      </c>
      <c r="G121" s="47">
        <f t="shared" si="11"/>
        <v>3.6282558021688338E-2</v>
      </c>
      <c r="H121" s="45">
        <v>2.1728550000000002</v>
      </c>
      <c r="I121" s="48">
        <f t="shared" si="12"/>
        <v>117.28550000000001</v>
      </c>
      <c r="J121" s="47">
        <f>(1/H121)-(1/D121)</f>
        <v>6.4967074020380156E-2</v>
      </c>
      <c r="K121" s="78">
        <v>44</v>
      </c>
      <c r="L121" s="45">
        <v>1</v>
      </c>
      <c r="M121" s="64">
        <f t="shared" si="9"/>
        <v>67.319999999999993</v>
      </c>
      <c r="N121" s="76">
        <f>+M121</f>
        <v>67.319999999999993</v>
      </c>
      <c r="O121" s="45" t="s">
        <v>77</v>
      </c>
      <c r="P121">
        <f t="shared" si="14"/>
        <v>1</v>
      </c>
      <c r="Q121">
        <f t="shared" si="15"/>
        <v>1</v>
      </c>
      <c r="R121">
        <f t="shared" si="16"/>
        <v>0</v>
      </c>
      <c r="S121">
        <f t="shared" si="17"/>
        <v>67.319999999999993</v>
      </c>
    </row>
    <row r="122" spans="1:19" x14ac:dyDescent="0.3">
      <c r="A122" s="42">
        <v>44673</v>
      </c>
      <c r="B122" s="44" t="s">
        <v>25</v>
      </c>
      <c r="C122" s="43" t="s">
        <v>35</v>
      </c>
      <c r="D122" s="45">
        <v>2.15</v>
      </c>
      <c r="E122" s="45">
        <f t="shared" si="10"/>
        <v>114.99999999999999</v>
      </c>
      <c r="F122" s="45">
        <v>1.76</v>
      </c>
      <c r="G122" s="47">
        <f t="shared" si="11"/>
        <v>3.3298097251585723E-2</v>
      </c>
      <c r="H122" s="45">
        <v>2.1353770000000001</v>
      </c>
      <c r="I122" s="48">
        <f t="shared" si="12"/>
        <v>113.5377</v>
      </c>
      <c r="J122" s="47">
        <f t="shared" ref="J122:J186" si="18">(1/H122)-(1/D122)</f>
        <v>3.1851028407804405E-3</v>
      </c>
      <c r="K122" s="64">
        <v>29</v>
      </c>
      <c r="L122" s="45">
        <v>0.2</v>
      </c>
      <c r="M122" s="64">
        <f t="shared" si="9"/>
        <v>33.349999999999994</v>
      </c>
      <c r="N122" s="76">
        <f>-K122</f>
        <v>-29</v>
      </c>
      <c r="O122" s="45" t="s">
        <v>75</v>
      </c>
      <c r="P122">
        <f t="shared" si="14"/>
        <v>0</v>
      </c>
      <c r="Q122">
        <f t="shared" si="15"/>
        <v>1</v>
      </c>
      <c r="R122">
        <f t="shared" si="16"/>
        <v>0</v>
      </c>
      <c r="S122">
        <f t="shared" si="17"/>
        <v>-29</v>
      </c>
    </row>
    <row r="123" spans="1:19" x14ac:dyDescent="0.3">
      <c r="A123" s="42">
        <v>44673</v>
      </c>
      <c r="B123" s="44" t="s">
        <v>19</v>
      </c>
      <c r="C123" s="43" t="s">
        <v>14</v>
      </c>
      <c r="D123" s="45">
        <v>1.75</v>
      </c>
      <c r="E123" s="48">
        <f t="shared" si="10"/>
        <v>-133.33333333333334</v>
      </c>
      <c r="F123" s="45">
        <v>2.15</v>
      </c>
      <c r="G123" s="47">
        <f t="shared" si="11"/>
        <v>3.6544850498338777E-2</v>
      </c>
      <c r="H123" s="45">
        <v>1.6364000000000001</v>
      </c>
      <c r="I123" s="48">
        <f t="shared" si="12"/>
        <v>-157.1338780641106</v>
      </c>
      <c r="J123" s="47">
        <f t="shared" si="18"/>
        <v>3.9668959737402698E-2</v>
      </c>
      <c r="K123" s="64">
        <v>33</v>
      </c>
      <c r="L123" s="45">
        <v>0.5</v>
      </c>
      <c r="M123" s="64">
        <f t="shared" si="9"/>
        <v>24.75</v>
      </c>
      <c r="N123" s="76">
        <f>+M123</f>
        <v>24.75</v>
      </c>
      <c r="O123" s="45" t="s">
        <v>76</v>
      </c>
      <c r="P123">
        <f t="shared" si="14"/>
        <v>1</v>
      </c>
      <c r="Q123">
        <f t="shared" si="15"/>
        <v>0</v>
      </c>
      <c r="R123">
        <f t="shared" si="16"/>
        <v>24.75</v>
      </c>
      <c r="S123">
        <f t="shared" si="17"/>
        <v>0</v>
      </c>
    </row>
    <row r="124" spans="1:19" x14ac:dyDescent="0.3">
      <c r="A124" s="42">
        <v>44673</v>
      </c>
      <c r="B124" s="44" t="s">
        <v>18</v>
      </c>
      <c r="C124" s="43" t="s">
        <v>20</v>
      </c>
      <c r="D124" s="45">
        <v>2.15</v>
      </c>
      <c r="E124" s="45">
        <f t="shared" si="10"/>
        <v>114.99999999999999</v>
      </c>
      <c r="F124" s="45">
        <v>1.75</v>
      </c>
      <c r="G124" s="47">
        <f t="shared" si="11"/>
        <v>3.6544850498338777E-2</v>
      </c>
      <c r="H124" s="45">
        <v>1.8575919999999999</v>
      </c>
      <c r="I124" s="48">
        <f t="shared" si="12"/>
        <v>-116.60556535042306</v>
      </c>
      <c r="J124" s="47">
        <f t="shared" si="18"/>
        <v>7.3215066026464715E-2</v>
      </c>
      <c r="K124" s="64">
        <v>58</v>
      </c>
      <c r="L124" s="45">
        <v>1</v>
      </c>
      <c r="M124" s="64">
        <f t="shared" si="9"/>
        <v>66.699999999999989</v>
      </c>
      <c r="N124" s="76">
        <f>-K124</f>
        <v>-58</v>
      </c>
      <c r="O124" s="45" t="s">
        <v>75</v>
      </c>
      <c r="P124">
        <f t="shared" si="14"/>
        <v>0</v>
      </c>
      <c r="Q124">
        <f t="shared" si="15"/>
        <v>1</v>
      </c>
      <c r="R124">
        <f t="shared" si="16"/>
        <v>0</v>
      </c>
      <c r="S124">
        <f t="shared" si="17"/>
        <v>-58</v>
      </c>
    </row>
    <row r="125" spans="1:19" x14ac:dyDescent="0.3">
      <c r="A125" s="42">
        <v>44673</v>
      </c>
      <c r="B125" s="43" t="s">
        <v>31</v>
      </c>
      <c r="C125" s="44" t="s">
        <v>23</v>
      </c>
      <c r="D125" s="45">
        <v>1.8</v>
      </c>
      <c r="E125" s="45">
        <f t="shared" si="10"/>
        <v>-125</v>
      </c>
      <c r="F125" s="45">
        <v>2.0699999999999998</v>
      </c>
      <c r="G125" s="47">
        <f t="shared" si="11"/>
        <v>3.8647342995169254E-2</v>
      </c>
      <c r="H125" s="45">
        <v>1.6570800000000001</v>
      </c>
      <c r="I125" s="48">
        <f t="shared" si="12"/>
        <v>-152.18847020149752</v>
      </c>
      <c r="J125" s="47">
        <f t="shared" si="18"/>
        <v>4.791561059212579E-2</v>
      </c>
      <c r="K125" s="64">
        <v>33</v>
      </c>
      <c r="L125" s="45">
        <v>0.5</v>
      </c>
      <c r="M125" s="64">
        <f t="shared" si="9"/>
        <v>26.400000000000002</v>
      </c>
      <c r="N125" s="76">
        <f>+M125</f>
        <v>26.400000000000002</v>
      </c>
      <c r="O125" s="45" t="s">
        <v>76</v>
      </c>
      <c r="P125">
        <f t="shared" si="14"/>
        <v>1</v>
      </c>
      <c r="Q125">
        <f t="shared" si="15"/>
        <v>0</v>
      </c>
      <c r="R125">
        <f t="shared" si="16"/>
        <v>26.400000000000002</v>
      </c>
      <c r="S125">
        <f t="shared" si="17"/>
        <v>0</v>
      </c>
    </row>
    <row r="126" spans="1:19" x14ac:dyDescent="0.3">
      <c r="A126" s="42">
        <v>44673</v>
      </c>
      <c r="B126" s="44" t="s">
        <v>9</v>
      </c>
      <c r="C126" s="43" t="s">
        <v>7</v>
      </c>
      <c r="D126" s="45">
        <v>1.67</v>
      </c>
      <c r="E126" s="48">
        <f t="shared" si="10"/>
        <v>-149.25373134328359</v>
      </c>
      <c r="F126" s="45">
        <v>2.25</v>
      </c>
      <c r="G126" s="47">
        <f t="shared" si="11"/>
        <v>4.3246839654025315E-2</v>
      </c>
      <c r="H126" s="45">
        <v>1.5293300000000001</v>
      </c>
      <c r="I126" s="48">
        <f t="shared" si="12"/>
        <v>-188.918066234674</v>
      </c>
      <c r="J126" s="47">
        <f t="shared" si="18"/>
        <v>5.5078716126755856E-2</v>
      </c>
      <c r="K126" s="64">
        <v>33</v>
      </c>
      <c r="L126" s="45">
        <v>0.5</v>
      </c>
      <c r="M126" s="64">
        <f t="shared" si="9"/>
        <v>22.11</v>
      </c>
      <c r="N126" s="76">
        <f>-M126</f>
        <v>-22.11</v>
      </c>
      <c r="O126" s="45" t="s">
        <v>76</v>
      </c>
      <c r="P126">
        <f t="shared" si="14"/>
        <v>0</v>
      </c>
      <c r="Q126">
        <f t="shared" si="15"/>
        <v>0</v>
      </c>
      <c r="R126">
        <f t="shared" si="16"/>
        <v>-22.11</v>
      </c>
      <c r="S126">
        <f t="shared" si="17"/>
        <v>0</v>
      </c>
    </row>
    <row r="127" spans="1:19" x14ac:dyDescent="0.3">
      <c r="A127" s="42">
        <v>44673</v>
      </c>
      <c r="B127" s="44" t="s">
        <v>13</v>
      </c>
      <c r="C127" s="43" t="s">
        <v>32</v>
      </c>
      <c r="D127" s="45">
        <v>1.72</v>
      </c>
      <c r="E127" s="48">
        <f t="shared" si="10"/>
        <v>-138.88888888888889</v>
      </c>
      <c r="F127" s="45">
        <v>2.15</v>
      </c>
      <c r="G127" s="47">
        <f t="shared" si="11"/>
        <v>4.6511627906976827E-2</v>
      </c>
      <c r="H127" s="45">
        <v>1.613556</v>
      </c>
      <c r="I127" s="48">
        <f t="shared" si="12"/>
        <v>-162.98430787083819</v>
      </c>
      <c r="J127" s="47">
        <f t="shared" si="18"/>
        <v>3.8353826276638636E-2</v>
      </c>
      <c r="K127" s="64">
        <v>33</v>
      </c>
      <c r="L127" s="45">
        <v>0.5</v>
      </c>
      <c r="M127" s="64">
        <f t="shared" si="9"/>
        <v>23.759999999999998</v>
      </c>
      <c r="N127" s="76">
        <v>0</v>
      </c>
      <c r="O127" s="45" t="s">
        <v>76</v>
      </c>
      <c r="P127">
        <f t="shared" si="14"/>
        <v>0</v>
      </c>
      <c r="Q127">
        <f t="shared" si="15"/>
        <v>0</v>
      </c>
      <c r="R127">
        <f t="shared" si="16"/>
        <v>0</v>
      </c>
      <c r="S127">
        <f t="shared" si="17"/>
        <v>0</v>
      </c>
    </row>
    <row r="128" spans="1:19" x14ac:dyDescent="0.3">
      <c r="A128" s="42">
        <v>44673</v>
      </c>
      <c r="B128" s="44" t="s">
        <v>15</v>
      </c>
      <c r="C128" s="43" t="s">
        <v>11</v>
      </c>
      <c r="D128" s="45">
        <v>1.95</v>
      </c>
      <c r="E128" s="48">
        <f t="shared" si="10"/>
        <v>-105.26315789473685</v>
      </c>
      <c r="F128" s="45">
        <v>1.89</v>
      </c>
      <c r="G128" s="47">
        <f t="shared" si="11"/>
        <v>4.1921041921042068E-2</v>
      </c>
      <c r="H128" s="45">
        <v>1.932525</v>
      </c>
      <c r="I128" s="48">
        <f t="shared" si="12"/>
        <v>-107.23573094555105</v>
      </c>
      <c r="J128" s="47">
        <f t="shared" si="18"/>
        <v>4.637217351153744E-3</v>
      </c>
      <c r="K128" s="64">
        <v>13</v>
      </c>
      <c r="L128" s="45">
        <v>0.2</v>
      </c>
      <c r="M128" s="64">
        <f t="shared" si="9"/>
        <v>12.35</v>
      </c>
      <c r="N128" s="76">
        <f>+M128</f>
        <v>12.35</v>
      </c>
      <c r="O128" s="45" t="s">
        <v>76</v>
      </c>
      <c r="P128">
        <f t="shared" si="14"/>
        <v>1</v>
      </c>
      <c r="Q128">
        <f t="shared" si="15"/>
        <v>0</v>
      </c>
      <c r="R128">
        <f t="shared" si="16"/>
        <v>12.35</v>
      </c>
      <c r="S128">
        <f t="shared" si="17"/>
        <v>0</v>
      </c>
    </row>
    <row r="129" spans="1:19" x14ac:dyDescent="0.3">
      <c r="A129" s="42">
        <v>44673</v>
      </c>
      <c r="B129" s="43" t="s">
        <v>16</v>
      </c>
      <c r="C129" s="44" t="s">
        <v>10</v>
      </c>
      <c r="D129" s="45">
        <v>2.46</v>
      </c>
      <c r="E129" s="45">
        <f t="shared" si="10"/>
        <v>146</v>
      </c>
      <c r="F129" s="45">
        <v>1.57</v>
      </c>
      <c r="G129" s="47">
        <f t="shared" si="11"/>
        <v>4.3446740199886147E-2</v>
      </c>
      <c r="H129" s="45">
        <v>2.2515049999999999</v>
      </c>
      <c r="I129" s="48">
        <f t="shared" si="12"/>
        <v>125.15049999999999</v>
      </c>
      <c r="J129" s="47">
        <f t="shared" si="18"/>
        <v>3.7643294170188579E-2</v>
      </c>
      <c r="K129" s="64">
        <v>46</v>
      </c>
      <c r="L129" s="45">
        <v>0.5</v>
      </c>
      <c r="M129" s="64">
        <f t="shared" si="9"/>
        <v>67.16</v>
      </c>
      <c r="N129" s="76">
        <f>+M129</f>
        <v>67.16</v>
      </c>
      <c r="O129" s="45" t="s">
        <v>77</v>
      </c>
      <c r="P129">
        <f t="shared" si="14"/>
        <v>1</v>
      </c>
      <c r="Q129">
        <f t="shared" si="15"/>
        <v>1</v>
      </c>
      <c r="R129">
        <f t="shared" si="16"/>
        <v>0</v>
      </c>
      <c r="S129">
        <f t="shared" si="17"/>
        <v>67.16</v>
      </c>
    </row>
    <row r="130" spans="1:19" x14ac:dyDescent="0.3">
      <c r="A130" s="42">
        <v>44673</v>
      </c>
      <c r="B130" s="44" t="s">
        <v>34</v>
      </c>
      <c r="C130" s="43" t="s">
        <v>33</v>
      </c>
      <c r="D130" s="45">
        <v>2.38</v>
      </c>
      <c r="E130" s="45">
        <f t="shared" si="10"/>
        <v>138</v>
      </c>
      <c r="F130" s="45">
        <v>1.64</v>
      </c>
      <c r="G130" s="47">
        <f t="shared" si="11"/>
        <v>2.9924164787866303E-2</v>
      </c>
      <c r="H130" s="45">
        <v>2.0300199999999999</v>
      </c>
      <c r="I130" s="48">
        <f t="shared" si="12"/>
        <v>103.002</v>
      </c>
      <c r="J130" s="47">
        <f t="shared" si="18"/>
        <v>7.243791695060503E-2</v>
      </c>
      <c r="K130" s="64">
        <v>48</v>
      </c>
      <c r="L130" s="45">
        <v>1</v>
      </c>
      <c r="M130" s="64">
        <f t="shared" si="9"/>
        <v>66.239999999999995</v>
      </c>
      <c r="N130" s="76">
        <f>-K130</f>
        <v>-48</v>
      </c>
      <c r="O130" s="45" t="s">
        <v>77</v>
      </c>
      <c r="P130">
        <f t="shared" si="14"/>
        <v>0</v>
      </c>
      <c r="Q130">
        <f t="shared" si="15"/>
        <v>1</v>
      </c>
      <c r="R130">
        <f t="shared" si="16"/>
        <v>0</v>
      </c>
      <c r="S130">
        <f t="shared" si="17"/>
        <v>-48</v>
      </c>
    </row>
    <row r="131" spans="1:19" x14ac:dyDescent="0.3">
      <c r="A131" s="42">
        <v>44673</v>
      </c>
      <c r="B131" s="44" t="s">
        <v>17</v>
      </c>
      <c r="C131" s="43" t="s">
        <v>6</v>
      </c>
      <c r="D131" s="45">
        <v>1.57</v>
      </c>
      <c r="E131" s="48">
        <f t="shared" si="10"/>
        <v>-175.43859649122805</v>
      </c>
      <c r="F131" s="45">
        <v>2.59</v>
      </c>
      <c r="G131" s="47">
        <f t="shared" si="11"/>
        <v>2.3043061259621744E-2</v>
      </c>
      <c r="H131" s="45">
        <v>1.417</v>
      </c>
      <c r="I131" s="48">
        <f t="shared" si="12"/>
        <v>-239.80815347721821</v>
      </c>
      <c r="J131" s="47">
        <f t="shared" si="18"/>
        <v>6.8773626887341566E-2</v>
      </c>
      <c r="K131" s="64">
        <v>66</v>
      </c>
      <c r="L131" s="45">
        <v>1</v>
      </c>
      <c r="M131" s="64">
        <f t="shared" si="9"/>
        <v>37.620000000000005</v>
      </c>
      <c r="N131" s="76">
        <f>-M131</f>
        <v>-37.620000000000005</v>
      </c>
      <c r="O131" s="45" t="s">
        <v>76</v>
      </c>
      <c r="P131">
        <f t="shared" ref="P131:P186" si="19">+IF(N131&gt;0,1,0)</f>
        <v>0</v>
      </c>
      <c r="Q131">
        <f t="shared" ref="Q131:Q186" si="20">+IF(D131&gt;2,1,0)</f>
        <v>0</v>
      </c>
      <c r="R131">
        <f t="shared" ref="R131:R186" si="21">+IF(Q131=0,N131,0)</f>
        <v>-37.620000000000005</v>
      </c>
      <c r="S131">
        <f t="shared" ref="S131:S186" si="22">+IF(Q131=1,N131,0)</f>
        <v>0</v>
      </c>
    </row>
    <row r="132" spans="1:19" x14ac:dyDescent="0.3">
      <c r="A132" s="51">
        <v>44674</v>
      </c>
      <c r="B132" s="53" t="s">
        <v>13</v>
      </c>
      <c r="C132" s="75" t="s">
        <v>32</v>
      </c>
      <c r="D132" s="52">
        <v>1.71</v>
      </c>
      <c r="E132" s="54">
        <f t="shared" si="10"/>
        <v>-140.84507042253523</v>
      </c>
      <c r="F132" s="52">
        <v>2.25</v>
      </c>
      <c r="G132" s="55">
        <f t="shared" si="11"/>
        <v>2.9239766081871288E-2</v>
      </c>
      <c r="H132" s="52">
        <v>1.6051200000000001</v>
      </c>
      <c r="I132" s="54">
        <f t="shared" si="12"/>
        <v>-165.25647805393967</v>
      </c>
      <c r="J132" s="55">
        <f t="shared" si="18"/>
        <v>3.8211057947900029E-2</v>
      </c>
      <c r="K132" s="65">
        <v>33</v>
      </c>
      <c r="L132" s="52">
        <v>0.5</v>
      </c>
      <c r="M132" s="52">
        <f t="shared" si="9"/>
        <v>23.43</v>
      </c>
      <c r="N132" s="52">
        <f>+M132</f>
        <v>23.43</v>
      </c>
      <c r="O132" s="52" t="s">
        <v>77</v>
      </c>
      <c r="P132">
        <f t="shared" si="19"/>
        <v>1</v>
      </c>
      <c r="Q132">
        <f t="shared" si="20"/>
        <v>0</v>
      </c>
      <c r="R132">
        <f t="shared" si="21"/>
        <v>23.43</v>
      </c>
      <c r="S132">
        <f t="shared" si="22"/>
        <v>0</v>
      </c>
    </row>
    <row r="133" spans="1:19" x14ac:dyDescent="0.3">
      <c r="A133" s="51">
        <v>44674</v>
      </c>
      <c r="B133" s="75" t="s">
        <v>12</v>
      </c>
      <c r="C133" s="53" t="s">
        <v>8</v>
      </c>
      <c r="D133" s="52">
        <v>1.57</v>
      </c>
      <c r="E133" s="54">
        <f t="shared" si="10"/>
        <v>-175.43859649122805</v>
      </c>
      <c r="F133" s="52">
        <v>2.5499999999999998</v>
      </c>
      <c r="G133" s="55">
        <f t="shared" si="11"/>
        <v>2.9099537904333728E-2</v>
      </c>
      <c r="H133" s="52">
        <v>1.5530489999999999</v>
      </c>
      <c r="I133" s="54">
        <f t="shared" si="12"/>
        <v>-180.81580474786142</v>
      </c>
      <c r="J133" s="55">
        <f t="shared" si="18"/>
        <v>6.9520120013111253E-3</v>
      </c>
      <c r="K133" s="65">
        <v>16</v>
      </c>
      <c r="L133" s="52">
        <v>0.2</v>
      </c>
      <c r="M133" s="52">
        <f t="shared" si="9"/>
        <v>9.120000000000001</v>
      </c>
      <c r="N133" s="52">
        <f>+M133</f>
        <v>9.120000000000001</v>
      </c>
      <c r="O133" s="52" t="s">
        <v>76</v>
      </c>
      <c r="P133">
        <f t="shared" si="19"/>
        <v>1</v>
      </c>
      <c r="Q133">
        <f t="shared" si="20"/>
        <v>0</v>
      </c>
      <c r="R133">
        <f t="shared" si="21"/>
        <v>9.120000000000001</v>
      </c>
      <c r="S133">
        <f t="shared" si="22"/>
        <v>0</v>
      </c>
    </row>
    <row r="134" spans="1:19" x14ac:dyDescent="0.3">
      <c r="A134" s="51">
        <v>44674</v>
      </c>
      <c r="B134" s="52" t="s">
        <v>15</v>
      </c>
      <c r="C134" s="53" t="s">
        <v>11</v>
      </c>
      <c r="D134" s="52">
        <v>2.2999999999999998</v>
      </c>
      <c r="E134" s="54">
        <f t="shared" si="10"/>
        <v>129.99999999999997</v>
      </c>
      <c r="F134" s="52">
        <v>1.65</v>
      </c>
      <c r="G134" s="55">
        <f t="shared" si="11"/>
        <v>4.0843214756258295E-2</v>
      </c>
      <c r="H134" s="52">
        <v>2.0931890000000002</v>
      </c>
      <c r="I134" s="54">
        <f t="shared" si="12"/>
        <v>109.31890000000001</v>
      </c>
      <c r="J134" s="55">
        <f t="shared" si="18"/>
        <v>4.2957337386617445E-2</v>
      </c>
      <c r="K134" s="65">
        <v>39</v>
      </c>
      <c r="L134" s="52">
        <v>0.5</v>
      </c>
      <c r="M134" s="65">
        <f t="shared" si="9"/>
        <v>50.699999999999996</v>
      </c>
      <c r="N134" s="81">
        <f>-K134</f>
        <v>-39</v>
      </c>
      <c r="O134" s="52" t="s">
        <v>75</v>
      </c>
      <c r="P134">
        <f t="shared" si="19"/>
        <v>0</v>
      </c>
      <c r="Q134">
        <f t="shared" si="20"/>
        <v>1</v>
      </c>
      <c r="R134">
        <f t="shared" si="21"/>
        <v>0</v>
      </c>
      <c r="S134">
        <f t="shared" si="22"/>
        <v>-39</v>
      </c>
    </row>
    <row r="135" spans="1:19" x14ac:dyDescent="0.3">
      <c r="A135" s="28">
        <v>44674</v>
      </c>
      <c r="B135" s="7" t="s">
        <v>24</v>
      </c>
      <c r="C135" s="26" t="s">
        <v>28</v>
      </c>
      <c r="D135" s="52">
        <v>2.25</v>
      </c>
      <c r="E135" s="54">
        <f t="shared" si="10"/>
        <v>125</v>
      </c>
      <c r="F135" s="52">
        <v>1.69</v>
      </c>
      <c r="G135" s="55">
        <f t="shared" si="11"/>
        <v>3.6160420775805502E-2</v>
      </c>
      <c r="H135" s="52">
        <v>1.9630399999999999</v>
      </c>
      <c r="I135" s="54">
        <f t="shared" si="12"/>
        <v>-103.83784681840838</v>
      </c>
      <c r="J135" s="55">
        <f t="shared" si="18"/>
        <v>6.4969525724273502E-2</v>
      </c>
      <c r="K135" s="65">
        <v>78</v>
      </c>
      <c r="L135" s="52">
        <v>1</v>
      </c>
      <c r="M135" s="65">
        <f t="shared" si="9"/>
        <v>97.5</v>
      </c>
      <c r="N135" s="82">
        <f>+M135</f>
        <v>97.5</v>
      </c>
      <c r="O135" s="52" t="s">
        <v>75</v>
      </c>
      <c r="P135">
        <f t="shared" si="19"/>
        <v>1</v>
      </c>
      <c r="Q135">
        <f t="shared" si="20"/>
        <v>1</v>
      </c>
      <c r="R135">
        <f t="shared" si="21"/>
        <v>0</v>
      </c>
      <c r="S135">
        <f t="shared" si="22"/>
        <v>97.5</v>
      </c>
    </row>
    <row r="136" spans="1:19" x14ac:dyDescent="0.3">
      <c r="A136" s="28">
        <v>44674</v>
      </c>
      <c r="B136" s="7" t="s">
        <v>18</v>
      </c>
      <c r="C136" s="26" t="s">
        <v>20</v>
      </c>
      <c r="D136" s="52">
        <v>2.2999999999999998</v>
      </c>
      <c r="E136" s="54">
        <f t="shared" si="10"/>
        <v>129.99999999999997</v>
      </c>
      <c r="F136" s="52">
        <v>1.65</v>
      </c>
      <c r="G136" s="55">
        <f t="shared" si="11"/>
        <v>4.0843214756258295E-2</v>
      </c>
      <c r="H136" s="52">
        <v>2.0439799999999999</v>
      </c>
      <c r="I136" s="54">
        <f t="shared" si="12"/>
        <v>104.398</v>
      </c>
      <c r="J136" s="55">
        <f t="shared" si="18"/>
        <v>5.445896901058761E-2</v>
      </c>
      <c r="K136" s="65">
        <v>39</v>
      </c>
      <c r="L136" s="52">
        <v>0.5</v>
      </c>
      <c r="M136" s="65">
        <f t="shared" ref="M136:M186" si="23">+K136*(D136-1)</f>
        <v>50.699999999999996</v>
      </c>
      <c r="N136" s="82">
        <f>+M136</f>
        <v>50.699999999999996</v>
      </c>
      <c r="O136" s="52" t="s">
        <v>75</v>
      </c>
      <c r="P136">
        <f t="shared" si="19"/>
        <v>1</v>
      </c>
      <c r="Q136">
        <f t="shared" si="20"/>
        <v>1</v>
      </c>
      <c r="R136">
        <f t="shared" si="21"/>
        <v>0</v>
      </c>
      <c r="S136">
        <f t="shared" si="22"/>
        <v>50.699999999999996</v>
      </c>
    </row>
    <row r="137" spans="1:19" x14ac:dyDescent="0.3">
      <c r="A137" s="28">
        <v>44674</v>
      </c>
      <c r="B137" s="7" t="s">
        <v>27</v>
      </c>
      <c r="C137" s="26" t="s">
        <v>30</v>
      </c>
      <c r="D137" s="52">
        <v>1.97</v>
      </c>
      <c r="E137" s="54">
        <f t="shared" si="10"/>
        <v>-103.09278350515464</v>
      </c>
      <c r="F137" s="52">
        <v>1.87</v>
      </c>
      <c r="G137" s="55">
        <f t="shared" si="11"/>
        <v>4.2373571486739481E-2</v>
      </c>
      <c r="H137" s="52">
        <v>1.8539300000000001</v>
      </c>
      <c r="I137" s="54">
        <f t="shared" si="12"/>
        <v>-117.10561755647417</v>
      </c>
      <c r="J137" s="55">
        <f t="shared" si="18"/>
        <v>3.1780478079478924E-2</v>
      </c>
      <c r="K137" s="65">
        <v>39</v>
      </c>
      <c r="L137" s="52">
        <v>0.5</v>
      </c>
      <c r="M137" s="65">
        <f t="shared" si="23"/>
        <v>37.83</v>
      </c>
      <c r="N137" s="82">
        <f>+M137</f>
        <v>37.83</v>
      </c>
      <c r="O137" s="52" t="s">
        <v>77</v>
      </c>
      <c r="P137">
        <f t="shared" si="19"/>
        <v>1</v>
      </c>
      <c r="Q137">
        <f t="shared" si="20"/>
        <v>0</v>
      </c>
      <c r="R137">
        <f t="shared" si="21"/>
        <v>37.83</v>
      </c>
      <c r="S137">
        <f t="shared" si="22"/>
        <v>0</v>
      </c>
    </row>
    <row r="138" spans="1:19" x14ac:dyDescent="0.3">
      <c r="A138" s="28">
        <v>44674</v>
      </c>
      <c r="B138" s="79" t="s">
        <v>16</v>
      </c>
      <c r="C138" s="80" t="s">
        <v>10</v>
      </c>
      <c r="D138" s="52">
        <v>2.1</v>
      </c>
      <c r="E138" s="54">
        <f t="shared" si="10"/>
        <v>110.00000000000001</v>
      </c>
      <c r="F138" s="52">
        <v>1.78</v>
      </c>
      <c r="G138" s="55">
        <f t="shared" si="11"/>
        <v>3.7988228999465079E-2</v>
      </c>
      <c r="H138" s="52">
        <v>1.8922220000000001</v>
      </c>
      <c r="I138" s="54">
        <f t="shared" si="12"/>
        <v>-112.07972903604707</v>
      </c>
      <c r="J138" s="55">
        <f t="shared" si="18"/>
        <v>5.2288740307376624E-2</v>
      </c>
      <c r="K138" s="65">
        <v>39</v>
      </c>
      <c r="L138" s="52">
        <v>0.5</v>
      </c>
      <c r="M138" s="65">
        <f t="shared" si="23"/>
        <v>42.900000000000006</v>
      </c>
      <c r="N138" s="82">
        <f>-K138</f>
        <v>-39</v>
      </c>
      <c r="O138" s="52" t="s">
        <v>76</v>
      </c>
      <c r="P138">
        <f t="shared" si="19"/>
        <v>0</v>
      </c>
      <c r="Q138">
        <f t="shared" si="20"/>
        <v>1</v>
      </c>
      <c r="R138">
        <f t="shared" si="21"/>
        <v>0</v>
      </c>
      <c r="S138">
        <f t="shared" si="22"/>
        <v>-39</v>
      </c>
    </row>
    <row r="139" spans="1:19" x14ac:dyDescent="0.3">
      <c r="A139" s="28">
        <v>44674</v>
      </c>
      <c r="B139" s="79" t="s">
        <v>9</v>
      </c>
      <c r="C139" s="80" t="s">
        <v>7</v>
      </c>
      <c r="D139" s="52">
        <v>1.7</v>
      </c>
      <c r="E139" s="54">
        <f t="shared" si="10"/>
        <v>-142.85714285714286</v>
      </c>
      <c r="F139" s="52">
        <v>2.2000000000000002</v>
      </c>
      <c r="G139" s="55">
        <f t="shared" si="11"/>
        <v>4.2780748663101553E-2</v>
      </c>
      <c r="H139" s="52">
        <v>1.534783</v>
      </c>
      <c r="I139" s="54">
        <f t="shared" si="12"/>
        <v>-186.99173309547984</v>
      </c>
      <c r="J139" s="55">
        <f t="shared" si="18"/>
        <v>6.3322613417164053E-2</v>
      </c>
      <c r="K139" s="65">
        <v>78</v>
      </c>
      <c r="L139" s="52">
        <v>1</v>
      </c>
      <c r="M139" s="65">
        <f t="shared" si="23"/>
        <v>54.599999999999994</v>
      </c>
      <c r="N139" s="82">
        <f>+M139</f>
        <v>54.599999999999994</v>
      </c>
      <c r="O139" s="52" t="s">
        <v>76</v>
      </c>
      <c r="P139">
        <f t="shared" si="19"/>
        <v>1</v>
      </c>
      <c r="Q139">
        <f t="shared" si="20"/>
        <v>0</v>
      </c>
      <c r="R139">
        <f t="shared" si="21"/>
        <v>54.599999999999994</v>
      </c>
      <c r="S139">
        <f t="shared" si="22"/>
        <v>0</v>
      </c>
    </row>
    <row r="140" spans="1:19" x14ac:dyDescent="0.3">
      <c r="A140" s="28">
        <v>44674</v>
      </c>
      <c r="B140" s="79" t="s">
        <v>13</v>
      </c>
      <c r="C140" s="80" t="s">
        <v>32</v>
      </c>
      <c r="D140" s="52">
        <v>1.85</v>
      </c>
      <c r="E140" s="54">
        <f t="shared" si="10"/>
        <v>-117.64705882352941</v>
      </c>
      <c r="F140" s="52">
        <v>1.98</v>
      </c>
      <c r="G140" s="55">
        <f t="shared" si="11"/>
        <v>4.5591045591045543E-2</v>
      </c>
      <c r="H140" s="52">
        <v>1.6051200000000001</v>
      </c>
      <c r="I140" s="54">
        <f t="shared" si="12"/>
        <v>-165.25647805393967</v>
      </c>
      <c r="J140" s="55">
        <f t="shared" si="18"/>
        <v>8.2465839044786438E-2</v>
      </c>
      <c r="K140" s="65">
        <v>78</v>
      </c>
      <c r="L140" s="52">
        <v>1</v>
      </c>
      <c r="M140" s="65">
        <f t="shared" si="23"/>
        <v>66.300000000000011</v>
      </c>
      <c r="N140" s="82">
        <f>-K140</f>
        <v>-78</v>
      </c>
      <c r="O140" s="52" t="s">
        <v>76</v>
      </c>
      <c r="P140">
        <f t="shared" si="19"/>
        <v>0</v>
      </c>
      <c r="Q140">
        <f t="shared" si="20"/>
        <v>0</v>
      </c>
      <c r="R140">
        <f t="shared" si="21"/>
        <v>-78</v>
      </c>
      <c r="S140">
        <f t="shared" si="22"/>
        <v>0</v>
      </c>
    </row>
    <row r="141" spans="1:19" x14ac:dyDescent="0.3">
      <c r="A141" s="42">
        <v>44675</v>
      </c>
      <c r="B141" s="45" t="s">
        <v>27</v>
      </c>
      <c r="C141" s="44" t="s">
        <v>30</v>
      </c>
      <c r="D141" s="45">
        <v>2.25</v>
      </c>
      <c r="E141" s="45">
        <f t="shared" si="10"/>
        <v>125</v>
      </c>
      <c r="F141" s="45">
        <v>1.7</v>
      </c>
      <c r="G141" s="47">
        <f t="shared" si="11"/>
        <v>3.2679738562091387E-2</v>
      </c>
      <c r="H141" s="45">
        <v>2.2222369999999998</v>
      </c>
      <c r="I141" s="48">
        <f t="shared" si="12"/>
        <v>122.22369999999998</v>
      </c>
      <c r="J141" s="47">
        <f t="shared" si="18"/>
        <v>5.5525630754555966E-3</v>
      </c>
      <c r="K141" s="64">
        <v>16</v>
      </c>
      <c r="L141" s="45">
        <v>0.2</v>
      </c>
      <c r="M141" s="64">
        <f t="shared" si="23"/>
        <v>20</v>
      </c>
      <c r="N141" s="76">
        <f>+M141</f>
        <v>20</v>
      </c>
      <c r="O141" s="45" t="s">
        <v>75</v>
      </c>
      <c r="P141">
        <f t="shared" si="19"/>
        <v>1</v>
      </c>
      <c r="Q141">
        <f t="shared" si="20"/>
        <v>1</v>
      </c>
      <c r="R141">
        <f t="shared" si="21"/>
        <v>0</v>
      </c>
      <c r="S141">
        <f t="shared" si="22"/>
        <v>20</v>
      </c>
    </row>
    <row r="142" spans="1:19" x14ac:dyDescent="0.3">
      <c r="A142" s="42">
        <v>44675</v>
      </c>
      <c r="B142" s="44" t="s">
        <v>13</v>
      </c>
      <c r="C142" s="45" t="s">
        <v>32</v>
      </c>
      <c r="D142" s="45">
        <v>1.8</v>
      </c>
      <c r="E142" s="48">
        <f t="shared" si="10"/>
        <v>-125</v>
      </c>
      <c r="F142" s="45">
        <v>2.1</v>
      </c>
      <c r="G142" s="47">
        <f t="shared" si="11"/>
        <v>3.1746031746031633E-2</v>
      </c>
      <c r="H142" s="45">
        <v>1.560873</v>
      </c>
      <c r="I142" s="48">
        <f t="shared" si="12"/>
        <v>-178.29348176860003</v>
      </c>
      <c r="J142" s="47">
        <f t="shared" si="18"/>
        <v>8.511155829675654E-2</v>
      </c>
      <c r="K142" s="64">
        <v>80</v>
      </c>
      <c r="L142" s="45">
        <v>1</v>
      </c>
      <c r="M142" s="64">
        <f t="shared" si="23"/>
        <v>64</v>
      </c>
      <c r="N142" s="64">
        <f>-K142</f>
        <v>-80</v>
      </c>
      <c r="O142" s="45" t="s">
        <v>75</v>
      </c>
      <c r="P142">
        <f t="shared" si="19"/>
        <v>0</v>
      </c>
      <c r="Q142">
        <f t="shared" si="20"/>
        <v>0</v>
      </c>
      <c r="R142">
        <f t="shared" si="21"/>
        <v>-80</v>
      </c>
      <c r="S142">
        <f t="shared" si="22"/>
        <v>0</v>
      </c>
    </row>
    <row r="143" spans="1:19" x14ac:dyDescent="0.3">
      <c r="A143" s="42">
        <v>44675</v>
      </c>
      <c r="B143" s="44" t="s">
        <v>21</v>
      </c>
      <c r="C143" s="45" t="s">
        <v>22</v>
      </c>
      <c r="D143" s="45">
        <v>1.78</v>
      </c>
      <c r="E143" s="48">
        <f t="shared" si="10"/>
        <v>-128.2051282051282</v>
      </c>
      <c r="F143" s="45">
        <v>2.11</v>
      </c>
      <c r="G143" s="47">
        <f t="shared" si="11"/>
        <v>3.5731402098088338E-2</v>
      </c>
      <c r="H143" s="45">
        <v>1.661958</v>
      </c>
      <c r="I143" s="48">
        <f t="shared" si="12"/>
        <v>-151.06698612298663</v>
      </c>
      <c r="J143" s="47">
        <f t="shared" si="18"/>
        <v>3.9902169812401134E-2</v>
      </c>
      <c r="K143" s="64">
        <v>40</v>
      </c>
      <c r="L143" s="45">
        <v>0.5</v>
      </c>
      <c r="M143" s="64">
        <f t="shared" si="23"/>
        <v>31.200000000000003</v>
      </c>
      <c r="N143" s="64">
        <f>-K143</f>
        <v>-40</v>
      </c>
      <c r="O143" s="45" t="s">
        <v>76</v>
      </c>
      <c r="P143">
        <f t="shared" si="19"/>
        <v>0</v>
      </c>
      <c r="Q143">
        <f t="shared" si="20"/>
        <v>0</v>
      </c>
      <c r="R143">
        <f t="shared" si="21"/>
        <v>-40</v>
      </c>
      <c r="S143">
        <f t="shared" si="22"/>
        <v>0</v>
      </c>
    </row>
    <row r="144" spans="1:19" x14ac:dyDescent="0.3">
      <c r="A144" s="42">
        <v>44675</v>
      </c>
      <c r="B144" s="45" t="s">
        <v>8</v>
      </c>
      <c r="C144" s="44" t="s">
        <v>12</v>
      </c>
      <c r="D144" s="45">
        <v>2.85</v>
      </c>
      <c r="E144" s="48">
        <f t="shared" si="10"/>
        <v>185</v>
      </c>
      <c r="F144" s="45">
        <v>1.48</v>
      </c>
      <c r="G144" s="47">
        <f t="shared" si="11"/>
        <v>2.6552868658131779E-2</v>
      </c>
      <c r="H144" s="45">
        <v>2.7219359999999999</v>
      </c>
      <c r="I144" s="48">
        <f t="shared" si="12"/>
        <v>172.1936</v>
      </c>
      <c r="J144" s="47">
        <f t="shared" si="18"/>
        <v>1.6508373761214556E-2</v>
      </c>
      <c r="K144" s="64">
        <v>16</v>
      </c>
      <c r="L144" s="45">
        <v>0.2</v>
      </c>
      <c r="M144" s="64">
        <f t="shared" si="23"/>
        <v>29.6</v>
      </c>
      <c r="N144" s="64">
        <f>-K144</f>
        <v>-16</v>
      </c>
      <c r="O144" s="45" t="s">
        <v>77</v>
      </c>
      <c r="P144">
        <f t="shared" si="19"/>
        <v>0</v>
      </c>
      <c r="Q144">
        <f t="shared" si="20"/>
        <v>1</v>
      </c>
      <c r="R144">
        <f t="shared" si="21"/>
        <v>0</v>
      </c>
      <c r="S144">
        <f t="shared" si="22"/>
        <v>-16</v>
      </c>
    </row>
    <row r="145" spans="1:19" x14ac:dyDescent="0.3">
      <c r="A145" s="42">
        <v>44675</v>
      </c>
      <c r="B145" s="45" t="s">
        <v>24</v>
      </c>
      <c r="C145" s="44" t="s">
        <v>28</v>
      </c>
      <c r="D145" s="45">
        <v>2.23</v>
      </c>
      <c r="E145" s="45">
        <f t="shared" si="10"/>
        <v>123</v>
      </c>
      <c r="F145" s="45">
        <v>1.66</v>
      </c>
      <c r="G145" s="47">
        <f t="shared" si="11"/>
        <v>5.0840131827759594E-2</v>
      </c>
      <c r="H145" s="45">
        <v>2.089067</v>
      </c>
      <c r="I145" s="48">
        <f t="shared" si="12"/>
        <v>108.9067</v>
      </c>
      <c r="J145" s="47">
        <f t="shared" si="18"/>
        <v>3.0252095652518629E-2</v>
      </c>
      <c r="K145" s="64">
        <v>40</v>
      </c>
      <c r="L145" s="45">
        <v>0.5</v>
      </c>
      <c r="M145" s="64">
        <f t="shared" si="23"/>
        <v>49.2</v>
      </c>
      <c r="N145" s="64">
        <f>+M145</f>
        <v>49.2</v>
      </c>
      <c r="O145" s="45" t="s">
        <v>77</v>
      </c>
      <c r="P145">
        <f t="shared" si="19"/>
        <v>1</v>
      </c>
      <c r="Q145">
        <f t="shared" si="20"/>
        <v>1</v>
      </c>
      <c r="R145">
        <f t="shared" si="21"/>
        <v>0</v>
      </c>
      <c r="S145">
        <f t="shared" si="22"/>
        <v>49.2</v>
      </c>
    </row>
    <row r="146" spans="1:19" x14ac:dyDescent="0.3">
      <c r="A146" s="51">
        <v>44676</v>
      </c>
      <c r="B146" s="52" t="s">
        <v>24</v>
      </c>
      <c r="C146" s="53" t="s">
        <v>32</v>
      </c>
      <c r="D146" s="52">
        <v>2.62</v>
      </c>
      <c r="E146" s="52">
        <f t="shared" si="10"/>
        <v>162</v>
      </c>
      <c r="F146" s="52">
        <v>1.51</v>
      </c>
      <c r="G146" s="55">
        <f t="shared" si="11"/>
        <v>4.3931044942116193E-2</v>
      </c>
      <c r="H146" s="52">
        <v>2.5560230000000002</v>
      </c>
      <c r="I146" s="54">
        <f t="shared" si="12"/>
        <v>155.60230000000001</v>
      </c>
      <c r="J146" s="55">
        <f t="shared" si="18"/>
        <v>9.5533969334690716E-3</v>
      </c>
      <c r="K146" s="65">
        <v>16</v>
      </c>
      <c r="L146" s="52">
        <v>0.2</v>
      </c>
      <c r="M146" s="65">
        <f t="shared" si="23"/>
        <v>25.92</v>
      </c>
      <c r="N146" s="65">
        <f>-K146</f>
        <v>-16</v>
      </c>
      <c r="O146" s="52" t="s">
        <v>77</v>
      </c>
      <c r="P146">
        <f t="shared" si="19"/>
        <v>0</v>
      </c>
      <c r="Q146">
        <f t="shared" si="20"/>
        <v>1</v>
      </c>
      <c r="R146">
        <f t="shared" si="21"/>
        <v>0</v>
      </c>
      <c r="S146">
        <f t="shared" si="22"/>
        <v>-16</v>
      </c>
    </row>
    <row r="147" spans="1:19" x14ac:dyDescent="0.3">
      <c r="A147" s="51">
        <v>44676</v>
      </c>
      <c r="B147" s="53" t="s">
        <v>30</v>
      </c>
      <c r="C147" s="52" t="s">
        <v>23</v>
      </c>
      <c r="D147" s="52">
        <v>2.4</v>
      </c>
      <c r="E147" s="52">
        <f t="shared" si="10"/>
        <v>140</v>
      </c>
      <c r="F147" s="52">
        <v>1.61</v>
      </c>
      <c r="G147" s="55">
        <f t="shared" si="11"/>
        <v>3.7784679089026829E-2</v>
      </c>
      <c r="H147" s="52">
        <v>2.0453239999999999</v>
      </c>
      <c r="I147" s="54">
        <f t="shared" si="12"/>
        <v>104.5324</v>
      </c>
      <c r="J147" s="55">
        <f t="shared" si="18"/>
        <v>7.2253426189037351E-2</v>
      </c>
      <c r="K147" s="65">
        <v>79</v>
      </c>
      <c r="L147" s="52">
        <v>1</v>
      </c>
      <c r="M147" s="65">
        <f t="shared" si="23"/>
        <v>110.6</v>
      </c>
      <c r="N147" s="65">
        <f>-K147</f>
        <v>-79</v>
      </c>
      <c r="O147" s="52" t="s">
        <v>75</v>
      </c>
      <c r="P147">
        <f t="shared" si="19"/>
        <v>0</v>
      </c>
      <c r="Q147">
        <f t="shared" si="20"/>
        <v>1</v>
      </c>
      <c r="R147">
        <f t="shared" si="21"/>
        <v>0</v>
      </c>
      <c r="S147">
        <f t="shared" si="22"/>
        <v>-79</v>
      </c>
    </row>
    <row r="148" spans="1:19" x14ac:dyDescent="0.3">
      <c r="A148" s="51">
        <v>44676</v>
      </c>
      <c r="B148" s="53" t="s">
        <v>28</v>
      </c>
      <c r="C148" s="52" t="s">
        <v>35</v>
      </c>
      <c r="D148" s="52">
        <v>2.65</v>
      </c>
      <c r="E148" s="52">
        <f t="shared" si="10"/>
        <v>165</v>
      </c>
      <c r="F148" s="52">
        <v>1.5</v>
      </c>
      <c r="G148" s="55">
        <f t="shared" si="11"/>
        <v>4.4025157232704393E-2</v>
      </c>
      <c r="H148" s="52">
        <v>1.9301349999999999</v>
      </c>
      <c r="I148" s="54">
        <f t="shared" si="12"/>
        <v>-107.51127524499132</v>
      </c>
      <c r="J148" s="55">
        <f t="shared" si="18"/>
        <v>0.14073998441110114</v>
      </c>
      <c r="K148" s="65">
        <v>118</v>
      </c>
      <c r="L148" s="52">
        <v>2</v>
      </c>
      <c r="M148" s="65">
        <f t="shared" si="23"/>
        <v>194.7</v>
      </c>
      <c r="N148" s="65">
        <f>+M148</f>
        <v>194.7</v>
      </c>
      <c r="O148" s="52" t="s">
        <v>75</v>
      </c>
      <c r="P148">
        <f t="shared" si="19"/>
        <v>1</v>
      </c>
      <c r="Q148">
        <f t="shared" si="20"/>
        <v>1</v>
      </c>
      <c r="R148">
        <f t="shared" si="21"/>
        <v>0</v>
      </c>
      <c r="S148">
        <f t="shared" si="22"/>
        <v>194.7</v>
      </c>
    </row>
    <row r="149" spans="1:19" x14ac:dyDescent="0.3">
      <c r="A149" s="51">
        <v>44676</v>
      </c>
      <c r="B149" s="52" t="s">
        <v>7</v>
      </c>
      <c r="C149" s="53" t="s">
        <v>10</v>
      </c>
      <c r="D149" s="52">
        <v>1.78</v>
      </c>
      <c r="E149" s="54">
        <f t="shared" si="10"/>
        <v>-128.2051282051282</v>
      </c>
      <c r="F149" s="52">
        <v>2.2000000000000002</v>
      </c>
      <c r="G149" s="72">
        <f t="shared" si="11"/>
        <v>1.634320735444339E-2</v>
      </c>
      <c r="H149" s="52">
        <v>1.7285090000000001</v>
      </c>
      <c r="I149" s="54">
        <f t="shared" si="12"/>
        <v>-137.26666382982228</v>
      </c>
      <c r="J149" s="55">
        <f t="shared" si="18"/>
        <v>1.6735538021432017E-2</v>
      </c>
      <c r="K149" s="65">
        <v>16</v>
      </c>
      <c r="L149" s="52">
        <v>0.2</v>
      </c>
      <c r="M149" s="65">
        <f t="shared" si="23"/>
        <v>12.48</v>
      </c>
      <c r="N149" s="65">
        <f>+M149</f>
        <v>12.48</v>
      </c>
      <c r="O149" s="52" t="s">
        <v>76</v>
      </c>
      <c r="P149">
        <f t="shared" si="19"/>
        <v>1</v>
      </c>
      <c r="Q149">
        <f t="shared" si="20"/>
        <v>0</v>
      </c>
      <c r="R149">
        <f t="shared" si="21"/>
        <v>12.48</v>
      </c>
      <c r="S149">
        <f t="shared" si="22"/>
        <v>0</v>
      </c>
    </row>
    <row r="150" spans="1:19" x14ac:dyDescent="0.3">
      <c r="A150" s="51">
        <v>44676</v>
      </c>
      <c r="B150" s="53" t="s">
        <v>17</v>
      </c>
      <c r="C150" s="52" t="s">
        <v>12</v>
      </c>
      <c r="D150" s="52">
        <v>1.8</v>
      </c>
      <c r="E150" s="52">
        <f t="shared" si="10"/>
        <v>-125</v>
      </c>
      <c r="F150" s="52">
        <v>2.06</v>
      </c>
      <c r="G150" s="55">
        <f t="shared" si="11"/>
        <v>4.0992448759439082E-2</v>
      </c>
      <c r="H150" s="52">
        <v>1.717355</v>
      </c>
      <c r="I150" s="54">
        <f t="shared" si="12"/>
        <v>-139.40099392908672</v>
      </c>
      <c r="J150" s="55">
        <f t="shared" si="18"/>
        <v>2.6735234642161321E-2</v>
      </c>
      <c r="K150" s="65">
        <v>16</v>
      </c>
      <c r="L150" s="52">
        <v>0.2</v>
      </c>
      <c r="M150" s="65">
        <f t="shared" si="23"/>
        <v>12.8</v>
      </c>
      <c r="N150" s="65">
        <f>+M150</f>
        <v>12.8</v>
      </c>
      <c r="O150" s="52" t="s">
        <v>76</v>
      </c>
      <c r="P150">
        <f t="shared" si="19"/>
        <v>1</v>
      </c>
      <c r="Q150">
        <f t="shared" si="20"/>
        <v>0</v>
      </c>
      <c r="R150">
        <f t="shared" si="21"/>
        <v>12.8</v>
      </c>
      <c r="S150">
        <f t="shared" si="22"/>
        <v>0</v>
      </c>
    </row>
    <row r="151" spans="1:19" x14ac:dyDescent="0.3">
      <c r="A151" s="42">
        <v>44677</v>
      </c>
      <c r="B151" s="44" t="s">
        <v>9</v>
      </c>
      <c r="C151" s="45" t="s">
        <v>19</v>
      </c>
      <c r="D151" s="45">
        <v>1.75</v>
      </c>
      <c r="E151" s="48">
        <f t="shared" si="10"/>
        <v>-133.33333333333334</v>
      </c>
      <c r="F151" s="45">
        <v>2.15</v>
      </c>
      <c r="G151" s="47">
        <f t="shared" si="11"/>
        <v>3.6544850498338777E-2</v>
      </c>
      <c r="H151" s="45">
        <v>1.549369</v>
      </c>
      <c r="I151" s="48">
        <f t="shared" si="12"/>
        <v>-182.02701644978148</v>
      </c>
      <c r="J151" s="47">
        <f t="shared" si="18"/>
        <v>7.39954689388298E-2</v>
      </c>
      <c r="K151" s="45">
        <v>80</v>
      </c>
      <c r="L151" s="45">
        <v>1</v>
      </c>
      <c r="M151" s="64">
        <f t="shared" si="23"/>
        <v>60</v>
      </c>
      <c r="N151" s="64">
        <f>-K151</f>
        <v>-80</v>
      </c>
      <c r="O151" s="45" t="s">
        <v>77</v>
      </c>
      <c r="P151">
        <f t="shared" si="19"/>
        <v>0</v>
      </c>
      <c r="Q151">
        <f t="shared" si="20"/>
        <v>0</v>
      </c>
      <c r="R151">
        <f t="shared" si="21"/>
        <v>-80</v>
      </c>
      <c r="S151">
        <f t="shared" si="22"/>
        <v>0</v>
      </c>
    </row>
    <row r="152" spans="1:19" x14ac:dyDescent="0.3">
      <c r="A152" s="42">
        <v>44677</v>
      </c>
      <c r="B152" s="45" t="s">
        <v>10</v>
      </c>
      <c r="C152" s="44" t="s">
        <v>7</v>
      </c>
      <c r="D152" s="45">
        <v>2.75</v>
      </c>
      <c r="E152" s="45">
        <f t="shared" si="10"/>
        <v>175</v>
      </c>
      <c r="F152" s="45">
        <v>1.5</v>
      </c>
      <c r="G152" s="47">
        <f t="shared" si="11"/>
        <v>3.0303030303030276E-2</v>
      </c>
      <c r="H152" s="45">
        <v>2.2319330000000002</v>
      </c>
      <c r="I152" s="48">
        <f t="shared" si="12"/>
        <v>123.19330000000002</v>
      </c>
      <c r="J152" s="47">
        <f t="shared" si="18"/>
        <v>8.4405759491884336E-2</v>
      </c>
      <c r="K152" s="45">
        <v>80</v>
      </c>
      <c r="L152" s="45">
        <v>1</v>
      </c>
      <c r="M152" s="64">
        <f t="shared" si="23"/>
        <v>140</v>
      </c>
      <c r="N152" s="64">
        <f t="shared" ref="N152:N160" si="24">-K152</f>
        <v>-80</v>
      </c>
      <c r="O152" s="45" t="s">
        <v>75</v>
      </c>
      <c r="P152">
        <f t="shared" si="19"/>
        <v>0</v>
      </c>
      <c r="Q152">
        <f t="shared" si="20"/>
        <v>1</v>
      </c>
      <c r="R152">
        <f t="shared" si="21"/>
        <v>0</v>
      </c>
      <c r="S152">
        <f t="shared" si="22"/>
        <v>-80</v>
      </c>
    </row>
    <row r="153" spans="1:19" x14ac:dyDescent="0.3">
      <c r="A153" s="42">
        <v>44677</v>
      </c>
      <c r="B153" s="45" t="s">
        <v>15</v>
      </c>
      <c r="C153" s="44" t="s">
        <v>13</v>
      </c>
      <c r="D153" s="45">
        <v>2.25</v>
      </c>
      <c r="E153" s="45">
        <f t="shared" si="10"/>
        <v>125</v>
      </c>
      <c r="F153" s="45">
        <v>1.7</v>
      </c>
      <c r="G153" s="47">
        <f t="shared" si="11"/>
        <v>3.2679738562091387E-2</v>
      </c>
      <c r="H153" s="45">
        <v>2.1273049999999998</v>
      </c>
      <c r="I153" s="48">
        <f t="shared" si="12"/>
        <v>112.73049999999998</v>
      </c>
      <c r="J153" s="47">
        <f t="shared" si="18"/>
        <v>2.5633894110675848E-2</v>
      </c>
      <c r="K153" s="45">
        <v>16</v>
      </c>
      <c r="L153" s="45">
        <v>0.2</v>
      </c>
      <c r="M153" s="64">
        <f t="shared" si="23"/>
        <v>20</v>
      </c>
      <c r="N153" s="64">
        <f t="shared" si="24"/>
        <v>-16</v>
      </c>
      <c r="O153" s="45" t="s">
        <v>75</v>
      </c>
      <c r="P153">
        <f t="shared" si="19"/>
        <v>0</v>
      </c>
      <c r="Q153">
        <f t="shared" si="20"/>
        <v>1</v>
      </c>
      <c r="R153">
        <f t="shared" si="21"/>
        <v>0</v>
      </c>
      <c r="S153">
        <f t="shared" si="22"/>
        <v>-16</v>
      </c>
    </row>
    <row r="154" spans="1:19" x14ac:dyDescent="0.3">
      <c r="A154" s="42">
        <v>44677</v>
      </c>
      <c r="B154" s="44" t="s">
        <v>29</v>
      </c>
      <c r="C154" s="45" t="s">
        <v>28</v>
      </c>
      <c r="D154" s="45">
        <v>2.5499999999999998</v>
      </c>
      <c r="E154" s="45">
        <f t="shared" si="10"/>
        <v>154.99999999999997</v>
      </c>
      <c r="F154" s="45">
        <v>1.57</v>
      </c>
      <c r="G154" s="47">
        <f t="shared" si="11"/>
        <v>2.9099537904333728E-2</v>
      </c>
      <c r="H154" s="45">
        <v>2.2035559999999998</v>
      </c>
      <c r="I154" s="48">
        <f t="shared" si="12"/>
        <v>120.35559999999998</v>
      </c>
      <c r="J154" s="47">
        <f t="shared" si="18"/>
        <v>6.1655066699853656E-2</v>
      </c>
      <c r="K154" s="45">
        <v>80</v>
      </c>
      <c r="L154" s="45">
        <v>1</v>
      </c>
      <c r="M154" s="64">
        <f t="shared" si="23"/>
        <v>123.99999999999999</v>
      </c>
      <c r="N154" s="64">
        <f t="shared" si="24"/>
        <v>-80</v>
      </c>
      <c r="O154" s="45" t="s">
        <v>75</v>
      </c>
      <c r="P154">
        <f t="shared" si="19"/>
        <v>0</v>
      </c>
      <c r="Q154">
        <f t="shared" si="20"/>
        <v>1</v>
      </c>
      <c r="R154">
        <f t="shared" si="21"/>
        <v>0</v>
      </c>
      <c r="S154">
        <f t="shared" si="22"/>
        <v>-80</v>
      </c>
    </row>
    <row r="155" spans="1:19" x14ac:dyDescent="0.3">
      <c r="A155" s="42">
        <v>44677</v>
      </c>
      <c r="B155" s="45" t="s">
        <v>35</v>
      </c>
      <c r="C155" s="44" t="s">
        <v>18</v>
      </c>
      <c r="D155" s="45">
        <v>3.27</v>
      </c>
      <c r="E155" s="45">
        <f t="shared" si="10"/>
        <v>227</v>
      </c>
      <c r="F155" s="45">
        <v>1.4</v>
      </c>
      <c r="G155" s="47">
        <f t="shared" si="11"/>
        <v>2.0096111839231101E-2</v>
      </c>
      <c r="H155" s="45">
        <v>2.5166019999999998</v>
      </c>
      <c r="I155" s="48">
        <f t="shared" si="12"/>
        <v>151.66019999999997</v>
      </c>
      <c r="J155" s="47">
        <f t="shared" si="18"/>
        <v>9.1550806164830412E-2</v>
      </c>
      <c r="K155" s="45">
        <v>80</v>
      </c>
      <c r="L155" s="45">
        <v>1.5</v>
      </c>
      <c r="M155" s="64">
        <f t="shared" si="23"/>
        <v>181.6</v>
      </c>
      <c r="N155" s="64">
        <f t="shared" si="24"/>
        <v>-80</v>
      </c>
      <c r="O155" s="45" t="s">
        <v>77</v>
      </c>
      <c r="P155">
        <f t="shared" si="19"/>
        <v>0</v>
      </c>
      <c r="Q155">
        <f t="shared" si="20"/>
        <v>1</v>
      </c>
      <c r="R155">
        <f t="shared" si="21"/>
        <v>0</v>
      </c>
      <c r="S155">
        <f t="shared" si="22"/>
        <v>-80</v>
      </c>
    </row>
    <row r="156" spans="1:19" x14ac:dyDescent="0.3">
      <c r="A156" s="51">
        <v>44678</v>
      </c>
      <c r="B156" s="52" t="s">
        <v>21</v>
      </c>
      <c r="C156" s="53" t="s">
        <v>26</v>
      </c>
      <c r="D156" s="52">
        <v>2.78</v>
      </c>
      <c r="E156" s="52">
        <f t="shared" si="10"/>
        <v>177.99999999999997</v>
      </c>
      <c r="F156" s="52">
        <v>1.52</v>
      </c>
      <c r="G156" s="55">
        <f>+((1/D156)+(1/F156)-1)</f>
        <v>1.7606967057932632E-2</v>
      </c>
      <c r="H156" s="52">
        <v>2.5321509999999998</v>
      </c>
      <c r="I156" s="54">
        <f t="shared" si="12"/>
        <v>153.21509999999998</v>
      </c>
      <c r="J156" s="55">
        <f t="shared" si="18"/>
        <v>3.520892574998985E-2</v>
      </c>
      <c r="K156" s="52">
        <v>38</v>
      </c>
      <c r="L156" s="52">
        <v>0.5</v>
      </c>
      <c r="M156" s="52">
        <f t="shared" si="23"/>
        <v>67.639999999999986</v>
      </c>
      <c r="N156" s="52">
        <f>+M156</f>
        <v>67.639999999999986</v>
      </c>
      <c r="O156" s="52" t="s">
        <v>77</v>
      </c>
      <c r="P156">
        <f t="shared" si="19"/>
        <v>1</v>
      </c>
      <c r="Q156">
        <f t="shared" si="20"/>
        <v>1</v>
      </c>
      <c r="R156">
        <f t="shared" si="21"/>
        <v>0</v>
      </c>
      <c r="S156">
        <f t="shared" si="22"/>
        <v>67.639999999999986</v>
      </c>
    </row>
    <row r="157" spans="1:19" x14ac:dyDescent="0.3">
      <c r="A157" s="51">
        <v>44678</v>
      </c>
      <c r="B157" s="52" t="s">
        <v>24</v>
      </c>
      <c r="C157" s="53" t="s">
        <v>32</v>
      </c>
      <c r="D157" s="52">
        <v>2.81</v>
      </c>
      <c r="E157" s="52">
        <f t="shared" si="10"/>
        <v>181</v>
      </c>
      <c r="F157" s="52">
        <v>1.48</v>
      </c>
      <c r="G157" s="55">
        <f>+((1/D157)+(1/F157)-1)</f>
        <v>3.1547561796672063E-2</v>
      </c>
      <c r="H157" s="52">
        <v>2.5247860000000002</v>
      </c>
      <c r="I157" s="54">
        <f t="shared" si="12"/>
        <v>152.47860000000003</v>
      </c>
      <c r="J157" s="55">
        <f t="shared" si="18"/>
        <v>4.0201286021117721E-2</v>
      </c>
      <c r="K157" s="52">
        <v>38</v>
      </c>
      <c r="L157" s="52">
        <v>0.5</v>
      </c>
      <c r="M157" s="52">
        <f t="shared" si="23"/>
        <v>68.78</v>
      </c>
      <c r="N157" s="52">
        <f>-K157</f>
        <v>-38</v>
      </c>
      <c r="O157" s="52" t="s">
        <v>77</v>
      </c>
      <c r="P157">
        <f t="shared" si="19"/>
        <v>0</v>
      </c>
      <c r="Q157">
        <f t="shared" si="20"/>
        <v>1</v>
      </c>
      <c r="R157">
        <f t="shared" si="21"/>
        <v>0</v>
      </c>
      <c r="S157">
        <f t="shared" si="22"/>
        <v>-38</v>
      </c>
    </row>
    <row r="158" spans="1:19" x14ac:dyDescent="0.3">
      <c r="A158" s="51">
        <v>44678</v>
      </c>
      <c r="B158" s="52" t="s">
        <v>15</v>
      </c>
      <c r="C158" s="53" t="s">
        <v>13</v>
      </c>
      <c r="D158" s="52">
        <v>2.76</v>
      </c>
      <c r="E158" s="52">
        <f t="shared" si="10"/>
        <v>175.99999999999997</v>
      </c>
      <c r="F158" s="52">
        <v>1.52</v>
      </c>
      <c r="G158" s="55">
        <f>+((1/D158)+(1/F158)-1)</f>
        <v>2.021357742181551E-2</v>
      </c>
      <c r="H158" s="52">
        <v>2.185762</v>
      </c>
      <c r="I158" s="54">
        <f t="shared" si="12"/>
        <v>118.5762</v>
      </c>
      <c r="J158" s="55">
        <f t="shared" si="18"/>
        <v>9.5187511895993948E-2</v>
      </c>
      <c r="K158" s="52">
        <v>115</v>
      </c>
      <c r="L158" s="52">
        <v>1.5</v>
      </c>
      <c r="M158" s="52">
        <f t="shared" si="23"/>
        <v>202.39999999999998</v>
      </c>
      <c r="N158" s="52">
        <f>-K158</f>
        <v>-115</v>
      </c>
      <c r="O158" s="52" t="s">
        <v>77</v>
      </c>
      <c r="P158">
        <f t="shared" si="19"/>
        <v>0</v>
      </c>
      <c r="Q158">
        <f t="shared" si="20"/>
        <v>1</v>
      </c>
      <c r="R158">
        <f t="shared" si="21"/>
        <v>0</v>
      </c>
      <c r="S158">
        <f t="shared" si="22"/>
        <v>-115</v>
      </c>
    </row>
    <row r="159" spans="1:19" x14ac:dyDescent="0.3">
      <c r="A159" s="51">
        <v>44678</v>
      </c>
      <c r="B159" s="52" t="s">
        <v>22</v>
      </c>
      <c r="C159" s="53" t="s">
        <v>25</v>
      </c>
      <c r="D159" s="52">
        <v>2.2200000000000002</v>
      </c>
      <c r="E159" s="52">
        <f t="shared" si="10"/>
        <v>122.00000000000001</v>
      </c>
      <c r="F159" s="52">
        <v>1.7</v>
      </c>
      <c r="G159" s="55">
        <f>+((1/D159)+(1/F159)-1)</f>
        <v>3.868574456809748E-2</v>
      </c>
      <c r="H159" s="52">
        <v>1.902933</v>
      </c>
      <c r="I159" s="54">
        <f t="shared" si="12"/>
        <v>-110.75018855219601</v>
      </c>
      <c r="J159" s="55">
        <f t="shared" si="18"/>
        <v>7.5054125906152791E-2</v>
      </c>
      <c r="K159" s="52">
        <v>77</v>
      </c>
      <c r="L159" s="52">
        <v>1</v>
      </c>
      <c r="M159" s="52">
        <f t="shared" si="23"/>
        <v>93.940000000000012</v>
      </c>
      <c r="N159" s="52">
        <f>-K159</f>
        <v>-77</v>
      </c>
      <c r="O159" s="52" t="s">
        <v>77</v>
      </c>
      <c r="P159">
        <f t="shared" si="19"/>
        <v>0</v>
      </c>
      <c r="Q159">
        <f t="shared" si="20"/>
        <v>1</v>
      </c>
      <c r="R159">
        <f t="shared" si="21"/>
        <v>0</v>
      </c>
      <c r="S159">
        <f t="shared" si="22"/>
        <v>-77</v>
      </c>
    </row>
    <row r="160" spans="1:19" x14ac:dyDescent="0.3">
      <c r="A160" s="51">
        <v>44678</v>
      </c>
      <c r="B160" s="53" t="s">
        <v>9</v>
      </c>
      <c r="C160" s="52" t="s">
        <v>19</v>
      </c>
      <c r="D160" s="52">
        <v>1.72</v>
      </c>
      <c r="E160" s="54">
        <f t="shared" si="10"/>
        <v>-138.88888888888889</v>
      </c>
      <c r="F160" s="52">
        <v>2.2000000000000002</v>
      </c>
      <c r="G160" s="55">
        <f>+((1/D160)+(1/F160)-1)</f>
        <v>3.5940803382663811E-2</v>
      </c>
      <c r="H160" s="52">
        <v>1.66442</v>
      </c>
      <c r="I160" s="54">
        <f t="shared" si="12"/>
        <v>-150.50720929532525</v>
      </c>
      <c r="J160" s="55">
        <f t="shared" si="18"/>
        <v>1.9414542896848186E-2</v>
      </c>
      <c r="K160" s="52">
        <v>15</v>
      </c>
      <c r="L160" s="52">
        <v>0.2</v>
      </c>
      <c r="M160" s="52">
        <f t="shared" si="23"/>
        <v>10.799999999999999</v>
      </c>
      <c r="N160" s="52">
        <f>+M160</f>
        <v>10.799999999999999</v>
      </c>
      <c r="O160" s="52" t="s">
        <v>76</v>
      </c>
      <c r="P160">
        <f t="shared" si="19"/>
        <v>1</v>
      </c>
      <c r="Q160">
        <f t="shared" si="20"/>
        <v>0</v>
      </c>
      <c r="R160">
        <f t="shared" si="21"/>
        <v>10.799999999999999</v>
      </c>
      <c r="S160">
        <f t="shared" si="22"/>
        <v>0</v>
      </c>
    </row>
    <row r="161" spans="1:19" x14ac:dyDescent="0.3">
      <c r="A161" s="28">
        <v>44678</v>
      </c>
      <c r="B161" s="53" t="s">
        <v>8</v>
      </c>
      <c r="C161" s="75" t="s">
        <v>6</v>
      </c>
      <c r="D161" s="52">
        <v>1.42</v>
      </c>
      <c r="E161" s="54">
        <f t="shared" si="10"/>
        <v>-238.09523809523813</v>
      </c>
      <c r="F161" s="52">
        <v>3.15</v>
      </c>
      <c r="G161" s="55">
        <f>+((1/D161)+(1/F161)-1)</f>
        <v>2.1685669572993671E-2</v>
      </c>
      <c r="H161" s="52">
        <v>1.2824469999999999</v>
      </c>
      <c r="I161" s="54">
        <f t="shared" si="12"/>
        <v>-354.04872418542254</v>
      </c>
      <c r="J161" s="55">
        <f t="shared" si="18"/>
        <v>7.5533967375770672E-2</v>
      </c>
      <c r="K161" s="52">
        <v>77</v>
      </c>
      <c r="L161" s="52">
        <v>1</v>
      </c>
      <c r="M161" s="52">
        <f t="shared" si="23"/>
        <v>32.339999999999996</v>
      </c>
      <c r="N161" s="7">
        <f>+M161</f>
        <v>32.339999999999996</v>
      </c>
      <c r="O161" s="52" t="s">
        <v>76</v>
      </c>
      <c r="P161">
        <f t="shared" si="19"/>
        <v>1</v>
      </c>
      <c r="Q161">
        <f t="shared" si="20"/>
        <v>0</v>
      </c>
      <c r="R161">
        <f t="shared" si="21"/>
        <v>32.339999999999996</v>
      </c>
      <c r="S161">
        <f t="shared" si="22"/>
        <v>0</v>
      </c>
    </row>
    <row r="162" spans="1:19" x14ac:dyDescent="0.3">
      <c r="A162" s="28">
        <v>44678</v>
      </c>
      <c r="B162" s="53" t="s">
        <v>29</v>
      </c>
      <c r="C162" s="75" t="s">
        <v>28</v>
      </c>
      <c r="D162" s="52">
        <v>2.4500000000000002</v>
      </c>
      <c r="E162" s="52">
        <f t="shared" si="10"/>
        <v>145.00000000000003</v>
      </c>
      <c r="F162" s="52">
        <v>1.6</v>
      </c>
      <c r="G162" s="55">
        <f>+((1/D162)+(1/F162)-1)</f>
        <v>3.3163265306122458E-2</v>
      </c>
      <c r="H162" s="52">
        <v>2.075037</v>
      </c>
      <c r="I162" s="54">
        <f t="shared" si="12"/>
        <v>107.50370000000001</v>
      </c>
      <c r="J162" s="55">
        <f t="shared" si="18"/>
        <v>7.3755852280696532E-2</v>
      </c>
      <c r="K162" s="52">
        <v>77</v>
      </c>
      <c r="L162" s="52">
        <v>1</v>
      </c>
      <c r="M162" s="52">
        <f t="shared" si="23"/>
        <v>111.65000000000002</v>
      </c>
      <c r="N162" s="7">
        <f>-K162</f>
        <v>-77</v>
      </c>
      <c r="O162" s="52" t="s">
        <v>77</v>
      </c>
      <c r="P162">
        <f t="shared" si="19"/>
        <v>0</v>
      </c>
      <c r="Q162">
        <f t="shared" si="20"/>
        <v>1</v>
      </c>
      <c r="R162">
        <f t="shared" si="21"/>
        <v>0</v>
      </c>
      <c r="S162">
        <f t="shared" si="22"/>
        <v>-77</v>
      </c>
    </row>
    <row r="163" spans="1:19" x14ac:dyDescent="0.3">
      <c r="A163" s="28">
        <v>44678</v>
      </c>
      <c r="B163" s="75" t="s">
        <v>17</v>
      </c>
      <c r="C163" s="53" t="s">
        <v>12</v>
      </c>
      <c r="D163" s="52">
        <v>2.85</v>
      </c>
      <c r="E163" s="52">
        <f t="shared" si="10"/>
        <v>185</v>
      </c>
      <c r="F163" s="52">
        <v>1.48</v>
      </c>
      <c r="G163" s="55">
        <f>+((1/D163)+(1/F163)-1)</f>
        <v>2.6552868658131779E-2</v>
      </c>
      <c r="H163" s="52">
        <v>2.3109289999999998</v>
      </c>
      <c r="I163" s="54">
        <f t="shared" si="12"/>
        <v>131.09289999999999</v>
      </c>
      <c r="J163" s="55">
        <f t="shared" si="18"/>
        <v>8.1849212718454689E-2</v>
      </c>
      <c r="K163" s="52">
        <v>77</v>
      </c>
      <c r="L163" s="52">
        <v>1</v>
      </c>
      <c r="M163" s="52">
        <f t="shared" si="23"/>
        <v>142.45000000000002</v>
      </c>
      <c r="N163" s="7">
        <f>-K163</f>
        <v>-77</v>
      </c>
      <c r="O163" s="52" t="s">
        <v>77</v>
      </c>
      <c r="P163">
        <f t="shared" si="19"/>
        <v>0</v>
      </c>
      <c r="Q163">
        <f t="shared" si="20"/>
        <v>1</v>
      </c>
      <c r="R163">
        <f t="shared" si="21"/>
        <v>0</v>
      </c>
      <c r="S163">
        <f t="shared" si="22"/>
        <v>-77</v>
      </c>
    </row>
    <row r="164" spans="1:19" x14ac:dyDescent="0.3">
      <c r="A164" s="42">
        <v>44680</v>
      </c>
      <c r="B164" s="43" t="s">
        <v>10</v>
      </c>
      <c r="C164" s="44" t="s">
        <v>16</v>
      </c>
      <c r="D164" s="45">
        <v>2.0499999999999998</v>
      </c>
      <c r="E164" s="45">
        <f t="shared" si="10"/>
        <v>104.99999999999999</v>
      </c>
      <c r="F164" s="45">
        <v>1.8</v>
      </c>
      <c r="G164" s="47">
        <f>+((1/D164)+(1/F164)-1)</f>
        <v>4.3360433604336057E-2</v>
      </c>
      <c r="H164" s="45">
        <v>1.985554</v>
      </c>
      <c r="I164" s="48">
        <f t="shared" si="12"/>
        <v>-101.46577457957656</v>
      </c>
      <c r="J164" s="47">
        <f t="shared" si="18"/>
        <v>1.5832897604764973E-2</v>
      </c>
      <c r="K164" s="45">
        <v>12</v>
      </c>
      <c r="L164" s="45">
        <v>0.2</v>
      </c>
      <c r="M164" s="45">
        <f t="shared" si="23"/>
        <v>12.599999999999998</v>
      </c>
      <c r="N164" s="45">
        <f>+M164</f>
        <v>12.599999999999998</v>
      </c>
      <c r="O164" s="45" t="s">
        <v>75</v>
      </c>
      <c r="P164">
        <f t="shared" si="19"/>
        <v>1</v>
      </c>
      <c r="Q164">
        <f t="shared" si="20"/>
        <v>1</v>
      </c>
      <c r="R164">
        <f t="shared" si="21"/>
        <v>0</v>
      </c>
      <c r="S164">
        <f t="shared" si="22"/>
        <v>12.599999999999998</v>
      </c>
    </row>
    <row r="165" spans="1:19" x14ac:dyDescent="0.3">
      <c r="A165" s="42">
        <v>44680</v>
      </c>
      <c r="B165" s="44" t="s">
        <v>9</v>
      </c>
      <c r="C165" s="43" t="s">
        <v>15</v>
      </c>
      <c r="D165" s="45">
        <v>1.78</v>
      </c>
      <c r="E165" s="48">
        <f t="shared" si="10"/>
        <v>-128.2051282051282</v>
      </c>
      <c r="F165" s="45">
        <v>2.1</v>
      </c>
      <c r="G165" s="47">
        <f>+((1/D165)+(1/F165)-1)</f>
        <v>3.7988228999465079E-2</v>
      </c>
      <c r="H165" s="45">
        <v>1.71025</v>
      </c>
      <c r="I165" s="48">
        <f t="shared" si="12"/>
        <v>-140.79549454417457</v>
      </c>
      <c r="J165" s="47">
        <f t="shared" si="18"/>
        <v>2.2912084934031185E-2</v>
      </c>
      <c r="K165" s="45">
        <v>12</v>
      </c>
      <c r="L165" s="45">
        <v>0.2</v>
      </c>
      <c r="M165" s="45">
        <f t="shared" si="23"/>
        <v>9.36</v>
      </c>
      <c r="N165" s="45">
        <f>-K165</f>
        <v>-12</v>
      </c>
      <c r="O165" s="45" t="s">
        <v>76</v>
      </c>
      <c r="P165">
        <f t="shared" si="19"/>
        <v>0</v>
      </c>
      <c r="Q165">
        <f t="shared" si="20"/>
        <v>0</v>
      </c>
      <c r="R165">
        <f t="shared" si="21"/>
        <v>-12</v>
      </c>
      <c r="S165">
        <f t="shared" si="22"/>
        <v>0</v>
      </c>
    </row>
    <row r="166" spans="1:19" x14ac:dyDescent="0.3">
      <c r="A166" s="42">
        <v>44680</v>
      </c>
      <c r="B166" s="44" t="s">
        <v>107</v>
      </c>
      <c r="C166" s="43" t="s">
        <v>24</v>
      </c>
      <c r="D166" s="45">
        <v>1.8</v>
      </c>
      <c r="E166" s="45">
        <f t="shared" si="10"/>
        <v>-125</v>
      </c>
      <c r="F166" s="45">
        <v>2.0499999999999998</v>
      </c>
      <c r="G166" s="47">
        <f>+((1/D166)+(1/F166)-1)</f>
        <v>4.3360433604336057E-2</v>
      </c>
      <c r="H166" s="45">
        <v>1.778087</v>
      </c>
      <c r="I166" s="48">
        <f t="shared" si="12"/>
        <v>-128.52033255921253</v>
      </c>
      <c r="J166" s="47">
        <f t="shared" si="18"/>
        <v>6.8466216157526683E-3</v>
      </c>
      <c r="K166" s="45">
        <v>12</v>
      </c>
      <c r="L166" s="45">
        <v>0.2</v>
      </c>
      <c r="M166" s="45">
        <f t="shared" si="23"/>
        <v>9.6000000000000014</v>
      </c>
      <c r="N166" s="45">
        <f>+M166</f>
        <v>9.6000000000000014</v>
      </c>
      <c r="O166" s="45" t="s">
        <v>75</v>
      </c>
      <c r="P166">
        <f t="shared" si="19"/>
        <v>1</v>
      </c>
      <c r="Q166">
        <f t="shared" si="20"/>
        <v>0</v>
      </c>
      <c r="R166">
        <f t="shared" si="21"/>
        <v>9.6000000000000014</v>
      </c>
      <c r="S166">
        <f t="shared" si="22"/>
        <v>0</v>
      </c>
    </row>
    <row r="167" spans="1:19" x14ac:dyDescent="0.3">
      <c r="A167" s="42">
        <v>44680</v>
      </c>
      <c r="B167" s="44" t="s">
        <v>28</v>
      </c>
      <c r="C167" s="43" t="s">
        <v>26</v>
      </c>
      <c r="D167" s="45">
        <v>1.72</v>
      </c>
      <c r="E167" s="48">
        <f t="shared" si="10"/>
        <v>-138.88888888888889</v>
      </c>
      <c r="F167" s="45">
        <v>2.2000000000000002</v>
      </c>
      <c r="G167" s="47">
        <f>+((1/D167)+(1/F167)-1)</f>
        <v>3.5940803382663811E-2</v>
      </c>
      <c r="H167" s="45">
        <v>1.5774239999999999</v>
      </c>
      <c r="I167" s="48">
        <f t="shared" si="12"/>
        <v>-173.182964338164</v>
      </c>
      <c r="J167" s="47">
        <f t="shared" si="18"/>
        <v>5.2549614596845151E-2</v>
      </c>
      <c r="K167" s="45">
        <v>30</v>
      </c>
      <c r="L167" s="45">
        <v>0.5</v>
      </c>
      <c r="M167" s="45">
        <f t="shared" si="23"/>
        <v>21.599999999999998</v>
      </c>
      <c r="N167" s="45">
        <f>+M167</f>
        <v>21.599999999999998</v>
      </c>
      <c r="O167" s="45" t="s">
        <v>76</v>
      </c>
      <c r="P167">
        <f t="shared" si="19"/>
        <v>1</v>
      </c>
      <c r="Q167">
        <f t="shared" si="20"/>
        <v>0</v>
      </c>
      <c r="R167">
        <f t="shared" si="21"/>
        <v>21.599999999999998</v>
      </c>
      <c r="S167">
        <f t="shared" si="22"/>
        <v>0</v>
      </c>
    </row>
    <row r="168" spans="1:19" x14ac:dyDescent="0.3">
      <c r="A168" s="42">
        <v>44680</v>
      </c>
      <c r="B168" s="43" t="s">
        <v>30</v>
      </c>
      <c r="C168" s="44" t="s">
        <v>31</v>
      </c>
      <c r="D168" s="45">
        <v>2.65</v>
      </c>
      <c r="E168" s="45">
        <f t="shared" si="10"/>
        <v>165</v>
      </c>
      <c r="F168" s="45">
        <v>1.53</v>
      </c>
      <c r="G168" s="47">
        <f>+((1/D168)+(1/F168)-1)</f>
        <v>3.0953261807867838E-2</v>
      </c>
      <c r="H168" s="45">
        <v>2.62086</v>
      </c>
      <c r="I168" s="48">
        <f t="shared" si="12"/>
        <v>162.08599999999998</v>
      </c>
      <c r="J168" s="47">
        <f t="shared" si="18"/>
        <v>4.195655782870622E-3</v>
      </c>
      <c r="K168" s="45">
        <v>12</v>
      </c>
      <c r="L168" s="45">
        <v>0.2</v>
      </c>
      <c r="M168" s="45">
        <f t="shared" si="23"/>
        <v>19.799999999999997</v>
      </c>
      <c r="N168" s="45">
        <f>+M168</f>
        <v>19.799999999999997</v>
      </c>
      <c r="O168" s="45" t="s">
        <v>75</v>
      </c>
      <c r="P168">
        <f t="shared" si="19"/>
        <v>1</v>
      </c>
      <c r="Q168">
        <f t="shared" si="20"/>
        <v>1</v>
      </c>
      <c r="R168">
        <f t="shared" si="21"/>
        <v>0</v>
      </c>
      <c r="S168">
        <f t="shared" si="22"/>
        <v>19.799999999999997</v>
      </c>
    </row>
    <row r="169" spans="1:19" x14ac:dyDescent="0.3">
      <c r="A169" s="42">
        <v>44680</v>
      </c>
      <c r="B169" s="44" t="s">
        <v>14</v>
      </c>
      <c r="C169" s="43" t="s">
        <v>8</v>
      </c>
      <c r="D169" s="45">
        <v>2.71</v>
      </c>
      <c r="E169" s="48">
        <f t="shared" si="10"/>
        <v>171</v>
      </c>
      <c r="F169" s="45">
        <v>1.52</v>
      </c>
      <c r="G169" s="47">
        <f>+((1/D169)+(1/F169)-1)</f>
        <v>2.6898426879005566E-2</v>
      </c>
      <c r="H169" s="45">
        <v>2.6082700000000001</v>
      </c>
      <c r="I169" s="48">
        <f t="shared" si="12"/>
        <v>160.827</v>
      </c>
      <c r="J169" s="47">
        <f t="shared" si="18"/>
        <v>1.4392200725942439E-2</v>
      </c>
      <c r="K169" s="45">
        <v>12</v>
      </c>
      <c r="L169" s="45">
        <v>0.2</v>
      </c>
      <c r="M169" s="45">
        <f t="shared" si="23"/>
        <v>20.52</v>
      </c>
      <c r="N169" s="45">
        <f>-M169</f>
        <v>-20.52</v>
      </c>
      <c r="O169" s="45" t="s">
        <v>77</v>
      </c>
      <c r="P169">
        <f t="shared" si="19"/>
        <v>0</v>
      </c>
      <c r="Q169">
        <f t="shared" si="20"/>
        <v>1</v>
      </c>
      <c r="R169">
        <f t="shared" si="21"/>
        <v>0</v>
      </c>
      <c r="S169">
        <f t="shared" si="22"/>
        <v>-20.52</v>
      </c>
    </row>
    <row r="170" spans="1:19" x14ac:dyDescent="0.3">
      <c r="A170" s="42">
        <v>44680</v>
      </c>
      <c r="B170" s="43" t="s">
        <v>11</v>
      </c>
      <c r="C170" s="44" t="s">
        <v>17</v>
      </c>
      <c r="D170" s="45">
        <v>2.35</v>
      </c>
      <c r="E170" s="45">
        <f t="shared" si="10"/>
        <v>135</v>
      </c>
      <c r="F170" s="45">
        <v>1.67</v>
      </c>
      <c r="G170" s="47">
        <f>+((1/D170)+(1/F170)-1)</f>
        <v>2.4334310103197865E-2</v>
      </c>
      <c r="H170" s="45">
        <v>2.0989770000000001</v>
      </c>
      <c r="I170" s="48">
        <f t="shared" si="12"/>
        <v>109.89770000000001</v>
      </c>
      <c r="J170" s="47">
        <f t="shared" si="18"/>
        <v>5.0890647144937906E-2</v>
      </c>
      <c r="K170" s="45">
        <v>30</v>
      </c>
      <c r="L170" s="45">
        <v>0.5</v>
      </c>
      <c r="M170" s="45">
        <f t="shared" si="23"/>
        <v>40.5</v>
      </c>
      <c r="N170" s="45">
        <f>+M170</f>
        <v>40.5</v>
      </c>
      <c r="O170" s="45" t="s">
        <v>77</v>
      </c>
      <c r="P170">
        <f t="shared" si="19"/>
        <v>1</v>
      </c>
      <c r="Q170">
        <f t="shared" si="20"/>
        <v>1</v>
      </c>
      <c r="R170">
        <f t="shared" si="21"/>
        <v>0</v>
      </c>
      <c r="S170">
        <f t="shared" si="22"/>
        <v>40.5</v>
      </c>
    </row>
    <row r="171" spans="1:19" x14ac:dyDescent="0.3">
      <c r="A171" s="42">
        <v>44680</v>
      </c>
      <c r="B171" s="43" t="s">
        <v>6</v>
      </c>
      <c r="C171" s="44" t="s">
        <v>7</v>
      </c>
      <c r="D171" s="45">
        <v>1.8</v>
      </c>
      <c r="E171" s="48">
        <f t="shared" si="10"/>
        <v>-125</v>
      </c>
      <c r="F171" s="45">
        <v>2.0499999999999998</v>
      </c>
      <c r="G171" s="47">
        <f>+((1/D171)+(1/F171)-1)</f>
        <v>4.3360433604336057E-2</v>
      </c>
      <c r="H171" s="45">
        <v>1.6255630000000001</v>
      </c>
      <c r="I171" s="48">
        <f t="shared" si="12"/>
        <v>-159.85600171365633</v>
      </c>
      <c r="J171" s="47">
        <f t="shared" si="18"/>
        <v>5.9615926570944611E-2</v>
      </c>
      <c r="K171" s="45">
        <v>30</v>
      </c>
      <c r="L171" s="45">
        <v>0.5</v>
      </c>
      <c r="M171" s="45">
        <f t="shared" si="23"/>
        <v>24</v>
      </c>
      <c r="N171" s="45">
        <f>+M171</f>
        <v>24</v>
      </c>
      <c r="O171" s="45" t="s">
        <v>75</v>
      </c>
      <c r="P171">
        <f t="shared" si="19"/>
        <v>1</v>
      </c>
      <c r="Q171">
        <f t="shared" si="20"/>
        <v>0</v>
      </c>
      <c r="R171">
        <f t="shared" si="21"/>
        <v>24</v>
      </c>
      <c r="S171">
        <f t="shared" si="22"/>
        <v>0</v>
      </c>
    </row>
    <row r="172" spans="1:19" x14ac:dyDescent="0.3">
      <c r="A172" s="42">
        <v>44680</v>
      </c>
      <c r="B172" s="43" t="s">
        <v>18</v>
      </c>
      <c r="C172" s="44" t="s">
        <v>12</v>
      </c>
      <c r="D172" s="45">
        <v>2.35</v>
      </c>
      <c r="E172" s="45">
        <f t="shared" si="10"/>
        <v>135</v>
      </c>
      <c r="F172" s="45">
        <v>1.65</v>
      </c>
      <c r="G172" s="47">
        <f>+((1/D172)+(1/F172)-1)</f>
        <v>3.1592520954223158E-2</v>
      </c>
      <c r="H172" s="45">
        <v>1.847923</v>
      </c>
      <c r="I172" s="48">
        <f t="shared" si="12"/>
        <v>-117.9352370439297</v>
      </c>
      <c r="J172" s="47">
        <f t="shared" si="18"/>
        <v>0.11561617406896424</v>
      </c>
      <c r="K172" s="45">
        <v>89</v>
      </c>
      <c r="L172" s="45">
        <v>1.5</v>
      </c>
      <c r="M172" s="45">
        <f t="shared" si="23"/>
        <v>120.15</v>
      </c>
      <c r="N172" s="45">
        <f>+M172</f>
        <v>120.15</v>
      </c>
      <c r="O172" s="45" t="s">
        <v>75</v>
      </c>
      <c r="P172">
        <f t="shared" si="19"/>
        <v>1</v>
      </c>
      <c r="Q172">
        <f t="shared" si="20"/>
        <v>1</v>
      </c>
      <c r="R172">
        <f t="shared" si="21"/>
        <v>0</v>
      </c>
      <c r="S172">
        <f t="shared" si="22"/>
        <v>120.15</v>
      </c>
    </row>
    <row r="173" spans="1:19" x14ac:dyDescent="0.3">
      <c r="A173" s="98">
        <v>44680</v>
      </c>
      <c r="B173" s="94" t="s">
        <v>35</v>
      </c>
      <c r="C173" s="93" t="s">
        <v>25</v>
      </c>
      <c r="D173" s="95">
        <v>2.97</v>
      </c>
      <c r="E173" s="96">
        <f t="shared" si="10"/>
        <v>197.00000000000003</v>
      </c>
      <c r="F173" s="95">
        <v>1.45</v>
      </c>
      <c r="G173" s="97">
        <f>+((1/D173)+(1/F173)-1)</f>
        <v>2.6355509114129871E-2</v>
      </c>
      <c r="H173" s="95">
        <v>2.5734599999999999</v>
      </c>
      <c r="I173" s="96">
        <f t="shared" si="12"/>
        <v>157.34599999999998</v>
      </c>
      <c r="J173" s="97">
        <f t="shared" si="18"/>
        <v>5.1881572480299565E-2</v>
      </c>
      <c r="K173" s="95">
        <v>30</v>
      </c>
      <c r="L173" s="95">
        <v>0.5</v>
      </c>
      <c r="M173" s="95">
        <f t="shared" si="23"/>
        <v>59.100000000000009</v>
      </c>
      <c r="N173" s="99">
        <f>+M173</f>
        <v>59.100000000000009</v>
      </c>
      <c r="O173" s="95" t="s">
        <v>77</v>
      </c>
      <c r="P173">
        <f t="shared" si="19"/>
        <v>1</v>
      </c>
      <c r="Q173">
        <f t="shared" si="20"/>
        <v>1</v>
      </c>
      <c r="R173">
        <f t="shared" si="21"/>
        <v>0</v>
      </c>
      <c r="S173">
        <f t="shared" si="22"/>
        <v>59.100000000000009</v>
      </c>
    </row>
    <row r="174" spans="1:19" x14ac:dyDescent="0.3">
      <c r="A174" s="51">
        <v>44681</v>
      </c>
      <c r="B174" s="75" t="s">
        <v>10</v>
      </c>
      <c r="C174" s="53" t="s">
        <v>16</v>
      </c>
      <c r="D174" s="52">
        <v>2.35</v>
      </c>
      <c r="E174" s="52">
        <f t="shared" si="10"/>
        <v>135</v>
      </c>
      <c r="F174" s="52">
        <v>1.64</v>
      </c>
      <c r="G174" s="55">
        <f>+((1/D174)+(1/F174)-1)</f>
        <v>3.5288012454592677E-2</v>
      </c>
      <c r="H174" s="52">
        <v>2.1279859999999999</v>
      </c>
      <c r="I174" s="54">
        <f t="shared" si="12"/>
        <v>112.79859999999999</v>
      </c>
      <c r="J174" s="55">
        <f t="shared" si="18"/>
        <v>4.4395988767403305E-2</v>
      </c>
      <c r="K174" s="52">
        <v>31</v>
      </c>
      <c r="L174" s="52">
        <v>0.5</v>
      </c>
      <c r="M174" s="65">
        <f t="shared" si="23"/>
        <v>41.85</v>
      </c>
      <c r="N174" s="65">
        <f>-K174</f>
        <v>-31</v>
      </c>
      <c r="O174" s="52" t="s">
        <v>75</v>
      </c>
      <c r="P174">
        <f t="shared" si="19"/>
        <v>0</v>
      </c>
      <c r="Q174">
        <f t="shared" si="20"/>
        <v>1</v>
      </c>
      <c r="R174">
        <f t="shared" si="21"/>
        <v>0</v>
      </c>
      <c r="S174">
        <f t="shared" si="22"/>
        <v>-31</v>
      </c>
    </row>
    <row r="175" spans="1:19" x14ac:dyDescent="0.3">
      <c r="A175" s="51">
        <v>44681</v>
      </c>
      <c r="B175" s="75" t="s">
        <v>35</v>
      </c>
      <c r="C175" s="53" t="s">
        <v>25</v>
      </c>
      <c r="D175" s="52">
        <v>2.9</v>
      </c>
      <c r="E175" s="52">
        <f t="shared" si="10"/>
        <v>190</v>
      </c>
      <c r="F175" s="52">
        <v>1.46</v>
      </c>
      <c r="G175" s="55">
        <f>+((1/D175)+(1/F175)-1)</f>
        <v>2.9759093056211494E-2</v>
      </c>
      <c r="H175" s="52">
        <v>2.7246459999999999</v>
      </c>
      <c r="I175" s="54">
        <f t="shared" si="12"/>
        <v>172.46459999999999</v>
      </c>
      <c r="J175" s="55">
        <f t="shared" si="18"/>
        <v>2.2192569806031348E-2</v>
      </c>
      <c r="K175" s="52">
        <v>13</v>
      </c>
      <c r="L175" s="52">
        <v>0.2</v>
      </c>
      <c r="M175" s="65">
        <f t="shared" si="23"/>
        <v>24.7</v>
      </c>
      <c r="N175" s="65">
        <f>-K175</f>
        <v>-13</v>
      </c>
      <c r="O175" s="52" t="s">
        <v>75</v>
      </c>
      <c r="P175">
        <f t="shared" si="19"/>
        <v>0</v>
      </c>
      <c r="Q175">
        <f t="shared" si="20"/>
        <v>1</v>
      </c>
      <c r="R175">
        <f t="shared" si="21"/>
        <v>0</v>
      </c>
      <c r="S175">
        <f t="shared" si="22"/>
        <v>-13</v>
      </c>
    </row>
    <row r="176" spans="1:19" x14ac:dyDescent="0.3">
      <c r="A176" s="51">
        <v>44681</v>
      </c>
      <c r="B176" s="53" t="s">
        <v>18</v>
      </c>
      <c r="C176" s="75" t="s">
        <v>12</v>
      </c>
      <c r="D176" s="52">
        <v>2.2999999999999998</v>
      </c>
      <c r="E176" s="52">
        <f t="shared" si="10"/>
        <v>129.99999999999997</v>
      </c>
      <c r="F176" s="52">
        <v>1.67</v>
      </c>
      <c r="G176" s="55">
        <f>+((1/D176)+(1/F176)-1)</f>
        <v>3.3585003905233002E-2</v>
      </c>
      <c r="H176" s="52">
        <v>2.0831010000000001</v>
      </c>
      <c r="I176" s="54">
        <f t="shared" si="12"/>
        <v>108.31010000000001</v>
      </c>
      <c r="J176" s="55">
        <f t="shared" si="18"/>
        <v>4.5270926874634576E-2</v>
      </c>
      <c r="K176" s="52">
        <v>31</v>
      </c>
      <c r="L176" s="52">
        <v>0.5</v>
      </c>
      <c r="M176" s="65">
        <f t="shared" si="23"/>
        <v>40.299999999999997</v>
      </c>
      <c r="N176" s="65">
        <f>-K176</f>
        <v>-31</v>
      </c>
      <c r="O176" s="52" t="s">
        <v>75</v>
      </c>
      <c r="P176">
        <f t="shared" si="19"/>
        <v>0</v>
      </c>
      <c r="Q176">
        <f t="shared" si="20"/>
        <v>1</v>
      </c>
      <c r="R176">
        <f t="shared" si="21"/>
        <v>0</v>
      </c>
      <c r="S176">
        <f t="shared" si="22"/>
        <v>-31</v>
      </c>
    </row>
    <row r="177" spans="1:19" x14ac:dyDescent="0.3">
      <c r="A177" s="51">
        <v>44681</v>
      </c>
      <c r="B177" s="7" t="s">
        <v>9</v>
      </c>
      <c r="C177" s="26" t="s">
        <v>15</v>
      </c>
      <c r="D177" s="52">
        <v>2.65</v>
      </c>
      <c r="E177" s="52">
        <f t="shared" si="10"/>
        <v>165</v>
      </c>
      <c r="F177" s="52">
        <v>1.53</v>
      </c>
      <c r="G177" s="55">
        <f>+((1/D177)+(1/F177)-1)</f>
        <v>3.0953261807867838E-2</v>
      </c>
      <c r="H177" s="52">
        <v>2.4876070000000001</v>
      </c>
      <c r="I177" s="54">
        <f t="shared" si="12"/>
        <v>148.76070000000001</v>
      </c>
      <c r="J177" s="55">
        <f t="shared" si="18"/>
        <v>2.4634267936410548E-2</v>
      </c>
      <c r="K177" s="52">
        <v>13</v>
      </c>
      <c r="L177" s="52">
        <v>0.2</v>
      </c>
      <c r="M177" s="65">
        <f t="shared" si="23"/>
        <v>21.45</v>
      </c>
      <c r="N177" s="62">
        <f>+M177</f>
        <v>21.45</v>
      </c>
      <c r="O177" s="52" t="s">
        <v>75</v>
      </c>
      <c r="P177">
        <f t="shared" si="19"/>
        <v>1</v>
      </c>
      <c r="Q177">
        <f t="shared" si="20"/>
        <v>1</v>
      </c>
      <c r="R177">
        <f t="shared" si="21"/>
        <v>0</v>
      </c>
      <c r="S177">
        <f t="shared" si="22"/>
        <v>21.45</v>
      </c>
    </row>
    <row r="178" spans="1:19" x14ac:dyDescent="0.3">
      <c r="A178" s="51">
        <v>44681</v>
      </c>
      <c r="B178" s="26" t="s">
        <v>11</v>
      </c>
      <c r="C178" s="7" t="s">
        <v>17</v>
      </c>
      <c r="D178" s="52">
        <v>1.85</v>
      </c>
      <c r="E178" s="54">
        <f t="shared" si="10"/>
        <v>-117.64705882352941</v>
      </c>
      <c r="F178" s="52">
        <v>2</v>
      </c>
      <c r="G178" s="55">
        <f>+((1/D178)+(1/F178)-1)</f>
        <v>4.0540540540540349E-2</v>
      </c>
      <c r="H178" s="52">
        <v>1.7732239999999999</v>
      </c>
      <c r="I178" s="54">
        <f t="shared" si="12"/>
        <v>-129.32862921999319</v>
      </c>
      <c r="J178" s="55">
        <f t="shared" si="18"/>
        <v>2.340400340878579E-2</v>
      </c>
      <c r="K178" s="52">
        <v>13</v>
      </c>
      <c r="L178" s="52">
        <v>0.2</v>
      </c>
      <c r="M178" s="65">
        <f t="shared" si="23"/>
        <v>11.05</v>
      </c>
      <c r="N178" s="62">
        <f>+M178</f>
        <v>11.05</v>
      </c>
      <c r="O178" s="52" t="s">
        <v>76</v>
      </c>
      <c r="P178">
        <f t="shared" si="19"/>
        <v>1</v>
      </c>
      <c r="Q178">
        <f t="shared" si="20"/>
        <v>0</v>
      </c>
      <c r="R178">
        <f t="shared" si="21"/>
        <v>11.05</v>
      </c>
      <c r="S178">
        <f t="shared" si="22"/>
        <v>0</v>
      </c>
    </row>
    <row r="179" spans="1:19" x14ac:dyDescent="0.3">
      <c r="A179" s="51">
        <v>44681</v>
      </c>
      <c r="B179" s="7" t="s">
        <v>29</v>
      </c>
      <c r="C179" s="26" t="s">
        <v>34</v>
      </c>
      <c r="D179" s="52">
        <v>1.64</v>
      </c>
      <c r="E179" s="54">
        <f t="shared" si="10"/>
        <v>-156.25000000000003</v>
      </c>
      <c r="F179" s="52">
        <v>2.35</v>
      </c>
      <c r="G179" s="55">
        <f>+((1/D179)+(1/F179)-1)</f>
        <v>3.5288012454592677E-2</v>
      </c>
      <c r="H179" s="52">
        <v>1.5579069999999999</v>
      </c>
      <c r="I179" s="54">
        <f t="shared" si="12"/>
        <v>-179.24134309123207</v>
      </c>
      <c r="J179" s="55">
        <f t="shared" si="18"/>
        <v>3.2130741640594263E-2</v>
      </c>
      <c r="K179" s="52">
        <v>31</v>
      </c>
      <c r="L179" s="52">
        <v>0.5</v>
      </c>
      <c r="M179" s="65">
        <f t="shared" si="23"/>
        <v>19.839999999999996</v>
      </c>
      <c r="N179" s="62">
        <f>-K179</f>
        <v>-31</v>
      </c>
      <c r="O179" s="52" t="s">
        <v>76</v>
      </c>
      <c r="P179">
        <f t="shared" si="19"/>
        <v>0</v>
      </c>
      <c r="Q179">
        <f t="shared" si="20"/>
        <v>0</v>
      </c>
      <c r="R179">
        <f t="shared" si="21"/>
        <v>-31</v>
      </c>
      <c r="S179">
        <f t="shared" si="22"/>
        <v>0</v>
      </c>
    </row>
    <row r="180" spans="1:19" x14ac:dyDescent="0.3">
      <c r="A180" s="51">
        <v>44681</v>
      </c>
      <c r="B180" s="41" t="s">
        <v>20</v>
      </c>
      <c r="C180" s="26" t="s">
        <v>21</v>
      </c>
      <c r="D180" s="52">
        <v>1.88</v>
      </c>
      <c r="E180" s="54">
        <f t="shared" si="10"/>
        <v>-113.63636363636365</v>
      </c>
      <c r="F180" s="52">
        <v>1.98</v>
      </c>
      <c r="G180" s="55">
        <f>+((1/D180)+(1/F180)-1)</f>
        <v>3.6965398667526461E-2</v>
      </c>
      <c r="H180" s="52">
        <v>1.614393</v>
      </c>
      <c r="I180" s="54">
        <f t="shared" si="12"/>
        <v>-162.76227105452048</v>
      </c>
      <c r="J180" s="55">
        <f t="shared" si="18"/>
        <v>8.7512965646491359E-2</v>
      </c>
      <c r="K180" s="52">
        <v>63</v>
      </c>
      <c r="L180" s="52">
        <v>1</v>
      </c>
      <c r="M180" s="65">
        <f t="shared" si="23"/>
        <v>55.439999999999991</v>
      </c>
      <c r="N180" s="62">
        <f>-K180</f>
        <v>-63</v>
      </c>
      <c r="O180" s="52" t="s">
        <v>76</v>
      </c>
      <c r="P180">
        <f t="shared" si="19"/>
        <v>0</v>
      </c>
      <c r="Q180">
        <f t="shared" si="20"/>
        <v>0</v>
      </c>
      <c r="R180">
        <f t="shared" si="21"/>
        <v>-63</v>
      </c>
      <c r="S180">
        <f t="shared" si="22"/>
        <v>0</v>
      </c>
    </row>
    <row r="181" spans="1:19" x14ac:dyDescent="0.3">
      <c r="A181" s="28">
        <v>44681</v>
      </c>
      <c r="B181" s="79" t="s">
        <v>14</v>
      </c>
      <c r="C181" s="80" t="s">
        <v>8</v>
      </c>
      <c r="D181" s="52">
        <v>2.9</v>
      </c>
      <c r="E181" s="54">
        <f t="shared" si="10"/>
        <v>190</v>
      </c>
      <c r="F181" s="52">
        <v>1.43</v>
      </c>
      <c r="G181" s="55">
        <f>+((1/D181)+(1/F181)-1)</f>
        <v>4.4128285507595955E-2</v>
      </c>
      <c r="H181" s="52">
        <v>2.5171869999999998</v>
      </c>
      <c r="I181" s="54">
        <f t="shared" si="12"/>
        <v>151.71869999999998</v>
      </c>
      <c r="J181" s="55">
        <f t="shared" si="18"/>
        <v>5.2441269861405071E-2</v>
      </c>
      <c r="K181" s="52">
        <v>31</v>
      </c>
      <c r="L181" s="52">
        <v>0.5</v>
      </c>
      <c r="M181" s="65">
        <f t="shared" si="23"/>
        <v>58.9</v>
      </c>
      <c r="N181" s="62">
        <f>-K181</f>
        <v>-31</v>
      </c>
      <c r="O181" s="52" t="s">
        <v>75</v>
      </c>
      <c r="P181">
        <f t="shared" si="19"/>
        <v>0</v>
      </c>
      <c r="Q181">
        <f t="shared" si="20"/>
        <v>1</v>
      </c>
      <c r="R181">
        <f t="shared" si="21"/>
        <v>0</v>
      </c>
      <c r="S181">
        <f t="shared" si="22"/>
        <v>-31</v>
      </c>
    </row>
    <row r="182" spans="1:19" x14ac:dyDescent="0.3">
      <c r="A182" s="51">
        <v>44681</v>
      </c>
      <c r="B182" s="79" t="s">
        <v>23</v>
      </c>
      <c r="C182" s="80" t="s">
        <v>24</v>
      </c>
      <c r="D182" s="52">
        <v>1.78</v>
      </c>
      <c r="E182" s="54">
        <f t="shared" si="10"/>
        <v>-128.2051282051282</v>
      </c>
      <c r="F182" s="52">
        <v>2.1</v>
      </c>
      <c r="G182" s="55">
        <f>+((1/D182)+(1/F182)-1)</f>
        <v>3.7988228999465079E-2</v>
      </c>
      <c r="H182" s="52">
        <v>1.775137</v>
      </c>
      <c r="I182" s="54">
        <f t="shared" si="12"/>
        <v>-129.00945252258634</v>
      </c>
      <c r="J182" s="55">
        <f t="shared" si="18"/>
        <v>1.5390488012531067E-3</v>
      </c>
      <c r="K182" s="52">
        <v>13</v>
      </c>
      <c r="L182" s="52">
        <v>0.2</v>
      </c>
      <c r="M182" s="65">
        <f t="shared" si="23"/>
        <v>10.14</v>
      </c>
      <c r="N182" s="62">
        <f>-K182</f>
        <v>-13</v>
      </c>
      <c r="O182" s="52" t="s">
        <v>76</v>
      </c>
      <c r="P182">
        <f t="shared" si="19"/>
        <v>0</v>
      </c>
      <c r="Q182">
        <f t="shared" si="20"/>
        <v>0</v>
      </c>
      <c r="R182">
        <f t="shared" si="21"/>
        <v>-13</v>
      </c>
      <c r="S182">
        <f t="shared" si="22"/>
        <v>0</v>
      </c>
    </row>
    <row r="183" spans="1:19" x14ac:dyDescent="0.3">
      <c r="A183" s="28">
        <v>44681</v>
      </c>
      <c r="B183" s="80" t="s">
        <v>32</v>
      </c>
      <c r="C183" s="79" t="s">
        <v>27</v>
      </c>
      <c r="D183" s="52">
        <v>2.25</v>
      </c>
      <c r="E183" s="54">
        <f t="shared" si="10"/>
        <v>125</v>
      </c>
      <c r="F183" s="52">
        <v>1.69</v>
      </c>
      <c r="G183" s="55">
        <f>+((1/D183)+(1/F183)-1)</f>
        <v>3.6160420775805502E-2</v>
      </c>
      <c r="H183" s="52">
        <v>1.9398519999999999</v>
      </c>
      <c r="I183" s="54">
        <f t="shared" si="12"/>
        <v>-106.39973102147999</v>
      </c>
      <c r="J183" s="55">
        <f t="shared" si="18"/>
        <v>7.105880013297694E-2</v>
      </c>
      <c r="K183" s="52">
        <v>63</v>
      </c>
      <c r="L183" s="52">
        <v>1</v>
      </c>
      <c r="M183" s="65">
        <f t="shared" si="23"/>
        <v>78.75</v>
      </c>
      <c r="N183" s="62">
        <f>-K183</f>
        <v>-63</v>
      </c>
      <c r="O183" s="52" t="s">
        <v>75</v>
      </c>
      <c r="P183">
        <f t="shared" si="19"/>
        <v>0</v>
      </c>
      <c r="Q183">
        <f t="shared" si="20"/>
        <v>1</v>
      </c>
      <c r="R183">
        <f t="shared" si="21"/>
        <v>0</v>
      </c>
      <c r="S183">
        <f t="shared" si="22"/>
        <v>-63</v>
      </c>
    </row>
    <row r="184" spans="1:19" x14ac:dyDescent="0.3">
      <c r="A184" s="42">
        <v>44682</v>
      </c>
      <c r="B184" s="45" t="s">
        <v>32</v>
      </c>
      <c r="C184" s="44" t="s">
        <v>27</v>
      </c>
      <c r="D184" s="45">
        <v>2.35</v>
      </c>
      <c r="E184" s="45">
        <f t="shared" si="10"/>
        <v>135</v>
      </c>
      <c r="F184" s="45">
        <v>1.64</v>
      </c>
      <c r="G184" s="47">
        <f>+((1/D184)+(1/F184)-1)</f>
        <v>3.5288012454592677E-2</v>
      </c>
      <c r="H184" s="45">
        <v>2.0879059999999998</v>
      </c>
      <c r="I184" s="48">
        <f t="shared" si="12"/>
        <v>108.79059999999998</v>
      </c>
      <c r="J184" s="47">
        <f t="shared" si="18"/>
        <v>5.341685004120289E-2</v>
      </c>
      <c r="K184" s="101">
        <v>30</v>
      </c>
      <c r="L184" s="45">
        <v>0.5</v>
      </c>
      <c r="M184" s="64">
        <f t="shared" si="23"/>
        <v>40.5</v>
      </c>
      <c r="N184" s="101">
        <f>-K184</f>
        <v>-30</v>
      </c>
      <c r="O184" s="45" t="s">
        <v>75</v>
      </c>
      <c r="P184">
        <f t="shared" si="19"/>
        <v>0</v>
      </c>
      <c r="Q184">
        <f t="shared" si="20"/>
        <v>1</v>
      </c>
      <c r="R184">
        <f t="shared" si="21"/>
        <v>0</v>
      </c>
      <c r="S184">
        <f t="shared" si="22"/>
        <v>-30</v>
      </c>
    </row>
    <row r="185" spans="1:19" x14ac:dyDescent="0.3">
      <c r="A185" s="42">
        <v>44682</v>
      </c>
      <c r="B185" s="45" t="s">
        <v>33</v>
      </c>
      <c r="C185" s="44" t="s">
        <v>13</v>
      </c>
      <c r="D185" s="45">
        <v>3.21</v>
      </c>
      <c r="E185" s="45">
        <f t="shared" si="10"/>
        <v>221</v>
      </c>
      <c r="F185" s="45">
        <v>1.42</v>
      </c>
      <c r="G185" s="47">
        <f>+((1/D185)+(1/F185)-1)</f>
        <v>1.5751831863454857E-2</v>
      </c>
      <c r="H185" s="45">
        <v>3.0193650000000001</v>
      </c>
      <c r="I185" s="48">
        <f t="shared" si="12"/>
        <v>201.9365</v>
      </c>
      <c r="J185" s="47">
        <f t="shared" si="18"/>
        <v>1.9668986845674419E-2</v>
      </c>
      <c r="K185" s="101">
        <v>12</v>
      </c>
      <c r="L185" s="45">
        <v>0.2</v>
      </c>
      <c r="M185" s="64">
        <f t="shared" si="23"/>
        <v>26.52</v>
      </c>
      <c r="N185" s="101">
        <f>-K185</f>
        <v>-12</v>
      </c>
      <c r="O185" s="45" t="s">
        <v>77</v>
      </c>
      <c r="P185">
        <f t="shared" si="19"/>
        <v>0</v>
      </c>
      <c r="Q185">
        <f t="shared" si="20"/>
        <v>1</v>
      </c>
      <c r="R185">
        <f t="shared" si="21"/>
        <v>0</v>
      </c>
      <c r="S185">
        <f t="shared" si="22"/>
        <v>-12</v>
      </c>
    </row>
    <row r="186" spans="1:19" x14ac:dyDescent="0.3">
      <c r="A186" s="42">
        <v>44682</v>
      </c>
      <c r="B186" s="45" t="s">
        <v>23</v>
      </c>
      <c r="C186" s="44" t="s">
        <v>24</v>
      </c>
      <c r="D186" s="45">
        <v>2.5499999999999998</v>
      </c>
      <c r="E186" s="48">
        <f t="shared" si="10"/>
        <v>154.99999999999997</v>
      </c>
      <c r="F186" s="45">
        <v>1.57</v>
      </c>
      <c r="G186" s="47">
        <f>+((1/D186)+(1/F186)-1)</f>
        <v>2.9099537904333728E-2</v>
      </c>
      <c r="H186" s="45">
        <v>2.2508149999999998</v>
      </c>
      <c r="I186" s="48">
        <f t="shared" si="12"/>
        <v>125.08149999999998</v>
      </c>
      <c r="J186" s="47">
        <f t="shared" si="18"/>
        <v>5.2126652337216584E-2</v>
      </c>
      <c r="K186" s="59">
        <v>30</v>
      </c>
      <c r="L186" s="45">
        <v>0.5</v>
      </c>
      <c r="M186" s="64">
        <f t="shared" si="23"/>
        <v>46.499999999999993</v>
      </c>
      <c r="N186" s="101">
        <f>-K186</f>
        <v>-30</v>
      </c>
      <c r="O186" s="45" t="s">
        <v>75</v>
      </c>
      <c r="P186">
        <f t="shared" si="19"/>
        <v>0</v>
      </c>
      <c r="Q186">
        <f t="shared" si="20"/>
        <v>1</v>
      </c>
      <c r="R186">
        <f t="shared" si="21"/>
        <v>0</v>
      </c>
      <c r="S186">
        <f t="shared" si="22"/>
        <v>-30</v>
      </c>
    </row>
  </sheetData>
  <autoFilter ref="A1:O184" xr:uid="{B6E0F769-9637-47ED-B0C6-17F010F6EAC1}"/>
  <pageMargins left="0.7" right="0.7" top="0.75" bottom="0.75" header="0.3" footer="0.3"/>
  <pageSetup orientation="portrait" r:id="rId1"/>
  <ignoredErrors>
    <ignoredError sqref="N85 N87 N79 N98 N95 N91 N101 N104 N134 N156 N169 N164:N16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3593-899A-4223-8B6E-A582329A446C}">
  <dimension ref="A3:H28"/>
  <sheetViews>
    <sheetView topLeftCell="A7" zoomScale="80" zoomScaleNormal="80" workbookViewId="0">
      <selection activeCell="L23" sqref="L23"/>
    </sheetView>
  </sheetViews>
  <sheetFormatPr defaultRowHeight="14.4" x14ac:dyDescent="0.3"/>
  <cols>
    <col min="1" max="1" width="11" bestFit="1" customWidth="1"/>
    <col min="2" max="2" width="17.88671875" bestFit="1" customWidth="1"/>
    <col min="3" max="3" width="13.33203125" bestFit="1" customWidth="1"/>
    <col min="4" max="4" width="15.109375" bestFit="1" customWidth="1"/>
    <col min="5" max="5" width="21.33203125" bestFit="1" customWidth="1"/>
    <col min="6" max="6" width="18.77734375" bestFit="1" customWidth="1"/>
    <col min="7" max="7" width="19.44140625" customWidth="1"/>
    <col min="8" max="8" width="10.77734375" bestFit="1" customWidth="1"/>
  </cols>
  <sheetData>
    <row r="3" spans="1:8" x14ac:dyDescent="0.3">
      <c r="B3" t="s">
        <v>83</v>
      </c>
      <c r="C3" t="s">
        <v>84</v>
      </c>
      <c r="D3" t="s">
        <v>89</v>
      </c>
      <c r="E3" t="s">
        <v>91</v>
      </c>
      <c r="F3" t="s">
        <v>98</v>
      </c>
      <c r="G3" s="36" t="s">
        <v>105</v>
      </c>
      <c r="H3" s="36" t="s">
        <v>85</v>
      </c>
    </row>
    <row r="4" spans="1:8" x14ac:dyDescent="0.3">
      <c r="A4" s="30">
        <v>44658</v>
      </c>
      <c r="B4" s="2">
        <v>354</v>
      </c>
      <c r="C4" s="3">
        <v>0.5</v>
      </c>
      <c r="D4" s="29">
        <v>3.8726328796164035E-2</v>
      </c>
      <c r="E4" s="29">
        <v>5.0509816820457382E-2</v>
      </c>
      <c r="F4" s="86">
        <v>2.2683333333333331</v>
      </c>
      <c r="G4" s="92">
        <f>+SUM($C$4:C4)</f>
        <v>0.5</v>
      </c>
      <c r="H4" s="90"/>
    </row>
    <row r="5" spans="1:8" x14ac:dyDescent="0.3">
      <c r="A5" s="30">
        <v>44659</v>
      </c>
      <c r="B5" s="2">
        <v>607</v>
      </c>
      <c r="C5" s="3">
        <v>160.15999999999997</v>
      </c>
      <c r="D5" s="29">
        <v>4.3613680099966821E-2</v>
      </c>
      <c r="E5" s="29">
        <v>4.8293515450686005E-2</v>
      </c>
      <c r="F5" s="86">
        <v>2.153</v>
      </c>
      <c r="G5" s="92">
        <f>+SUM($C$4:C5)</f>
        <v>160.65999999999997</v>
      </c>
      <c r="H5" s="90"/>
    </row>
    <row r="6" spans="1:8" x14ac:dyDescent="0.3">
      <c r="A6" s="30">
        <v>44660</v>
      </c>
      <c r="B6" s="2">
        <v>488</v>
      </c>
      <c r="C6" s="3">
        <v>-251.81</v>
      </c>
      <c r="D6" s="29">
        <v>4.0324760210396389E-2</v>
      </c>
      <c r="E6" s="29">
        <v>5.5148309585712076E-2</v>
      </c>
      <c r="F6" s="86">
        <v>2.1777777777777776</v>
      </c>
      <c r="G6" s="92">
        <f>+SUM($C$4:C6)</f>
        <v>-91.150000000000034</v>
      </c>
      <c r="H6" s="90"/>
    </row>
    <row r="7" spans="1:8" x14ac:dyDescent="0.3">
      <c r="A7" s="30">
        <v>44661</v>
      </c>
      <c r="B7" s="2">
        <v>532</v>
      </c>
      <c r="C7" s="3">
        <v>467.0499999999999</v>
      </c>
      <c r="D7" s="29">
        <v>4.2497177405085344E-2</v>
      </c>
      <c r="E7" s="29">
        <v>6.3439878465913688E-2</v>
      </c>
      <c r="F7" s="86">
        <v>2.2944444444444443</v>
      </c>
      <c r="G7" s="92">
        <f>+SUM($C$4:C7)</f>
        <v>375.89999999999986</v>
      </c>
      <c r="H7" s="91"/>
    </row>
    <row r="8" spans="1:8" x14ac:dyDescent="0.3">
      <c r="A8" s="30">
        <v>44662</v>
      </c>
      <c r="B8" s="2">
        <v>540</v>
      </c>
      <c r="C8" s="3">
        <v>304.62</v>
      </c>
      <c r="D8" s="29">
        <v>4.3428673119697635E-2</v>
      </c>
      <c r="E8" s="29">
        <v>6.9425208695340024E-2</v>
      </c>
      <c r="F8" s="86">
        <v>2.3511111111111109</v>
      </c>
      <c r="G8" s="92">
        <f>+SUM($C$4:C8)</f>
        <v>680.51999999999987</v>
      </c>
      <c r="H8" s="91"/>
    </row>
    <row r="9" spans="1:8" x14ac:dyDescent="0.3">
      <c r="A9" s="30">
        <v>44663</v>
      </c>
      <c r="B9" s="2">
        <v>464</v>
      </c>
      <c r="C9" s="3">
        <v>-46.080000000000013</v>
      </c>
      <c r="D9" s="29">
        <v>4.2377245245477993E-2</v>
      </c>
      <c r="E9" s="29">
        <v>3.5065436410982025E-2</v>
      </c>
      <c r="F9" s="86">
        <v>2.2830000000000004</v>
      </c>
      <c r="G9" s="92">
        <f>+SUM($C$4:C9)</f>
        <v>634.43999999999983</v>
      </c>
      <c r="H9" s="91"/>
    </row>
    <row r="10" spans="1:8" x14ac:dyDescent="0.3">
      <c r="A10" s="30">
        <v>44664</v>
      </c>
      <c r="B10" s="2">
        <v>446</v>
      </c>
      <c r="C10" s="3">
        <v>240.91999999999996</v>
      </c>
      <c r="D10" s="29">
        <v>4.2962311367416461E-2</v>
      </c>
      <c r="E10" s="29">
        <v>5.0937160179252025E-2</v>
      </c>
      <c r="F10" s="86">
        <v>2.2371428571428571</v>
      </c>
      <c r="G10" s="92">
        <f>+SUM($C$4:C10)</f>
        <v>875.35999999999979</v>
      </c>
      <c r="H10" s="91"/>
    </row>
    <row r="11" spans="1:8" x14ac:dyDescent="0.3">
      <c r="A11" s="30">
        <v>44665</v>
      </c>
      <c r="B11" s="2">
        <v>527</v>
      </c>
      <c r="C11" s="3">
        <v>245.25</v>
      </c>
      <c r="D11" s="29">
        <v>4.5433248863461423E-2</v>
      </c>
      <c r="E11" s="29">
        <v>4.6394380695361573E-2</v>
      </c>
      <c r="F11" s="86">
        <v>2.3712499999999999</v>
      </c>
      <c r="G11" s="92">
        <f>+SUM($C$4:C11)</f>
        <v>1120.6099999999997</v>
      </c>
      <c r="H11" s="91"/>
    </row>
    <row r="12" spans="1:8" x14ac:dyDescent="0.3">
      <c r="A12" s="30">
        <v>44666</v>
      </c>
      <c r="B12" s="2">
        <v>561</v>
      </c>
      <c r="C12" s="3">
        <v>-94.639999999999986</v>
      </c>
      <c r="D12" s="29">
        <v>4.498752093972036E-2</v>
      </c>
      <c r="E12" s="29">
        <v>4.5183827202938662E-2</v>
      </c>
      <c r="F12" s="86">
        <v>2.2280000000000002</v>
      </c>
      <c r="G12" s="92">
        <f>+SUM($C$4:C12)</f>
        <v>1025.9699999999998</v>
      </c>
      <c r="H12" s="91"/>
    </row>
    <row r="13" spans="1:8" x14ac:dyDescent="0.3">
      <c r="A13" s="30">
        <v>44667</v>
      </c>
      <c r="B13" s="2">
        <v>651</v>
      </c>
      <c r="C13" s="3">
        <v>-369.92</v>
      </c>
      <c r="D13" s="29">
        <v>4.2627214539937917E-2</v>
      </c>
      <c r="E13" s="29">
        <v>3.9625152947294295E-2</v>
      </c>
      <c r="F13" s="86">
        <v>2.097</v>
      </c>
      <c r="G13" s="92">
        <f>+SUM($C$4:C13)</f>
        <v>656.04999999999973</v>
      </c>
      <c r="H13" s="91"/>
    </row>
    <row r="14" spans="1:8" x14ac:dyDescent="0.3">
      <c r="A14" s="30">
        <v>44668</v>
      </c>
      <c r="B14" s="2">
        <v>409</v>
      </c>
      <c r="C14" s="3">
        <v>135.38</v>
      </c>
      <c r="D14" s="29">
        <v>4.6873030950687317E-2</v>
      </c>
      <c r="E14" s="29">
        <v>5.1996374840973691E-2</v>
      </c>
      <c r="F14" s="86">
        <v>2.15625</v>
      </c>
      <c r="G14" s="92">
        <f>+SUM($C$4:C14)</f>
        <v>791.42999999999972</v>
      </c>
      <c r="H14" s="91"/>
    </row>
    <row r="15" spans="1:8" x14ac:dyDescent="0.3">
      <c r="A15" s="30">
        <v>44669</v>
      </c>
      <c r="B15" s="2">
        <v>103</v>
      </c>
      <c r="C15" s="3">
        <v>9.7999999999999972</v>
      </c>
      <c r="D15" s="29">
        <v>4.3179434847708288E-2</v>
      </c>
      <c r="E15" s="29">
        <v>3.0237280804656319E-2</v>
      </c>
      <c r="F15" s="86">
        <v>2.6133333333333333</v>
      </c>
      <c r="G15" s="92">
        <f>+SUM($C$4:C15)</f>
        <v>801.22999999999968</v>
      </c>
      <c r="H15" s="91"/>
    </row>
    <row r="16" spans="1:8" x14ac:dyDescent="0.3">
      <c r="A16" s="30">
        <v>44670</v>
      </c>
      <c r="B16" s="2">
        <v>474</v>
      </c>
      <c r="C16" s="3">
        <v>67.149999999999991</v>
      </c>
      <c r="D16" s="29">
        <v>4.5647191601125528E-2</v>
      </c>
      <c r="E16" s="29">
        <v>5.581386238145538E-2</v>
      </c>
      <c r="F16" s="86">
        <v>2.2357142857142862</v>
      </c>
      <c r="G16" s="92">
        <f>+SUM($C$4:C16)</f>
        <v>868.37999999999965</v>
      </c>
      <c r="H16" s="91"/>
    </row>
    <row r="17" spans="1:8" x14ac:dyDescent="0.3">
      <c r="A17" s="30">
        <v>44671</v>
      </c>
      <c r="B17" s="2">
        <v>569</v>
      </c>
      <c r="C17" s="3">
        <v>-136.89999999999998</v>
      </c>
      <c r="D17" s="29">
        <v>4.6453130180728754E-2</v>
      </c>
      <c r="E17" s="29">
        <v>6.5400260040004862E-2</v>
      </c>
      <c r="F17" s="86">
        <v>2.02</v>
      </c>
      <c r="G17" s="92">
        <f>+SUM($C$4:C17)</f>
        <v>731.47999999999968</v>
      </c>
      <c r="H17" s="91"/>
    </row>
    <row r="18" spans="1:8" x14ac:dyDescent="0.3">
      <c r="A18" s="30">
        <v>44672</v>
      </c>
      <c r="B18" s="2">
        <v>436</v>
      </c>
      <c r="C18" s="3">
        <v>146.58000000000001</v>
      </c>
      <c r="D18" s="29">
        <v>3.5730907050142147E-2</v>
      </c>
      <c r="E18" s="29">
        <v>3.8345219594685065E-2</v>
      </c>
      <c r="F18" s="86">
        <v>2.1342857142857143</v>
      </c>
      <c r="G18" s="92">
        <f>+SUM($C$4:C18)</f>
        <v>878.05999999999972</v>
      </c>
      <c r="H18" s="91"/>
    </row>
    <row r="19" spans="1:8" x14ac:dyDescent="0.3">
      <c r="A19" s="30">
        <v>44673</v>
      </c>
      <c r="B19" s="2">
        <v>436</v>
      </c>
      <c r="C19" s="3">
        <v>3.2499999999999858</v>
      </c>
      <c r="D19" s="29">
        <v>3.7219197726776294E-2</v>
      </c>
      <c r="E19" s="29">
        <v>4.5988764634530659E-2</v>
      </c>
      <c r="F19" s="86">
        <v>2.0118181818181817</v>
      </c>
      <c r="G19" s="92">
        <f>+SUM($C$4:C19)</f>
        <v>881.30999999999972</v>
      </c>
      <c r="H19" s="91"/>
    </row>
    <row r="20" spans="1:8" x14ac:dyDescent="0.3">
      <c r="A20" s="30">
        <v>44674</v>
      </c>
      <c r="B20" s="2">
        <v>439</v>
      </c>
      <c r="C20" s="3">
        <v>117.17999999999998</v>
      </c>
      <c r="D20" s="29">
        <v>3.8324416557208751E-2</v>
      </c>
      <c r="E20" s="29">
        <v>4.8600730324388414E-2</v>
      </c>
      <c r="F20" s="86">
        <v>1.9722222222222223</v>
      </c>
      <c r="G20" s="92">
        <f>+SUM($C$4:C20)</f>
        <v>998.48999999999967</v>
      </c>
      <c r="H20" s="91"/>
    </row>
    <row r="21" spans="1:8" x14ac:dyDescent="0.3">
      <c r="A21" s="30">
        <v>44675</v>
      </c>
      <c r="B21" s="2">
        <v>192</v>
      </c>
      <c r="C21" s="3">
        <v>-66.8</v>
      </c>
      <c r="D21" s="29">
        <v>3.5510034578420543E-2</v>
      </c>
      <c r="E21" s="29">
        <v>3.5465352119669294E-2</v>
      </c>
      <c r="F21" s="86">
        <v>2.1819999999999999</v>
      </c>
      <c r="G21" s="92">
        <f>+SUM($C$4:C21)</f>
        <v>931.68999999999971</v>
      </c>
      <c r="H21" s="91"/>
    </row>
    <row r="22" spans="1:8" x14ac:dyDescent="0.3">
      <c r="A22" s="30">
        <v>44676</v>
      </c>
      <c r="B22" s="2">
        <v>245</v>
      </c>
      <c r="C22" s="3">
        <v>124.97999999999999</v>
      </c>
      <c r="D22" s="29">
        <v>3.6615307475545977E-2</v>
      </c>
      <c r="E22" s="29">
        <v>5.320351603944018E-2</v>
      </c>
      <c r="F22" s="86">
        <v>2.25</v>
      </c>
      <c r="G22" s="92">
        <f>+SUM($C$4:C22)</f>
        <v>1056.6699999999996</v>
      </c>
      <c r="H22" s="91"/>
    </row>
    <row r="23" spans="1:8" x14ac:dyDescent="0.3">
      <c r="A23" s="30">
        <v>44677</v>
      </c>
      <c r="B23" s="2">
        <v>336</v>
      </c>
      <c r="C23" s="3">
        <v>-336</v>
      </c>
      <c r="D23" s="29">
        <v>2.9744653821405054E-2</v>
      </c>
      <c r="E23" s="29">
        <v>6.7448199081214813E-2</v>
      </c>
      <c r="F23" s="86">
        <v>2.5140000000000002</v>
      </c>
      <c r="G23" s="92">
        <f>+SUM($C$4:C23)</f>
        <v>720.66999999999962</v>
      </c>
      <c r="H23" s="91"/>
    </row>
    <row r="24" spans="1:8" x14ac:dyDescent="0.3">
      <c r="A24" s="30">
        <v>44678</v>
      </c>
      <c r="B24" s="2">
        <v>514</v>
      </c>
      <c r="C24" s="3">
        <v>-273.22000000000003</v>
      </c>
      <c r="D24" s="29">
        <v>2.8174557220553675E-2</v>
      </c>
      <c r="E24" s="29">
        <v>6.2025678105628049E-2</v>
      </c>
      <c r="F24" s="86">
        <v>2.3762500000000002</v>
      </c>
      <c r="G24" s="92">
        <f>+SUM($C$4:C24)</f>
        <v>447.44999999999959</v>
      </c>
      <c r="H24" s="91"/>
    </row>
    <row r="25" spans="1:8" x14ac:dyDescent="0.3">
      <c r="A25" s="30">
        <v>44680</v>
      </c>
      <c r="B25" s="2">
        <v>269</v>
      </c>
      <c r="C25" s="3">
        <v>274.83000000000004</v>
      </c>
      <c r="D25" s="29">
        <v>3.4414436205356135E-2</v>
      </c>
      <c r="E25" s="29">
        <v>3.9473339552535333E-2</v>
      </c>
      <c r="F25" s="86">
        <v>2.218</v>
      </c>
      <c r="G25" s="92">
        <f>+SUM($C$4:C25)</f>
        <v>722.27999999999963</v>
      </c>
    </row>
    <row r="26" spans="1:8" x14ac:dyDescent="0.3">
      <c r="A26" s="30">
        <v>44681</v>
      </c>
      <c r="B26" s="2">
        <v>302</v>
      </c>
      <c r="C26" s="3">
        <v>-243.5</v>
      </c>
      <c r="D26" s="29">
        <v>3.60656258169431E-2</v>
      </c>
      <c r="E26" s="29">
        <v>4.0458058287598631E-2</v>
      </c>
      <c r="F26" s="86">
        <v>2.25</v>
      </c>
      <c r="G26" s="92">
        <f>+SUM($C$4:C26)</f>
        <v>478.77999999999963</v>
      </c>
    </row>
    <row r="27" spans="1:8" x14ac:dyDescent="0.3">
      <c r="A27" s="30">
        <v>44682</v>
      </c>
      <c r="B27" s="2">
        <v>72</v>
      </c>
      <c r="C27" s="3">
        <v>-72</v>
      </c>
      <c r="D27" s="29">
        <v>2.6713127407460419E-2</v>
      </c>
      <c r="E27" s="29">
        <v>4.1737496408031295E-2</v>
      </c>
      <c r="F27" s="86">
        <v>2.7033333333333331</v>
      </c>
      <c r="G27" s="92">
        <f>+SUM($C$4:C27)</f>
        <v>406.77999999999963</v>
      </c>
    </row>
    <row r="28" spans="1:8" x14ac:dyDescent="0.3">
      <c r="A28" s="30" t="s">
        <v>82</v>
      </c>
      <c r="B28" s="2">
        <v>9966</v>
      </c>
      <c r="C28" s="3">
        <v>406.7800000000002</v>
      </c>
      <c r="D28" s="29">
        <v>3.9977176408173984E-2</v>
      </c>
      <c r="E28" s="29">
        <v>4.9229038629017764E-2</v>
      </c>
      <c r="F28" s="86">
        <v>2.2241621621621621</v>
      </c>
      <c r="G28" s="89"/>
      <c r="H28" s="37">
        <f>+GETPIVOTDATA("Sum of Return",$A$3)/GETPIVOTDATA("Sum of Amount Bet",$A$3)</f>
        <v>4.0816777041942622E-2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7D9B-46E9-4E57-8606-41EBD8161F05}">
  <dimension ref="A1:F9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7.77734375" bestFit="1" customWidth="1"/>
    <col min="3" max="3" width="13.21875" bestFit="1" customWidth="1"/>
    <col min="4" max="4" width="20.77734375" bestFit="1" customWidth="1"/>
    <col min="5" max="5" width="14.77734375" bestFit="1" customWidth="1"/>
    <col min="6" max="6" width="13.21875" bestFit="1" customWidth="1"/>
  </cols>
  <sheetData>
    <row r="1" spans="1:6" x14ac:dyDescent="0.3">
      <c r="A1" t="s">
        <v>92</v>
      </c>
    </row>
    <row r="3" spans="1:6" x14ac:dyDescent="0.3">
      <c r="A3" s="83" t="s">
        <v>96</v>
      </c>
      <c r="B3" t="s">
        <v>83</v>
      </c>
      <c r="C3" t="s">
        <v>97</v>
      </c>
      <c r="D3" t="s">
        <v>91</v>
      </c>
      <c r="E3" t="s">
        <v>89</v>
      </c>
      <c r="F3" t="s">
        <v>84</v>
      </c>
    </row>
    <row r="4" spans="1:6" x14ac:dyDescent="0.3">
      <c r="A4" s="66">
        <v>0.2</v>
      </c>
      <c r="B4" s="3">
        <v>1645</v>
      </c>
      <c r="C4" s="85">
        <v>56</v>
      </c>
      <c r="D4" s="29">
        <v>1.5084809104326332E-2</v>
      </c>
      <c r="E4" s="67">
        <v>3.885272649218361E-2</v>
      </c>
      <c r="F4" s="3">
        <v>234.3599999999999</v>
      </c>
    </row>
    <row r="5" spans="1:6" x14ac:dyDescent="0.3">
      <c r="A5" s="66">
        <v>0.5</v>
      </c>
      <c r="B5" s="3">
        <v>3363</v>
      </c>
      <c r="C5" s="85">
        <v>68</v>
      </c>
      <c r="D5" s="29">
        <v>4.336049380547545E-2</v>
      </c>
      <c r="E5" s="67">
        <v>4.0989439218783445E-2</v>
      </c>
      <c r="F5" s="3">
        <v>276.04999999999978</v>
      </c>
    </row>
    <row r="6" spans="1:6" x14ac:dyDescent="0.3">
      <c r="A6" s="66">
        <v>1</v>
      </c>
      <c r="B6" s="3">
        <v>3450</v>
      </c>
      <c r="C6" s="85">
        <v>43</v>
      </c>
      <c r="D6" s="29">
        <v>7.4636123837938675E-2</v>
      </c>
      <c r="E6" s="67">
        <v>3.9294859804373646E-2</v>
      </c>
      <c r="F6" s="3">
        <v>-371.52</v>
      </c>
    </row>
    <row r="7" spans="1:6" x14ac:dyDescent="0.3">
      <c r="A7" s="66">
        <v>1.5</v>
      </c>
      <c r="B7" s="3">
        <v>1146</v>
      </c>
      <c r="C7" s="85">
        <v>14</v>
      </c>
      <c r="D7" s="29">
        <v>0.10813702350241698</v>
      </c>
      <c r="E7" s="67">
        <v>4.0437623356547041E-2</v>
      </c>
      <c r="F7" s="3">
        <v>-72.37</v>
      </c>
    </row>
    <row r="8" spans="1:6" x14ac:dyDescent="0.3">
      <c r="A8" s="66">
        <v>2</v>
      </c>
      <c r="B8" s="3">
        <v>362</v>
      </c>
      <c r="C8" s="85">
        <v>4</v>
      </c>
      <c r="D8" s="29">
        <v>0.14770940092211998</v>
      </c>
      <c r="E8" s="67">
        <v>4.4234346623225784E-2</v>
      </c>
      <c r="F8" s="3">
        <v>340.26</v>
      </c>
    </row>
    <row r="9" spans="1:6" x14ac:dyDescent="0.3">
      <c r="A9" s="66" t="s">
        <v>82</v>
      </c>
      <c r="B9" s="3">
        <v>9966</v>
      </c>
      <c r="C9" s="85">
        <v>185</v>
      </c>
      <c r="D9" s="29">
        <v>4.9229038629017785E-2</v>
      </c>
      <c r="E9" s="67">
        <v>3.997717640817397E-2</v>
      </c>
      <c r="F9" s="3">
        <v>406.77999999999992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E26"/>
  <sheetViews>
    <sheetView tabSelected="1" zoomScaleNormal="100" workbookViewId="0">
      <selection activeCell="J18" sqref="J18"/>
    </sheetView>
  </sheetViews>
  <sheetFormatPr defaultRowHeight="14.4" x14ac:dyDescent="0.3"/>
  <cols>
    <col min="1" max="1" width="25.77734375" bestFit="1" customWidth="1"/>
    <col min="2" max="2" width="9" bestFit="1" customWidth="1"/>
    <col min="3" max="3" width="10.33203125" bestFit="1" customWidth="1"/>
    <col min="4" max="4" width="11.88671875" bestFit="1" customWidth="1"/>
    <col min="5" max="5" width="15.88671875" bestFit="1" customWidth="1"/>
  </cols>
  <sheetData>
    <row r="1" spans="1:5" x14ac:dyDescent="0.3">
      <c r="A1" t="s">
        <v>46</v>
      </c>
      <c r="B1" s="2">
        <f>+SUM(B5:B24)</f>
        <v>1450</v>
      </c>
    </row>
    <row r="3" spans="1:5" x14ac:dyDescent="0.3">
      <c r="A3" t="s">
        <v>0</v>
      </c>
      <c r="B3" t="s">
        <v>2</v>
      </c>
      <c r="C3" t="s">
        <v>3</v>
      </c>
      <c r="D3" t="s">
        <v>56</v>
      </c>
      <c r="E3" t="s">
        <v>4</v>
      </c>
    </row>
    <row r="4" spans="1:5" x14ac:dyDescent="0.3">
      <c r="A4" t="s">
        <v>1</v>
      </c>
      <c r="B4" s="1">
        <v>150</v>
      </c>
      <c r="C4" s="1">
        <v>2100</v>
      </c>
      <c r="D4" s="4">
        <f>+C4/B4</f>
        <v>14</v>
      </c>
      <c r="E4" t="s">
        <v>5</v>
      </c>
    </row>
    <row r="5" spans="1:5" x14ac:dyDescent="0.3">
      <c r="A5" s="15" t="s">
        <v>36</v>
      </c>
      <c r="B5" s="1">
        <v>25</v>
      </c>
      <c r="C5" s="1">
        <v>66.25</v>
      </c>
      <c r="D5" s="4">
        <f t="shared" ref="D5:D17" si="0">+C5/B5</f>
        <v>2.65</v>
      </c>
      <c r="E5" t="s">
        <v>49</v>
      </c>
    </row>
    <row r="6" spans="1:5" x14ac:dyDescent="0.3">
      <c r="A6" s="12" t="s">
        <v>37</v>
      </c>
      <c r="B6" s="1">
        <v>25</v>
      </c>
      <c r="C6" s="1">
        <v>81.25</v>
      </c>
      <c r="D6" s="4">
        <f t="shared" si="0"/>
        <v>3.25</v>
      </c>
      <c r="E6" t="s">
        <v>49</v>
      </c>
    </row>
    <row r="7" spans="1:5" x14ac:dyDescent="0.3">
      <c r="A7" s="15" t="s">
        <v>38</v>
      </c>
      <c r="B7" s="1">
        <v>25</v>
      </c>
      <c r="C7" s="1">
        <v>900</v>
      </c>
      <c r="D7" s="4">
        <f t="shared" si="0"/>
        <v>36</v>
      </c>
      <c r="E7" t="s">
        <v>49</v>
      </c>
    </row>
    <row r="8" spans="1:5" x14ac:dyDescent="0.3">
      <c r="A8" s="13" t="s">
        <v>39</v>
      </c>
      <c r="B8" s="1">
        <v>25</v>
      </c>
      <c r="C8" s="1">
        <v>118.75</v>
      </c>
      <c r="D8" s="4">
        <f t="shared" si="0"/>
        <v>4.75</v>
      </c>
      <c r="E8" t="s">
        <v>49</v>
      </c>
    </row>
    <row r="9" spans="1:5" x14ac:dyDescent="0.3">
      <c r="A9" s="13" t="s">
        <v>40</v>
      </c>
      <c r="B9" s="1">
        <v>50</v>
      </c>
      <c r="C9" s="1">
        <v>87.25</v>
      </c>
      <c r="D9" s="4">
        <f t="shared" si="0"/>
        <v>1.7450000000000001</v>
      </c>
      <c r="E9" t="s">
        <v>49</v>
      </c>
    </row>
    <row r="10" spans="1:5" x14ac:dyDescent="0.3">
      <c r="A10" s="12" t="s">
        <v>41</v>
      </c>
      <c r="B10" s="1">
        <v>100</v>
      </c>
      <c r="C10" s="1">
        <v>425</v>
      </c>
      <c r="D10" s="4">
        <f t="shared" si="0"/>
        <v>4.25</v>
      </c>
      <c r="E10" t="s">
        <v>49</v>
      </c>
    </row>
    <row r="11" spans="1:5" x14ac:dyDescent="0.3">
      <c r="A11" s="13" t="s">
        <v>42</v>
      </c>
      <c r="B11" s="1">
        <v>100</v>
      </c>
      <c r="C11" s="1">
        <v>300</v>
      </c>
      <c r="D11" s="4">
        <f t="shared" si="0"/>
        <v>3</v>
      </c>
      <c r="E11" t="s">
        <v>49</v>
      </c>
    </row>
    <row r="12" spans="1:5" x14ac:dyDescent="0.3">
      <c r="A12" s="14" t="s">
        <v>69</v>
      </c>
      <c r="B12" s="1">
        <v>50</v>
      </c>
      <c r="C12" s="1">
        <v>375</v>
      </c>
      <c r="D12" s="4">
        <f t="shared" si="0"/>
        <v>7.5</v>
      </c>
      <c r="E12" t="s">
        <v>49</v>
      </c>
    </row>
    <row r="13" spans="1:5" x14ac:dyDescent="0.3">
      <c r="A13" s="12" t="s">
        <v>43</v>
      </c>
      <c r="B13" s="1">
        <v>100</v>
      </c>
      <c r="C13" s="1">
        <v>900</v>
      </c>
      <c r="D13" s="4">
        <f t="shared" si="0"/>
        <v>9</v>
      </c>
      <c r="E13" t="s">
        <v>49</v>
      </c>
    </row>
    <row r="14" spans="1:5" x14ac:dyDescent="0.3">
      <c r="A14" s="13" t="s">
        <v>44</v>
      </c>
      <c r="B14" s="1">
        <v>100</v>
      </c>
      <c r="C14" s="1">
        <v>900</v>
      </c>
      <c r="D14" s="4">
        <f t="shared" si="0"/>
        <v>9</v>
      </c>
      <c r="E14" t="s">
        <v>49</v>
      </c>
    </row>
    <row r="15" spans="1:5" x14ac:dyDescent="0.3">
      <c r="A15" s="12" t="s">
        <v>45</v>
      </c>
      <c r="B15" s="1">
        <v>100</v>
      </c>
      <c r="C15" s="1">
        <v>375</v>
      </c>
      <c r="D15" s="4">
        <f t="shared" si="0"/>
        <v>3.75</v>
      </c>
      <c r="E15" t="s">
        <v>49</v>
      </c>
    </row>
    <row r="16" spans="1:5" x14ac:dyDescent="0.3">
      <c r="A16" s="13" t="s">
        <v>54</v>
      </c>
      <c r="B16" s="1">
        <v>25</v>
      </c>
      <c r="C16" s="1">
        <v>60</v>
      </c>
      <c r="D16" s="4">
        <f t="shared" si="0"/>
        <v>2.4</v>
      </c>
      <c r="E16" t="s">
        <v>49</v>
      </c>
    </row>
    <row r="17" spans="1:5" x14ac:dyDescent="0.3">
      <c r="A17" s="14" t="s">
        <v>55</v>
      </c>
      <c r="B17" s="1">
        <v>25</v>
      </c>
      <c r="C17" s="1">
        <v>525</v>
      </c>
      <c r="D17" s="4">
        <f t="shared" si="0"/>
        <v>21</v>
      </c>
      <c r="E17" t="s">
        <v>49</v>
      </c>
    </row>
    <row r="18" spans="1:5" x14ac:dyDescent="0.3">
      <c r="A18" s="12" t="s">
        <v>104</v>
      </c>
      <c r="B18" s="1">
        <v>100</v>
      </c>
      <c r="C18" s="1">
        <f>+B18*D18</f>
        <v>172</v>
      </c>
      <c r="D18">
        <v>1.72</v>
      </c>
      <c r="E18" t="s">
        <v>49</v>
      </c>
    </row>
    <row r="19" spans="1:5" x14ac:dyDescent="0.3">
      <c r="A19" s="13" t="s">
        <v>58</v>
      </c>
      <c r="B19" s="1">
        <v>150</v>
      </c>
      <c r="C19" s="1">
        <v>136.5</v>
      </c>
      <c r="D19">
        <f t="shared" ref="D19:D24" si="1">+C19/B19</f>
        <v>0.91</v>
      </c>
      <c r="E19" t="s">
        <v>49</v>
      </c>
    </row>
    <row r="20" spans="1:5" x14ac:dyDescent="0.3">
      <c r="A20" s="13" t="s">
        <v>59</v>
      </c>
      <c r="B20" s="1">
        <v>150</v>
      </c>
      <c r="C20" s="1">
        <v>150</v>
      </c>
      <c r="D20">
        <f t="shared" si="1"/>
        <v>1</v>
      </c>
      <c r="E20" t="s">
        <v>49</v>
      </c>
    </row>
    <row r="21" spans="1:5" x14ac:dyDescent="0.3">
      <c r="A21" s="13" t="s">
        <v>60</v>
      </c>
      <c r="B21" s="1">
        <v>100</v>
      </c>
      <c r="C21" s="1">
        <v>91</v>
      </c>
      <c r="D21">
        <f t="shared" si="1"/>
        <v>0.91</v>
      </c>
      <c r="E21" t="s">
        <v>49</v>
      </c>
    </row>
    <row r="22" spans="1:5" x14ac:dyDescent="0.3">
      <c r="A22" s="13" t="s">
        <v>61</v>
      </c>
      <c r="B22" s="1">
        <v>100</v>
      </c>
      <c r="C22" s="1">
        <v>91</v>
      </c>
      <c r="D22">
        <f t="shared" si="1"/>
        <v>0.91</v>
      </c>
      <c r="E22" t="s">
        <v>49</v>
      </c>
    </row>
    <row r="23" spans="1:5" x14ac:dyDescent="0.3">
      <c r="A23" s="14" t="s">
        <v>62</v>
      </c>
      <c r="B23" s="1">
        <v>50</v>
      </c>
      <c r="C23" s="1">
        <v>102.5</v>
      </c>
      <c r="D23">
        <f t="shared" si="1"/>
        <v>2.0499999999999998</v>
      </c>
      <c r="E23" t="s">
        <v>49</v>
      </c>
    </row>
    <row r="24" spans="1:5" x14ac:dyDescent="0.3">
      <c r="A24" s="14" t="s">
        <v>63</v>
      </c>
      <c r="B24" s="1">
        <v>50</v>
      </c>
      <c r="C24" s="1">
        <v>45.5</v>
      </c>
      <c r="D24">
        <f t="shared" si="1"/>
        <v>0.91</v>
      </c>
      <c r="E24" t="s">
        <v>49</v>
      </c>
    </row>
    <row r="25" spans="1:5" x14ac:dyDescent="0.3">
      <c r="A25" t="s">
        <v>103</v>
      </c>
      <c r="B25" s="2">
        <f>1450-B26</f>
        <v>650</v>
      </c>
      <c r="C25" s="2"/>
    </row>
    <row r="26" spans="1:5" x14ac:dyDescent="0.3">
      <c r="A26" t="s">
        <v>70</v>
      </c>
      <c r="B26" s="2">
        <f>B8+B9+B11+B14+B16+B19+B20+B21+B22</f>
        <v>800</v>
      </c>
      <c r="C26" s="2">
        <f>+C8+C9+C11+C14+C16+C19+C20+C21+C22</f>
        <v>1934.5</v>
      </c>
      <c r="D26" s="5">
        <f>+C26/B1-1</f>
        <v>0.33413793103448275</v>
      </c>
    </row>
  </sheetData>
  <pageMargins left="0.7" right="0.7" top="0.75" bottom="0.75" header="0.3" footer="0.3"/>
  <pageSetup orientation="portrait" r:id="rId1"/>
  <ignoredErrors>
    <ignoredError sqref="B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accts</vt:lpstr>
      <vt:lpstr>baseball bets</vt:lpstr>
      <vt:lpstr>stats</vt:lpstr>
      <vt:lpstr>wins by bucket</vt:lpstr>
      <vt:lpstr>open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2022-05-02T10:41:43Z</dcterms:modified>
</cp:coreProperties>
</file>