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239289\People\239289\Business data processing\"/>
    </mc:Choice>
  </mc:AlternateContent>
  <xr:revisionPtr revIDLastSave="0" documentId="13_ncr:1_{B1D06A10-8001-4126-A1F4-CC28FFA9DC21}" xr6:coauthVersionLast="47" xr6:coauthVersionMax="47" xr10:uidLastSave="{00000000-0000-0000-0000-000000000000}"/>
  <bookViews>
    <workbookView xWindow="-120" yWindow="-120" windowWidth="29040" windowHeight="15840" tabRatio="623" activeTab="2" xr2:uid="{00000000-000D-0000-FFFF-FFFF00000000}"/>
  </bookViews>
  <sheets>
    <sheet name="Dictionary" sheetId="1" r:id="rId1"/>
    <sheet name="Operations" sheetId="2" r:id="rId2"/>
    <sheet name="January" sheetId="3" r:id="rId3"/>
    <sheet name="Febuary" sheetId="4" r:id="rId4"/>
    <sheet name="March" sheetId="6" r:id="rId5"/>
    <sheet name="April" sheetId="7" r:id="rId6"/>
    <sheet name="May" sheetId="8" r:id="rId7"/>
    <sheet name="June" sheetId="9" r:id="rId8"/>
    <sheet name="July" sheetId="10" r:id="rId9"/>
    <sheet name="August" sheetId="11" r:id="rId10"/>
    <sheet name="September" sheetId="12" r:id="rId11"/>
    <sheet name="October" sheetId="13" r:id="rId12"/>
    <sheet name="November" sheetId="14" r:id="rId13"/>
    <sheet name="December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5" l="1"/>
  <c r="D3" i="15"/>
  <c r="D4" i="15"/>
  <c r="D5" i="15"/>
  <c r="D6" i="15"/>
  <c r="D7" i="15"/>
  <c r="D8" i="15"/>
  <c r="D2" i="14"/>
  <c r="D3" i="14"/>
  <c r="D4" i="14"/>
  <c r="D5" i="14"/>
  <c r="D6" i="14"/>
  <c r="D7" i="14"/>
  <c r="D8" i="14"/>
  <c r="D2" i="13"/>
  <c r="D3" i="13"/>
  <c r="D4" i="13"/>
  <c r="D5" i="13"/>
  <c r="D6" i="13"/>
  <c r="D7" i="13"/>
  <c r="D8" i="13"/>
  <c r="D2" i="12"/>
  <c r="D3" i="12"/>
  <c r="D4" i="12"/>
  <c r="D5" i="12"/>
  <c r="D6" i="12"/>
  <c r="D7" i="12"/>
  <c r="D8" i="12"/>
  <c r="D2" i="11"/>
  <c r="D3" i="11"/>
  <c r="D4" i="11"/>
  <c r="D5" i="11"/>
  <c r="D6" i="11"/>
  <c r="D7" i="11"/>
  <c r="D8" i="11"/>
  <c r="D2" i="10"/>
  <c r="D3" i="10"/>
  <c r="D4" i="10"/>
  <c r="D5" i="10"/>
  <c r="D6" i="10"/>
  <c r="D7" i="10"/>
  <c r="D8" i="10"/>
  <c r="D2" i="9"/>
  <c r="D3" i="9"/>
  <c r="D4" i="9"/>
  <c r="D5" i="9"/>
  <c r="D6" i="9"/>
  <c r="D7" i="9"/>
  <c r="D8" i="9"/>
  <c r="D2" i="8"/>
  <c r="D3" i="8"/>
  <c r="D4" i="8"/>
  <c r="D5" i="8"/>
  <c r="D6" i="8"/>
  <c r="D7" i="8"/>
  <c r="D8" i="8"/>
  <c r="D2" i="7"/>
  <c r="D3" i="7"/>
  <c r="D4" i="7"/>
  <c r="D5" i="7"/>
  <c r="D6" i="7"/>
  <c r="D7" i="7"/>
  <c r="D8" i="7"/>
  <c r="D2" i="6"/>
  <c r="D3" i="6"/>
  <c r="D4" i="6"/>
  <c r="D5" i="6"/>
  <c r="D6" i="6"/>
  <c r="D7" i="6"/>
  <c r="D8" i="6"/>
  <c r="D2" i="4"/>
  <c r="D3" i="4"/>
  <c r="D4" i="4"/>
  <c r="D5" i="4"/>
  <c r="D6" i="4"/>
  <c r="D7" i="4"/>
  <c r="D8" i="4"/>
  <c r="D3" i="3"/>
  <c r="D4" i="3"/>
  <c r="D5" i="3"/>
  <c r="D6" i="3"/>
  <c r="D7" i="3"/>
  <c r="D8" i="3"/>
  <c r="D2" i="3"/>
  <c r="J2" i="2" a="1"/>
  <c r="J2" i="2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A14" i="15" a="1"/>
  <c r="A14" i="15" s="1"/>
  <c r="A14" i="14" a="1"/>
  <c r="A14" i="13" a="1"/>
  <c r="A14" i="12" a="1"/>
  <c r="A14" i="11" a="1"/>
  <c r="A14" i="11" s="1"/>
  <c r="A14" i="10" a="1"/>
  <c r="A14" i="9" a="1"/>
  <c r="A14" i="9" s="1"/>
  <c r="A14" i="8" a="1"/>
  <c r="A14" i="8" s="1"/>
  <c r="A14" i="7" a="1"/>
  <c r="A14" i="7" s="1"/>
  <c r="A14" i="6"/>
  <c r="A14" i="6" a="1"/>
  <c r="A14" i="4" a="1"/>
  <c r="A14" i="3" a="1"/>
  <c r="A14" i="3" s="1"/>
  <c r="C9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H11" i="6" l="1"/>
  <c r="H16" i="12"/>
  <c r="H10" i="10"/>
  <c r="H19" i="3"/>
  <c r="H19" i="4"/>
  <c r="H11" i="3"/>
  <c r="H11" i="15"/>
  <c r="H4" i="3"/>
  <c r="H18" i="3"/>
  <c r="H11" i="4"/>
  <c r="H10" i="6"/>
  <c r="H16" i="6"/>
  <c r="H19" i="7"/>
  <c r="H4" i="9"/>
  <c r="H19" i="6"/>
  <c r="H10" i="8"/>
  <c r="H10" i="9"/>
  <c r="H14" i="7"/>
  <c r="H10" i="3"/>
  <c r="H16" i="4"/>
  <c r="H11" i="7"/>
  <c r="H11" i="8"/>
  <c r="H9" i="6"/>
  <c r="H12" i="3"/>
  <c r="H4" i="11"/>
  <c r="H16" i="11"/>
  <c r="H16" i="3"/>
  <c r="H10" i="4"/>
  <c r="H18" i="4"/>
  <c r="H10" i="7"/>
  <c r="H16" i="7"/>
  <c r="H11" i="11"/>
  <c r="H6" i="4"/>
  <c r="H5" i="10"/>
  <c r="H6" i="14"/>
  <c r="H14" i="11"/>
  <c r="H12" i="11"/>
  <c r="H14" i="9"/>
  <c r="H5" i="3"/>
  <c r="H6" i="13"/>
  <c r="H14" i="3"/>
  <c r="H4" i="4"/>
  <c r="H14" i="4"/>
  <c r="H4" i="6"/>
  <c r="H4" i="7"/>
  <c r="H4" i="8"/>
  <c r="H16" i="8"/>
  <c r="H11" i="9"/>
  <c r="H16" i="9"/>
  <c r="H14" i="10"/>
  <c r="H18" i="11"/>
  <c r="H18" i="13"/>
  <c r="H14" i="6"/>
  <c r="H19" i="8"/>
  <c r="H4" i="10"/>
  <c r="H18" i="10"/>
  <c r="H10" i="14"/>
  <c r="H6" i="3"/>
  <c r="H5" i="4"/>
  <c r="H12" i="4"/>
  <c r="H6" i="6"/>
  <c r="H12" i="6"/>
  <c r="H5" i="7"/>
  <c r="H12" i="7"/>
  <c r="H5" i="8"/>
  <c r="H12" i="9"/>
  <c r="H5" i="11"/>
  <c r="H11" i="12"/>
  <c r="H18" i="12"/>
  <c r="H10" i="13"/>
  <c r="H19" i="13"/>
  <c r="H14" i="14"/>
  <c r="H18" i="6"/>
  <c r="H6" i="7"/>
  <c r="H18" i="7"/>
  <c r="H6" i="8"/>
  <c r="H14" i="8"/>
  <c r="H5" i="9"/>
  <c r="H19" i="9"/>
  <c r="H11" i="10"/>
  <c r="H16" i="10"/>
  <c r="H6" i="11"/>
  <c r="H4" i="12"/>
  <c r="H12" i="12"/>
  <c r="H19" i="12"/>
  <c r="H12" i="13"/>
  <c r="H12" i="10"/>
  <c r="H5" i="12"/>
  <c r="H5" i="13"/>
  <c r="H5" i="6"/>
  <c r="H6" i="12"/>
  <c r="H3" i="9"/>
  <c r="H8" i="13"/>
  <c r="H9" i="12"/>
  <c r="H3" i="10"/>
  <c r="H7" i="15"/>
  <c r="H3" i="4"/>
  <c r="H17" i="14"/>
  <c r="H13" i="6"/>
  <c r="H7" i="4"/>
  <c r="H15" i="3"/>
  <c r="H20" i="11"/>
  <c r="H15" i="15"/>
  <c r="H3" i="15"/>
  <c r="H13" i="14"/>
  <c r="H14" i="13"/>
  <c r="H4" i="14"/>
  <c r="H11" i="14"/>
  <c r="H18" i="14"/>
  <c r="H12" i="8"/>
  <c r="H18" i="8"/>
  <c r="H6" i="9"/>
  <c r="H18" i="9"/>
  <c r="H6" i="10"/>
  <c r="H19" i="10"/>
  <c r="H10" i="11"/>
  <c r="H19" i="11"/>
  <c r="H10" i="12"/>
  <c r="H14" i="12"/>
  <c r="H4" i="13"/>
  <c r="H11" i="13"/>
  <c r="H16" i="13"/>
  <c r="H5" i="14"/>
  <c r="H12" i="14"/>
  <c r="H5" i="15"/>
  <c r="B14" i="9"/>
  <c r="H10" i="15"/>
  <c r="B14" i="12"/>
  <c r="H16" i="14"/>
  <c r="E2" i="3"/>
  <c r="C2" i="4" s="1"/>
  <c r="E7" i="3"/>
  <c r="C7" i="4" s="1"/>
  <c r="H7" i="3"/>
  <c r="H3" i="3"/>
  <c r="H9" i="4"/>
  <c r="H13" i="4"/>
  <c r="H15" i="4"/>
  <c r="H8" i="6"/>
  <c r="H17" i="6"/>
  <c r="H3" i="7"/>
  <c r="H7" i="7"/>
  <c r="H15" i="7"/>
  <c r="H8" i="8"/>
  <c r="H20" i="9"/>
  <c r="H9" i="10"/>
  <c r="H13" i="10"/>
  <c r="H15" i="10"/>
  <c r="H8" i="11"/>
  <c r="H17" i="11"/>
  <c r="H3" i="12"/>
  <c r="H7" i="12"/>
  <c r="H20" i="12"/>
  <c r="H9" i="13"/>
  <c r="H13" i="13"/>
  <c r="H15" i="13"/>
  <c r="H8" i="14"/>
  <c r="H20" i="7"/>
  <c r="H9" i="8"/>
  <c r="H13" i="8"/>
  <c r="H15" i="8"/>
  <c r="H8" i="9"/>
  <c r="H17" i="9"/>
  <c r="H7" i="10"/>
  <c r="H20" i="10"/>
  <c r="H9" i="11"/>
  <c r="H13" i="11"/>
  <c r="H17" i="12"/>
  <c r="H3" i="13"/>
  <c r="H7" i="13"/>
  <c r="H20" i="13"/>
  <c r="H9" i="14"/>
  <c r="H15" i="14"/>
  <c r="H19" i="14"/>
  <c r="H4" i="15"/>
  <c r="H6" i="15"/>
  <c r="H8" i="15"/>
  <c r="H12" i="15"/>
  <c r="E6" i="3"/>
  <c r="C6" i="4" s="1"/>
  <c r="H17" i="3"/>
  <c r="H20" i="4"/>
  <c r="E5" i="3"/>
  <c r="C5" i="4" s="1"/>
  <c r="E5" i="4" s="1"/>
  <c r="H20" i="3"/>
  <c r="H13" i="3"/>
  <c r="H9" i="3"/>
  <c r="H17" i="4"/>
  <c r="H3" i="6"/>
  <c r="H7" i="6"/>
  <c r="H15" i="6"/>
  <c r="H8" i="7"/>
  <c r="H17" i="7"/>
  <c r="H3" i="8"/>
  <c r="H7" i="8"/>
  <c r="H20" i="8"/>
  <c r="H9" i="9"/>
  <c r="H13" i="9"/>
  <c r="H17" i="10"/>
  <c r="H3" i="11"/>
  <c r="H7" i="11"/>
  <c r="H15" i="11"/>
  <c r="H8" i="12"/>
  <c r="H17" i="13"/>
  <c r="H3" i="14"/>
  <c r="H7" i="14"/>
  <c r="H20" i="14"/>
  <c r="H9" i="15"/>
  <c r="H13" i="15"/>
  <c r="H14" i="15"/>
  <c r="E8" i="3"/>
  <c r="C8" i="4" s="1"/>
  <c r="E4" i="3"/>
  <c r="C4" i="4" s="1"/>
  <c r="H8" i="3"/>
  <c r="H8" i="4"/>
  <c r="H20" i="6"/>
  <c r="H9" i="7"/>
  <c r="H13" i="7"/>
  <c r="H17" i="8"/>
  <c r="H7" i="9"/>
  <c r="H15" i="9"/>
  <c r="H8" i="10"/>
  <c r="H13" i="12"/>
  <c r="H15" i="12"/>
  <c r="E3" i="3"/>
  <c r="C3" i="4" s="1"/>
  <c r="B16" i="3"/>
  <c r="B15" i="6"/>
  <c r="B15" i="7"/>
  <c r="B16" i="8"/>
  <c r="H2" i="9"/>
  <c r="B15" i="11"/>
  <c r="B15" i="14"/>
  <c r="B16" i="15"/>
  <c r="H18" i="15"/>
  <c r="B15" i="3"/>
  <c r="B15" i="4"/>
  <c r="B16" i="4"/>
  <c r="H2" i="6"/>
  <c r="B16" i="6"/>
  <c r="B16" i="7"/>
  <c r="H2" i="8"/>
  <c r="B14" i="8"/>
  <c r="B15" i="10"/>
  <c r="B16" i="11"/>
  <c r="H2" i="12"/>
  <c r="B15" i="13"/>
  <c r="A14" i="14"/>
  <c r="B16" i="14"/>
  <c r="H2" i="15"/>
  <c r="B14" i="15"/>
  <c r="H19" i="15"/>
  <c r="H2" i="3"/>
  <c r="B14" i="4"/>
  <c r="B14" i="6"/>
  <c r="H2" i="7"/>
  <c r="B14" i="7"/>
  <c r="B15" i="9"/>
  <c r="A14" i="10"/>
  <c r="B16" i="10"/>
  <c r="H2" i="11"/>
  <c r="B14" i="11"/>
  <c r="A14" i="13"/>
  <c r="B16" i="13"/>
  <c r="H2" i="14"/>
  <c r="B14" i="14"/>
  <c r="H16" i="15"/>
  <c r="H20" i="15"/>
  <c r="B14" i="3"/>
  <c r="H2" i="4"/>
  <c r="B15" i="8"/>
  <c r="B16" i="9"/>
  <c r="H2" i="10"/>
  <c r="B14" i="10"/>
  <c r="B15" i="12"/>
  <c r="B16" i="12"/>
  <c r="H2" i="13"/>
  <c r="B14" i="13"/>
  <c r="B15" i="15"/>
  <c r="H17" i="15"/>
  <c r="A14" i="12"/>
  <c r="A14" i="4"/>
  <c r="D9" i="4" l="1"/>
  <c r="E7" i="4"/>
  <c r="C7" i="8" s="1"/>
  <c r="D9" i="3"/>
  <c r="D9" i="13"/>
  <c r="H21" i="11"/>
  <c r="E3" i="4"/>
  <c r="C3" i="8" s="1"/>
  <c r="E6" i="4"/>
  <c r="C6" i="6" s="1"/>
  <c r="E6" i="6" s="1"/>
  <c r="C6" i="7" s="1"/>
  <c r="E6" i="7" s="1"/>
  <c r="H21" i="7"/>
  <c r="H21" i="15"/>
  <c r="E9" i="3"/>
  <c r="H21" i="13"/>
  <c r="H21" i="14"/>
  <c r="H21" i="8"/>
  <c r="D9" i="14"/>
  <c r="H21" i="12"/>
  <c r="D9" i="11"/>
  <c r="H21" i="10"/>
  <c r="D9" i="10"/>
  <c r="H21" i="9"/>
  <c r="D9" i="9"/>
  <c r="H21" i="6"/>
  <c r="H21" i="4"/>
  <c r="C9" i="4"/>
  <c r="H21" i="3"/>
  <c r="E2" i="4"/>
  <c r="E4" i="4"/>
  <c r="C4" i="6" s="1"/>
  <c r="E4" i="6" s="1"/>
  <c r="C4" i="7" s="1"/>
  <c r="E4" i="7" s="1"/>
  <c r="E8" i="4"/>
  <c r="C8" i="8" s="1"/>
  <c r="E8" i="8" s="1"/>
  <c r="C8" i="9" s="1"/>
  <c r="E8" i="9" s="1"/>
  <c r="C8" i="10" s="1"/>
  <c r="E8" i="10" s="1"/>
  <c r="C8" i="11" s="1"/>
  <c r="E8" i="11" s="1"/>
  <c r="C8" i="12" s="1"/>
  <c r="E8" i="12" s="1"/>
  <c r="C8" i="13" s="1"/>
  <c r="E8" i="13" s="1"/>
  <c r="C8" i="14" s="1"/>
  <c r="E8" i="14" s="1"/>
  <c r="C8" i="15" s="1"/>
  <c r="E8" i="15" s="1"/>
  <c r="D9" i="12"/>
  <c r="D9" i="6"/>
  <c r="D9" i="7"/>
  <c r="D9" i="15"/>
  <c r="D9" i="8"/>
  <c r="C2" i="6"/>
  <c r="E2" i="6" s="1"/>
  <c r="C4" i="8"/>
  <c r="C5" i="6"/>
  <c r="C5" i="8"/>
  <c r="E5" i="8" s="1"/>
  <c r="C5" i="9" s="1"/>
  <c r="E5" i="9" s="1"/>
  <c r="C5" i="10" s="1"/>
  <c r="E5" i="10" s="1"/>
  <c r="C5" i="11" s="1"/>
  <c r="E5" i="11" s="1"/>
  <c r="C5" i="12" s="1"/>
  <c r="E5" i="12" s="1"/>
  <c r="C5" i="13" s="1"/>
  <c r="E5" i="13" s="1"/>
  <c r="C5" i="14" s="1"/>
  <c r="E5" i="14" s="1"/>
  <c r="C7" i="6" l="1"/>
  <c r="E7" i="6" s="1"/>
  <c r="C7" i="7" s="1"/>
  <c r="E7" i="7" s="1"/>
  <c r="C3" i="6"/>
  <c r="E3" i="6" s="1"/>
  <c r="C3" i="7" s="1"/>
  <c r="E3" i="7" s="1"/>
  <c r="C6" i="8"/>
  <c r="E6" i="8" s="1"/>
  <c r="C6" i="9" s="1"/>
  <c r="E6" i="9" s="1"/>
  <c r="C6" i="10" s="1"/>
  <c r="E6" i="10" s="1"/>
  <c r="C6" i="11" s="1"/>
  <c r="E6" i="11" s="1"/>
  <c r="C6" i="12" s="1"/>
  <c r="E6" i="12" s="1"/>
  <c r="C6" i="13" s="1"/>
  <c r="E6" i="13" s="1"/>
  <c r="C6" i="14" s="1"/>
  <c r="E6" i="14" s="1"/>
  <c r="C6" i="15" s="1"/>
  <c r="E6" i="15" s="1"/>
  <c r="E9" i="4"/>
  <c r="C8" i="6"/>
  <c r="E8" i="6" s="1"/>
  <c r="C8" i="7" s="1"/>
  <c r="E8" i="7" s="1"/>
  <c r="E7" i="8"/>
  <c r="C7" i="9" s="1"/>
  <c r="E7" i="9" s="1"/>
  <c r="C7" i="10" s="1"/>
  <c r="E7" i="10" s="1"/>
  <c r="C7" i="11" s="1"/>
  <c r="E7" i="11" s="1"/>
  <c r="C7" i="12" s="1"/>
  <c r="E7" i="12" s="1"/>
  <c r="C7" i="13" s="1"/>
  <c r="E7" i="13" s="1"/>
  <c r="C7" i="14" s="1"/>
  <c r="E7" i="14" s="1"/>
  <c r="C7" i="15" s="1"/>
  <c r="E7" i="15" s="1"/>
  <c r="E3" i="8"/>
  <c r="C3" i="9" s="1"/>
  <c r="E3" i="9" s="1"/>
  <c r="C3" i="10" s="1"/>
  <c r="E3" i="10" s="1"/>
  <c r="C3" i="11" s="1"/>
  <c r="E3" i="11" s="1"/>
  <c r="C3" i="12" s="1"/>
  <c r="E3" i="12" s="1"/>
  <c r="C3" i="13" s="1"/>
  <c r="E3" i="13" s="1"/>
  <c r="C3" i="14" s="1"/>
  <c r="E3" i="14" s="1"/>
  <c r="C3" i="15" s="1"/>
  <c r="E3" i="15" s="1"/>
  <c r="E4" i="8"/>
  <c r="C4" i="9" s="1"/>
  <c r="E4" i="9" s="1"/>
  <c r="C4" i="10" s="1"/>
  <c r="E4" i="10" s="1"/>
  <c r="C4" i="11" s="1"/>
  <c r="E4" i="11" s="1"/>
  <c r="C4" i="12" s="1"/>
  <c r="E4" i="12" s="1"/>
  <c r="C4" i="13" s="1"/>
  <c r="E4" i="13" s="1"/>
  <c r="C4" i="14" s="1"/>
  <c r="E4" i="14" s="1"/>
  <c r="C4" i="15" s="1"/>
  <c r="E4" i="15" s="1"/>
  <c r="C2" i="7"/>
  <c r="E5" i="6"/>
  <c r="C5" i="7" s="1"/>
  <c r="E5" i="7" s="1"/>
  <c r="C5" i="15"/>
  <c r="C9" i="6" l="1"/>
  <c r="E2" i="7"/>
  <c r="C9" i="7"/>
  <c r="E9" i="6"/>
  <c r="E5" i="15"/>
  <c r="C2" i="8" l="1"/>
  <c r="E9" i="7"/>
  <c r="E2" i="8" l="1"/>
  <c r="C9" i="8"/>
  <c r="C2" i="9" l="1"/>
  <c r="E9" i="8"/>
  <c r="E2" i="9" l="1"/>
  <c r="C9" i="9"/>
  <c r="C2" i="10" l="1"/>
  <c r="E9" i="9"/>
  <c r="C9" i="10" l="1"/>
  <c r="E2" i="10"/>
  <c r="C2" i="11" l="1"/>
  <c r="E9" i="10"/>
  <c r="E2" i="11" l="1"/>
  <c r="C9" i="11"/>
  <c r="C2" i="12" l="1"/>
  <c r="E9" i="11"/>
  <c r="E2" i="12" l="1"/>
  <c r="C9" i="12"/>
  <c r="C2" i="13" l="1"/>
  <c r="E9" i="12"/>
  <c r="E2" i="13" l="1"/>
  <c r="C9" i="13"/>
  <c r="C2" i="14" l="1"/>
  <c r="E9" i="13"/>
  <c r="E2" i="14" l="1"/>
  <c r="C9" i="14"/>
  <c r="C2" i="15" l="1"/>
  <c r="E9" i="14"/>
  <c r="E2" i="15" l="1"/>
  <c r="E9" i="15" s="1"/>
  <c r="C9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<sst xmlns="http://schemas.openxmlformats.org/spreadsheetml/2006/main" count="1211" uniqueCount="47">
  <si>
    <t>Category</t>
  </si>
  <si>
    <t>Type</t>
  </si>
  <si>
    <t>Food</t>
  </si>
  <si>
    <t>Entertainment</t>
  </si>
  <si>
    <t>Accomocation</t>
  </si>
  <si>
    <t>Clothes</t>
  </si>
  <si>
    <t>Transport</t>
  </si>
  <si>
    <t>Health&amp;Beauty</t>
  </si>
  <si>
    <t>Subscriptions</t>
  </si>
  <si>
    <t>Education</t>
  </si>
  <si>
    <t>Pets</t>
  </si>
  <si>
    <t>Donations</t>
  </si>
  <si>
    <t>Other expenses</t>
  </si>
  <si>
    <t>Expenses</t>
  </si>
  <si>
    <t>Salary</t>
  </si>
  <si>
    <t>Allowence</t>
  </si>
  <si>
    <t>Investment</t>
  </si>
  <si>
    <t>Gambling</t>
  </si>
  <si>
    <t>Gifts</t>
  </si>
  <si>
    <t>Other income</t>
  </si>
  <si>
    <t>Benefits</t>
  </si>
  <si>
    <t>Income</t>
  </si>
  <si>
    <t>PKO BP</t>
  </si>
  <si>
    <t>PEKAO S.A</t>
  </si>
  <si>
    <t>Account</t>
  </si>
  <si>
    <t>Credit card</t>
  </si>
  <si>
    <t>Fixed-term deposit</t>
  </si>
  <si>
    <t>Piggy bank</t>
  </si>
  <si>
    <t>Cash</t>
  </si>
  <si>
    <t>Wallet</t>
  </si>
  <si>
    <t>Gift cards</t>
  </si>
  <si>
    <t>Coupons</t>
  </si>
  <si>
    <t>Amount</t>
  </si>
  <si>
    <t>Bank</t>
  </si>
  <si>
    <t>Product</t>
  </si>
  <si>
    <t>Date</t>
  </si>
  <si>
    <t>Month</t>
  </si>
  <si>
    <t>Year</t>
  </si>
  <si>
    <t>Subsidy</t>
  </si>
  <si>
    <t>Opening balance</t>
  </si>
  <si>
    <t>Operations</t>
  </si>
  <si>
    <t>Closing Balance</t>
  </si>
  <si>
    <t>Total</t>
  </si>
  <si>
    <t>Transfer</t>
  </si>
  <si>
    <t>Transaction</t>
  </si>
  <si>
    <t>Sum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</si>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</sst>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3" xfId="0" applyFill="1" applyBorder="1"/>
    <xf numFmtId="0" fontId="0" fillId="5" borderId="7" xfId="0" applyFill="1" applyBorder="1"/>
    <xf numFmtId="0" fontId="0" fillId="6" borderId="3" xfId="0" applyFill="1" applyBorder="1"/>
    <xf numFmtId="0" fontId="0" fillId="6" borderId="7" xfId="0" applyFill="1" applyBorder="1"/>
    <xf numFmtId="0" fontId="0" fillId="5" borderId="5" xfId="0" applyFill="1" applyBorder="1"/>
    <xf numFmtId="0" fontId="0" fillId="5" borderId="8" xfId="0" applyFill="1" applyBorder="1"/>
    <xf numFmtId="0" fontId="2" fillId="0" borderId="0" xfId="0" applyFont="1"/>
    <xf numFmtId="14" fontId="2" fillId="0" borderId="0" xfId="0" applyNumberFormat="1" applyFont="1"/>
    <xf numFmtId="8" fontId="0" fillId="0" borderId="0" xfId="0" applyNumberFormat="1"/>
    <xf numFmtId="8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161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ont>
        <color rgb="FF600000"/>
      </font>
      <fill>
        <patternFill>
          <bgColor rgb="FFF97373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1C2C12"/>
      <color rgb="FF93FFA0"/>
      <color rgb="FF600000"/>
      <color rgb="FF960000"/>
      <color rgb="FFF9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0</xdr:row>
      <xdr:rowOff>0</xdr:rowOff>
    </xdr:from>
    <xdr:to>
      <xdr:col>22</xdr:col>
      <xdr:colOff>542925</xdr:colOff>
      <xdr:row>39</xdr:row>
      <xdr:rowOff>171450</xdr:rowOff>
    </xdr:to>
    <xdr:pic>
      <xdr:nvPicPr>
        <xdr:cNvPr id="2" name="Picture 1" descr="Gorilla Lamp. Wildlife Animal 3D Illusion, Monkey LED Bedroom Night Light,  16 Colors Changing Dim – ApesBox">
          <a:extLst>
            <a:ext uri="{FF2B5EF4-FFF2-40B4-BE49-F238E27FC236}">
              <a16:creationId xmlns:a16="http://schemas.microsoft.com/office/drawing/2014/main" id="{3CD134B0-3856-D20B-CE2F-4A2F7EF70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0"/>
          <a:ext cx="7620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00E7CE-9C64-4A34-BE85-8C8E745F85A4}" name="Dictionary" displayName="Dictionary" ref="A1:B21" totalsRowShown="0" headerRowDxfId="160" headerRowBorderDxfId="159" tableBorderDxfId="158" totalsRowBorderDxfId="157">
  <autoFilter ref="A1:B21" xr:uid="{0900E7CE-9C64-4A34-BE85-8C8E745F85A4}"/>
  <tableColumns count="2">
    <tableColumn id="1" xr3:uid="{0B00D1D4-E297-445A-A772-4D9ED0FA8B2C}" name="Category" dataDxfId="156"/>
    <tableColumn id="2" xr3:uid="{C10D891E-977F-4FF5-98B1-BCF1CFF6E865}" name="Type" dataDxfId="15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57DFC2-F8F9-4662-8093-3BDC1549A246}" name="Table7" displayName="Table7" ref="G1:H8" totalsRowShown="0" tableBorderDxfId="154">
  <autoFilter ref="G1:H8" xr:uid="{7757DFC2-F8F9-4662-8093-3BDC1549A246}"/>
  <tableColumns count="2">
    <tableColumn id="1" xr3:uid="{83144F1D-4C94-4122-A3D1-33104C66990C}" name="Bank" dataDxfId="153"/>
    <tableColumn id="2" xr3:uid="{30F3240E-AB65-4819-A640-F02F52D4F0AC}" name="Product" dataDxfId="15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F7D1-FCFC-4188-9AB0-E51C709317B1}" name="Operations" displayName="Operations" ref="A1:H207" totalsRowShown="0">
  <autoFilter ref="A1:H207" xr:uid="{F2DEF7D1-FCFC-4188-9AB0-E51C709317B1}"/>
  <tableColumns count="8">
    <tableColumn id="1" xr3:uid="{F47E6BD7-461D-41D4-B88B-27F4E41FA9A7}" name="Amount" dataDxfId="151"/>
    <tableColumn id="2" xr3:uid="{9EA0305B-7A25-4747-88F6-287D60D311D4}" name="Bank"/>
    <tableColumn id="3" xr3:uid="{FF7A1956-B45C-49E5-8DEE-5A1FCDEDA625}" name="Product"/>
    <tableColumn id="4" xr3:uid="{05568A61-671D-4DA9-A9FB-1FE1754893BB}" name="Category"/>
    <tableColumn id="5" xr3:uid="{ABBA6CCE-BE3D-45F7-9E4F-9E23B6A5F055}" name="Type" dataDxfId="150">
      <calculatedColumnFormula>_xlfn.XLOOKUP(D2,Dictionary[Category], Dictionary[Type],"",0,1)</calculatedColumnFormula>
    </tableColumn>
    <tableColumn id="6" xr3:uid="{E489C212-9F77-4E5E-9698-05C41D91969A}" name="Date"/>
    <tableColumn id="7" xr3:uid="{B84B09F3-AC9A-411C-8306-A9D0F262E566}" name="Month" dataDxfId="149">
      <calculatedColumnFormula>IF(ISBLANK(Operations[[#This Row],[Date]]), "",MONTH(F2))</calculatedColumnFormula>
    </tableColumn>
    <tableColumn id="8" xr3:uid="{8FF2F38C-1EB5-402A-8678-5959082D871A}" name="Year" dataDxfId="148">
      <calculatedColumnFormula>IF(ISBLANK(Operations[[#This Row],[Date]]), "",YEAR(F2))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98BB71-98F0-4474-AD2F-DB6005C0B5C4}" name="January_Balance" displayName="January_Balance" ref="A1:E9" totalsRowCount="1">
  <autoFilter ref="A1:E8" xr:uid="{0F98BB71-98F0-4474-AD2F-DB6005C0B5C4}"/>
  <tableColumns count="5">
    <tableColumn id="1" xr3:uid="{0852A0FF-199E-4071-BE60-631E0418FB27}" name="Bank" totalsRowLabel="Total"/>
    <tableColumn id="2" xr3:uid="{DBDFE257-D3B9-43F5-9262-9B02BD689AE0}" name="Product"/>
    <tableColumn id="3" xr3:uid="{384ADCF5-611C-4B86-828B-BA6326C2DC7F}" name="Opening balance" totalsRowFunction="sum" dataDxfId="65"/>
    <tableColumn id="4" xr3:uid="{9E66624C-5975-4F60-94B9-15A153081627}" name="Operations" totalsRowFunction="sum" dataDxfId="64">
      <calculatedColumnFormula>SUMIFS(Operations[Amount], Operations[Bank],January_Balance[[#This Row],[Bank]],Operations[Product],January_Balance[[#This Row],[Product]],Operations[Month],$B$12)</calculatedColumnFormula>
    </tableColumn>
    <tableColumn id="5" xr3:uid="{946F1124-E273-4D0C-B82D-AAA55CE009CE}" name="Closing Balance" totalsRowFunction="sum" dataDxfId="63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BFF25-51B7-4D32-A301-9D3B36113922}" name="January_Categories" displayName="January_Categories" ref="G1:H21" totalsRowCount="1" headerRowDxfId="83" dataDxfId="60" totalsRowDxfId="82">
  <autoFilter ref="G1:H20" xr:uid="{5C8BFF25-51B7-4D32-A301-9D3B36113922}"/>
  <tableColumns count="2">
    <tableColumn id="1" xr3:uid="{196FEF8F-F983-4DF8-9BA1-5C4D694C647A}" name="Category" totalsRowLabel="Total" dataDxfId="62" totalsRowDxfId="81"/>
    <tableColumn id="2" xr3:uid="{3BCA8114-1A13-4E38-9329-815CDABEAE32}" name="Sum" totalsRowFunction="sum" dataDxfId="61" totalsRowDxfId="80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3C18F1-3084-4B62-8026-43EC823E1700}" name="Febuary_Balance" displayName="Febuary_Balance" ref="A1:E9" totalsRowCount="1">
  <autoFilter ref="A1:E8" xr:uid="{0F98BB71-98F0-4474-AD2F-DB6005C0B5C4}"/>
  <tableColumns count="5">
    <tableColumn id="1" xr3:uid="{E269EBBE-DE60-4B0F-BB79-BF8816592314}" name="Bank" totalsRowLabel="Total"/>
    <tableColumn id="2" xr3:uid="{7BCC438A-E60A-4EED-B180-ABA1FB28973A}" name="Product"/>
    <tableColumn id="3" xr3:uid="{42BF3C1F-C254-48F7-973B-7F3FA7FBE5EA}" name="Opening balance" totalsRowFunction="sum" dataDxfId="59" totalsRowDxfId="79">
      <calculatedColumnFormula>January_Balance[[#This Row],[Closing Balance]]</calculatedColumnFormula>
    </tableColumn>
    <tableColumn id="4" xr3:uid="{AB97C9F2-59AA-4E4A-A81F-C2E4F1CCB2F5}" name="Operations" totalsRowFunction="sum" dataDxfId="58" totalsRowDxfId="78">
      <calculatedColumnFormula>SUMIFS(Operations[Amount], Operations[Bank],Febuary_Balance[[#This Row],[Bank]],Operations[Product],Febuary_Balance[[#This Row],[Product]],Operations[Month],$B$12)</calculatedColumnFormula>
    </tableColumn>
    <tableColumn id="5" xr3:uid="{9B6F8FC1-F63C-40B9-B7D0-23F59B9D47C0}" name="Closing Balance" totalsRowFunction="sum" dataDxfId="57" totalsRowDxfId="77">
      <calculatedColumnFormula>Febuary_Balance[[#This Row],[Opening balance]]+Febuary_Balance[[#This Row],[Operations]]</calculatedColumnFormula>
    </tableColumn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7E620E-7F9B-41CB-AA5D-C98636870FE3}" name="Febuary_Categories" displayName="Febuary_Categories" ref="G1:H21" totalsRowCount="1" headerRowDxfId="76" dataDxfId="54" totalsRowDxfId="75">
  <autoFilter ref="G1:H20" xr:uid="{5C8BFF25-51B7-4D32-A301-9D3B36113922}"/>
  <tableColumns count="2">
    <tableColumn id="1" xr3:uid="{72DE053A-F1E7-4BB1-B236-0680D628A262}" name="Category" totalsRowLabel="Total" dataDxfId="56" totalsRowDxfId="74"/>
    <tableColumn id="2" xr3:uid="{E71B3068-AA96-49D2-8DFA-C1CAB21AE677}" name="Sum" totalsRowFunction="sum" dataDxfId="55" totalsRowDxfId="73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1364588-EE09-410C-8859-18EEB1C68019}" name="March_Balance" displayName="March_Balance" ref="A1:E9" totalsRowCount="1">
  <autoFilter ref="A1:E8" xr:uid="{0F98BB71-98F0-4474-AD2F-DB6005C0B5C4}"/>
  <tableColumns count="5">
    <tableColumn id="1" xr3:uid="{CF4A27F1-E32F-44FD-903F-2E862EFAF807}" name="Bank" totalsRowLabel="Total"/>
    <tableColumn id="2" xr3:uid="{5B847607-1992-45F0-861E-B0FF1124C6F0}" name="Product"/>
    <tableColumn id="3" xr3:uid="{0C77C146-1FED-4282-B1A3-6605613225DC}" name="Opening balance" totalsRowFunction="sum" dataDxfId="72">
      <calculatedColumnFormula>Febuary_Balance[[#This Row],[Closing Balance]]</calculatedColumnFormula>
    </tableColumn>
    <tableColumn id="4" xr3:uid="{9E4FFE97-612D-4D2D-9750-F7F281863583}" name="Operations" totalsRowFunction="sum" dataDxfId="71">
      <calculatedColumnFormula>SUMIFS(Operations[Amount], Operations[Bank],March_Balance[[#This Row],[Bank]],Operations[Product],March_Balance[[#This Row],[Product]],Operations[Month],$B$12)</calculatedColumnFormula>
    </tableColumn>
    <tableColumn id="5" xr3:uid="{7E173BC4-B6CB-493B-B450-9715D9E31F69}" name="Closing Balance" totalsRowFunction="sum" dataDxfId="70">
      <calculatedColumnFormula>March_Balance[[#This Row],[Opening balance]]+March_Balance[[#This Row],[Operations]]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BFB9BC-18B4-451F-AF11-B508A4D020A4}" name="March_Categories" displayName="March_Categories" ref="G1:H21" totalsRowCount="1" headerRowDxfId="147" dataDxfId="146" totalsRowDxfId="145">
  <autoFilter ref="G1:H20" xr:uid="{5C8BFF25-51B7-4D32-A301-9D3B36113922}"/>
  <tableColumns count="2">
    <tableColumn id="1" xr3:uid="{7CBEF0A8-89A1-4F83-B36D-9234EF333AFA}" name="Category" totalsRowLabel="Total" dataDxfId="69" totalsRowDxfId="68"/>
    <tableColumn id="2" xr3:uid="{E83E8BF6-657A-4F25-9FF0-D3E9BAD578CF}" name="Sum" totalsRowFunction="sum" dataDxfId="67" totalsRowDxfId="66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7FE276-3F22-4EF8-9AC1-9F1A4C73AB56}" name="April_Balance" displayName="April_Balance" ref="A1:E9" totalsRowCount="1">
  <autoFilter ref="A1:E8" xr:uid="{0F98BB71-98F0-4474-AD2F-DB6005C0B5C4}"/>
  <tableColumns count="5">
    <tableColumn id="1" xr3:uid="{AC937C89-A90E-4A31-922B-C487E9952921}" name="Bank" totalsRowLabel="Total"/>
    <tableColumn id="2" xr3:uid="{8585C6FF-2EF2-4CDB-9CA4-6FBE39E8B7D4}" name="Product"/>
    <tableColumn id="3" xr3:uid="{FFBECBF4-2467-429F-BADC-5B9B74ED8E2A}" name="Opening balance" totalsRowFunction="sum" dataDxfId="53">
      <calculatedColumnFormula>March_Balance[[#This Row],[Closing Balance]]</calculatedColumnFormula>
    </tableColumn>
    <tableColumn id="4" xr3:uid="{D441DBBA-1C6D-41F6-8824-424FA624F0FF}" name="Operations" totalsRowFunction="sum" dataDxfId="52">
      <calculatedColumnFormula>SUMIFS(Operations[Amount], Operations[Bank],April_Balance[[#This Row],[Bank]],Operations[Product],April_Balance[[#This Row],[Product]],Operations[Month],$B$12)</calculatedColumnFormula>
    </tableColumn>
    <tableColumn id="5" xr3:uid="{125B3FEB-0B12-4BE8-83DB-0F2CC6CAE0E8}" name="Closing Balance" totalsRowFunction="sum" dataDxfId="51">
      <calculatedColumnFormula>April_Balance[[#This Row],[Opening balance]]+April_Balance[[#This Row],[Operations]]</calculatedColumnFormula>
    </tableColumn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E431447-0500-4190-9A8D-48825D0934C2}" name="April_Categories" displayName="April_Categories" ref="G1:H21" totalsRowCount="1" headerRowDxfId="144" dataDxfId="48" totalsRowDxfId="143">
  <autoFilter ref="G1:H20" xr:uid="{5C8BFF25-51B7-4D32-A301-9D3B36113922}"/>
  <tableColumns count="2">
    <tableColumn id="1" xr3:uid="{E4F8DD55-6A5B-42EC-AB49-6984B08CCF88}" name="Category" totalsRowLabel="Total" dataDxfId="50" totalsRowDxfId="142"/>
    <tableColumn id="2" xr3:uid="{90DC355C-76D5-4020-9E15-FBAF386A3710}" name="Sum" totalsRowFunction="sum" dataDxfId="49" totalsRowDxfId="141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B709BD9-DE61-4163-B227-6C8A6C9028FA}" name="May_Balance" displayName="May_Balance" ref="A1:E9" totalsRowCount="1">
  <autoFilter ref="A1:E8" xr:uid="{0F98BB71-98F0-4474-AD2F-DB6005C0B5C4}"/>
  <tableColumns count="5">
    <tableColumn id="1" xr3:uid="{CDE9FABD-6D41-4B6C-B561-DC674DC2C568}" name="Bank" totalsRowLabel="Total"/>
    <tableColumn id="2" xr3:uid="{192F3390-32DE-4EC4-A37F-58B801A2A202}" name="Product"/>
    <tableColumn id="3" xr3:uid="{9CAC5EF5-C900-4029-8765-27CBA9F953F8}" name="Opening balance" totalsRowFunction="sum" dataDxfId="47">
      <calculatedColumnFormula>Febuary_Balance[[#This Row],[Closing Balance]]</calculatedColumnFormula>
    </tableColumn>
    <tableColumn id="4" xr3:uid="{56D0AEA5-6684-4098-ADF6-784CF70A738C}" name="Operations" totalsRowFunction="sum" dataDxfId="46">
      <calculatedColumnFormula>SUMIFS(Operations[Amount], Operations[Bank],May_Balance[[#This Row],[Bank]],Operations[Product],May_Balance[[#This Row],[Product]],Operations[Month],$B$12)</calculatedColumnFormula>
    </tableColumn>
    <tableColumn id="5" xr3:uid="{A50A8C5E-30E1-4E2E-AF38-DE78EA38AEBC}" name="Closing Balance" totalsRowFunction="sum" dataDxfId="45">
      <calculatedColumnFormula>May_Balance[[#This Row],[Opening balance]]+May_Balance[[#This Row],[Operations]]</calculatedColumnFormula>
    </tableColumn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78CFB7-C569-4689-822F-83E5A9AABE4F}" name="May_Categories" displayName="May_Categories" ref="G1:H21" totalsRowCount="1" headerRowDxfId="140" dataDxfId="42" totalsRowDxfId="139">
  <autoFilter ref="G1:H20" xr:uid="{5C8BFF25-51B7-4D32-A301-9D3B36113922}"/>
  <tableColumns count="2">
    <tableColumn id="1" xr3:uid="{390A2643-FCF3-4DF7-8F80-C3E623662007}" name="Category" totalsRowLabel="Total" dataDxfId="44" totalsRowDxfId="138"/>
    <tableColumn id="2" xr3:uid="{11F76F81-8014-41C9-BB75-B981DB530747}" name="Sum" totalsRowFunction="sum" dataDxfId="43" totalsRowDxfId="137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B6124C-A3D9-488C-9949-B6281534FB6C}" name="June_Balance" displayName="June_Balance" ref="A1:E9" totalsRowCount="1">
  <autoFilter ref="A1:E8" xr:uid="{0F98BB71-98F0-4474-AD2F-DB6005C0B5C4}"/>
  <tableColumns count="5">
    <tableColumn id="1" xr3:uid="{70593C5B-7835-4A19-BC2D-4B3DC7F8ED94}" name="Bank" totalsRowLabel="Total"/>
    <tableColumn id="2" xr3:uid="{91988585-17E5-4721-804B-5341E484C9F9}" name="Product"/>
    <tableColumn id="3" xr3:uid="{8E7A03DB-EEE1-4F42-8AB4-30D07A6F3284}" name="Opening balance" totalsRowFunction="sum" dataDxfId="41" totalsRowDxfId="136">
      <calculatedColumnFormula>May_Balance[[#This Row],[Closing Balance]]</calculatedColumnFormula>
    </tableColumn>
    <tableColumn id="4" xr3:uid="{1662A2A0-B03C-469E-9F5D-929BF34B6EE5}" name="Operations" totalsRowFunction="sum" dataDxfId="40" totalsRowDxfId="135">
      <calculatedColumnFormula>SUMIFS(Operations[Amount], Operations[Bank],June_Balance[[#This Row],[Bank]],Operations[Product],June_Balance[[#This Row],[Product]],Operations[Month],$B$12)</calculatedColumnFormula>
    </tableColumn>
    <tableColumn id="5" xr3:uid="{D4BC950F-C606-425E-A612-48B25016F8E6}" name="Closing Balance" totalsRowFunction="sum" dataDxfId="39" totalsRowDxfId="134">
      <calculatedColumnFormula>June_Balance[[#This Row],[Opening balance]]+June_Balance[[#This Row],[Operations]]</calculatedColumnFormula>
    </tableColumn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7552195-FD33-4985-BB7E-EAD1EA7EAF9B}" name="June_Categories" displayName="June_Categories" ref="G1:H21" totalsRowCount="1" headerRowDxfId="133" dataDxfId="36" totalsRowDxfId="132">
  <autoFilter ref="G1:H20" xr:uid="{5C8BFF25-51B7-4D32-A301-9D3B36113922}"/>
  <tableColumns count="2">
    <tableColumn id="1" xr3:uid="{9D753FE2-F219-42F2-B1A7-8A13304CA200}" name="Category" totalsRowLabel="Total" dataDxfId="38" totalsRowDxfId="131"/>
    <tableColumn id="2" xr3:uid="{812347F2-F6CE-44CA-A42C-080C760E18D5}" name="Sum" totalsRowFunction="sum" dataDxfId="37" totalsRowDxfId="130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0AB1CEA-DCB0-4079-AFDC-706332F1B519}" name="July_Balance" displayName="July_Balance" ref="A1:E9" totalsRowCount="1">
  <autoFilter ref="A1:E8" xr:uid="{0F98BB71-98F0-4474-AD2F-DB6005C0B5C4}"/>
  <tableColumns count="5">
    <tableColumn id="1" xr3:uid="{3B401E37-F4A1-4C62-8D13-D749EC6A0FB4}" name="Bank" totalsRowLabel="Total"/>
    <tableColumn id="2" xr3:uid="{B2565DF9-6F70-4809-B3D1-64285E820D5D}" name="Product"/>
    <tableColumn id="3" xr3:uid="{E967F21A-4953-4E28-BA27-49128BF09514}" name="Opening balance" totalsRowFunction="sum" dataDxfId="35" totalsRowDxfId="129">
      <calculatedColumnFormula>June_Balance[[#This Row],[Closing Balance]]</calculatedColumnFormula>
    </tableColumn>
    <tableColumn id="4" xr3:uid="{EAB52670-D5C2-4E5D-9C85-A38DE7661C35}" name="Operations" totalsRowFunction="sum" dataDxfId="34" totalsRowDxfId="128">
      <calculatedColumnFormula>SUMIFS(Operations[Amount], Operations[Bank],July_Balance[[#This Row],[Bank]],Operations[Product],July_Balance[[#This Row],[Product]],Operations[Month],$B$12)</calculatedColumnFormula>
    </tableColumn>
    <tableColumn id="5" xr3:uid="{0642592C-EB47-4324-AB57-F2CB4E8F611D}" name="Closing Balance" totalsRowFunction="sum" dataDxfId="33" totalsRowDxfId="127">
      <calculatedColumnFormula>July_Balance[[#This Row],[Opening balance]]+July_Balance[[#This Row],[Operations]]</calculatedColumnFormula>
    </tableColumn>
  </tableColumns>
  <tableStyleInfo name="TableStyleMedium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EFF2F78-FB5E-4DA6-86BE-F175D517E5E9}" name="July_Categories" displayName="July_Categories" ref="G1:H21" totalsRowCount="1" headerRowDxfId="126" dataDxfId="30" totalsRowDxfId="125">
  <autoFilter ref="G1:H20" xr:uid="{5C8BFF25-51B7-4D32-A301-9D3B36113922}"/>
  <tableColumns count="2">
    <tableColumn id="1" xr3:uid="{D8B1FD66-7C6A-4029-A4EE-1A424941A991}" name="Category" totalsRowLabel="Total" dataDxfId="32" totalsRowDxfId="124"/>
    <tableColumn id="2" xr3:uid="{7C6D929E-1068-4873-A528-FCB0480B1580}" name="Sum" totalsRowFunction="sum" dataDxfId="31" totalsRowDxfId="123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CA0FA21-2C08-4DC0-A6D2-80C27577214B}" name="August_Balance" displayName="August_Balance" ref="A1:E9" totalsRowCount="1">
  <autoFilter ref="A1:E8" xr:uid="{0F98BB71-98F0-4474-AD2F-DB6005C0B5C4}"/>
  <tableColumns count="5">
    <tableColumn id="1" xr3:uid="{53613166-35FE-4206-A916-AD43D2B90CD7}" name="Bank" totalsRowLabel="Total"/>
    <tableColumn id="2" xr3:uid="{A80F64B7-3978-49F3-A61C-2DE316139DE1}" name="Product"/>
    <tableColumn id="3" xr3:uid="{9E556D46-D821-49B3-B8E6-373076D5CA87}" name="Opening balance" totalsRowFunction="sum" dataDxfId="29" totalsRowDxfId="122">
      <calculatedColumnFormula>July_Balance[[#This Row],[Closing Balance]]</calculatedColumnFormula>
    </tableColumn>
    <tableColumn id="4" xr3:uid="{362BAD66-F01C-4625-A751-55A6D92A4154}" name="Operations" totalsRowFunction="sum" dataDxfId="28" totalsRowDxfId="121">
      <calculatedColumnFormula>SUMIFS(Operations[Amount], Operations[Bank],August_Balance[[#This Row],[Bank]],Operations[Product],August_Balance[[#This Row],[Product]],Operations[Month],$B$12)</calculatedColumnFormula>
    </tableColumn>
    <tableColumn id="5" xr3:uid="{79706B82-5956-439A-A15C-BEEFFC67BBCB}" name="Closing Balance" totalsRowFunction="sum" dataDxfId="27" totalsRowDxfId="120">
      <calculatedColumnFormula>August_Balance[[#This Row],[Opening balance]]+August_Balance[[#This Row],[Operations]]</calculatedColumnFormula>
    </tableColumn>
  </tableColumns>
  <tableStyleInfo name="TableStyleMedium1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A83D639-3696-4A47-848E-1F216B9DF826}" name="August_Categories" displayName="August_Categories" ref="G1:H21" totalsRowCount="1" headerRowDxfId="119" dataDxfId="24" totalsRowDxfId="118">
  <autoFilter ref="G1:H20" xr:uid="{5C8BFF25-51B7-4D32-A301-9D3B36113922}"/>
  <tableColumns count="2">
    <tableColumn id="1" xr3:uid="{46EC854C-34C7-48CE-8561-9BC7264837D9}" name="Category" totalsRowLabel="Total" dataDxfId="26" totalsRowDxfId="117"/>
    <tableColumn id="2" xr3:uid="{AB33EE17-AA26-4017-8F78-796F7B2CB567}" name="Sum" totalsRowFunction="sum" dataDxfId="25" totalsRowDxfId="116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16D5E77-266D-49D2-838C-17D4E8E6B707}" name="September_Balance" displayName="September_Balance" ref="A1:E9" totalsRowCount="1">
  <autoFilter ref="A1:E8" xr:uid="{0F98BB71-98F0-4474-AD2F-DB6005C0B5C4}"/>
  <tableColumns count="5">
    <tableColumn id="1" xr3:uid="{512DF6CE-C74A-4896-86EE-F2E1766A8972}" name="Bank" totalsRowLabel="Total"/>
    <tableColumn id="2" xr3:uid="{CED3831C-4552-45D4-9431-700D23D95F64}" name="Product"/>
    <tableColumn id="3" xr3:uid="{A71EFA50-DDED-4A29-83D1-23B674A4570D}" name="Opening balance" totalsRowFunction="sum" dataDxfId="23" totalsRowDxfId="115">
      <calculatedColumnFormula>August_Balance[[#This Row],[Closing Balance]]</calculatedColumnFormula>
    </tableColumn>
    <tableColumn id="4" xr3:uid="{48DDE354-42B8-470F-84F6-07A27F9CA0CD}" name="Operations" totalsRowFunction="sum" dataDxfId="22" totalsRowDxfId="114">
      <calculatedColumnFormula>SUMIFS(Operations[Amount], Operations[Bank],September_Balance[[#This Row],[Bank]],Operations[Product],September_Balance[[#This Row],[Product]],Operations[Month],$B$12)</calculatedColumnFormula>
    </tableColumn>
    <tableColumn id="5" xr3:uid="{890331CB-9C1A-44A9-8002-BA3236CC1B68}" name="Closing Balance" totalsRowFunction="sum" dataDxfId="21" totalsRowDxfId="113">
      <calculatedColumnFormula>September_Balance[[#This Row],[Opening balance]]+September_Balance[[#This Row],[Operations]]</calculatedColumnFormula>
    </tableColumn>
  </tableColumns>
  <tableStyleInfo name="TableStyleMedium1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F7E806-95DD-4CD2-9511-E471FE143CDE}" name="September_Categories" displayName="September_Categories" ref="G1:H21" totalsRowCount="1" headerRowDxfId="112" dataDxfId="18" totalsRowDxfId="111">
  <autoFilter ref="G1:H20" xr:uid="{5C8BFF25-51B7-4D32-A301-9D3B36113922}"/>
  <tableColumns count="2">
    <tableColumn id="1" xr3:uid="{7B711B11-7EF2-4938-9036-E34E2D968C28}" name="Category" totalsRowLabel="Total" dataDxfId="20" totalsRowDxfId="110"/>
    <tableColumn id="2" xr3:uid="{3E33F633-7833-40AE-870F-9DBF853977C5}" name="Sum" totalsRowFunction="sum" dataDxfId="19" totalsRowDxfId="109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34EB3D3-E73F-4FFC-BEEF-247D80F135D4}" name="October_Balance" displayName="October_Balance" ref="A1:E9" totalsRowCount="1">
  <autoFilter ref="A1:E8" xr:uid="{0F98BB71-98F0-4474-AD2F-DB6005C0B5C4}"/>
  <tableColumns count="5">
    <tableColumn id="1" xr3:uid="{701F608D-41B4-46B0-BA50-DF6292D36693}" name="Bank" totalsRowLabel="Total"/>
    <tableColumn id="2" xr3:uid="{4F458906-FDAA-454D-87E9-428A29E75926}" name="Product"/>
    <tableColumn id="3" xr3:uid="{F7A0DA82-4C00-46E0-B3D0-6503E1360904}" name="Opening balance" totalsRowFunction="sum" dataDxfId="17" totalsRowDxfId="108">
      <calculatedColumnFormula>September_Balance[[#This Row],[Closing Balance]]</calculatedColumnFormula>
    </tableColumn>
    <tableColumn id="4" xr3:uid="{1FD42556-944D-41DE-8236-C75A72B77286}" name="Operations" totalsRowFunction="sum" dataDxfId="16" totalsRowDxfId="107">
      <calculatedColumnFormula>SUMIFS(Operations[Amount], Operations[Bank],October_Balance[[#This Row],[Bank]],Operations[Product],October_Balance[[#This Row],[Product]],Operations[Month],$B$12)</calculatedColumnFormula>
    </tableColumn>
    <tableColumn id="5" xr3:uid="{99C1C76A-8723-4C38-BD2C-ED39AC9588C7}" name="Closing Balance" totalsRowFunction="sum" dataDxfId="15" totalsRowDxfId="106">
      <calculatedColumnFormula>October_Balance[[#This Row],[Opening balance]]+October_Balance[[#This Row],[Operations]]</calculatedColumnFormula>
    </tableColumn>
  </tableColumns>
  <tableStyleInfo name="TableStyleMedium1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9A610F4-094E-45A9-9B17-A730A25BADB8}" name="October_Categories" displayName="October_Categories" ref="G1:H21" totalsRowCount="1" headerRowDxfId="105" dataDxfId="12" totalsRowDxfId="104">
  <autoFilter ref="G1:H20" xr:uid="{5C8BFF25-51B7-4D32-A301-9D3B36113922}"/>
  <tableColumns count="2">
    <tableColumn id="1" xr3:uid="{F7706A76-27F7-4D03-B633-92411B06A5D7}" name="Category" totalsRowLabel="Total" dataDxfId="14" totalsRowDxfId="103"/>
    <tableColumn id="2" xr3:uid="{D4899B15-DA0C-4538-8FB5-EB79614E3524}" name="Sum" totalsRowFunction="sum" dataDxfId="13" totalsRowDxfId="102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6A11040-67F2-409D-A3AD-40F922041640}" name="November_Balance" displayName="November_Balance" ref="A1:E9" totalsRowCount="1">
  <autoFilter ref="A1:E8" xr:uid="{0F98BB71-98F0-4474-AD2F-DB6005C0B5C4}"/>
  <tableColumns count="5">
    <tableColumn id="1" xr3:uid="{5A27B73E-9C4D-44C5-B767-21FFAE104696}" name="Bank" totalsRowLabel="Total"/>
    <tableColumn id="2" xr3:uid="{6027F87A-73EE-40FD-9B75-342D0782114B}" name="Product"/>
    <tableColumn id="3" xr3:uid="{18B06CF1-BE1D-450C-A05A-24C4129603E3}" name="Opening balance" totalsRowFunction="sum" dataDxfId="11" totalsRowDxfId="101">
      <calculatedColumnFormula>October_Balance[[#This Row],[Closing Balance]]</calculatedColumnFormula>
    </tableColumn>
    <tableColumn id="4" xr3:uid="{4D62A3D2-6266-403B-8BC5-E760FA33EC6B}" name="Operations" totalsRowFunction="sum" dataDxfId="10" totalsRowDxfId="100">
      <calculatedColumnFormula>SUMIFS(Operations[Amount], Operations[Bank],November_Balance[[#This Row],[Bank]],Operations[Product],November_Balance[[#This Row],[Product]],Operations[Month],$B$12)</calculatedColumnFormula>
    </tableColumn>
    <tableColumn id="5" xr3:uid="{7A85B417-FBF7-487B-BBF6-00FF86BC6197}" name="Closing Balance" totalsRowFunction="sum" dataDxfId="9" totalsRowDxfId="99">
      <calculatedColumnFormula>November_Balance[[#This Row],[Opening balance]]+November_Balance[[#This Row],[Operations]]</calculatedColumnFormula>
    </tableColumn>
  </tableColumns>
  <tableStyleInfo name="TableStyleMedium1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4A7FFD5-3999-47F5-AD59-925B8CB3F2D7}" name="November_Categories" displayName="November_Categories" ref="G1:H21" totalsRowCount="1" headerRowDxfId="98" dataDxfId="6" totalsRowDxfId="97">
  <autoFilter ref="G1:H20" xr:uid="{5C8BFF25-51B7-4D32-A301-9D3B36113922}"/>
  <tableColumns count="2">
    <tableColumn id="1" xr3:uid="{D3211AE7-02A5-4329-9B2F-F7486E5EF24E}" name="Category" totalsRowLabel="Total" dataDxfId="8" totalsRowDxfId="96"/>
    <tableColumn id="2" xr3:uid="{02ECCDDE-03E0-4E3E-A196-B299ACE2F1D3}" name="Sum" totalsRowFunction="sum" dataDxfId="7" totalsRowDxfId="95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35CFEF4-FFF9-4E07-BA89-43AF2ABF8759}" name="December_Balance" displayName="December_Balance" ref="A1:E9" totalsRowCount="1">
  <autoFilter ref="A1:E8" xr:uid="{0F98BB71-98F0-4474-AD2F-DB6005C0B5C4}"/>
  <tableColumns count="5">
    <tableColumn id="1" xr3:uid="{1063A347-F372-4D1D-935A-132DAF42964E}" name="Bank" totalsRowLabel="Total"/>
    <tableColumn id="2" xr3:uid="{8F4275C6-341E-43CA-BDBD-71F412959C69}" name="Product"/>
    <tableColumn id="3" xr3:uid="{1F5AD8D6-4491-4224-9787-C8319515C2A2}" name="Opening balance" totalsRowFunction="sum" dataDxfId="5" totalsRowDxfId="94">
      <calculatedColumnFormula>November_Balance[[#This Row],[Closing Balance]]</calculatedColumnFormula>
    </tableColumn>
    <tableColumn id="4" xr3:uid="{74229875-9DCD-468D-9BB3-F7E9FDAAF10F}" name="Operations" totalsRowFunction="sum" dataDxfId="4" totalsRowDxfId="93">
      <calculatedColumnFormula>SUMIFS(Operations[Amount], Operations[Bank],December_Balance[[#This Row],[Bank]],Operations[Product],December_Balance[[#This Row],[Product]],Operations[Month],$B$12)</calculatedColumnFormula>
    </tableColumn>
    <tableColumn id="5" xr3:uid="{10AE9BF7-401B-4973-BCEA-C918E037C51C}" name="Closing Balance" totalsRowFunction="sum" dataDxfId="3" totalsRowDxfId="92">
      <calculatedColumnFormula>December_Balance[[#This Row],[Opening balance]]+December_Balance[[#This Row],[Operations]]</calculatedColumnFormula>
    </tableColumn>
  </tableColumns>
  <tableStyleInfo name="TableStyleMedium1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834E7AA-A7FD-4DDC-9D16-D70DD150501C}" name="December_Categories" displayName="December_Categories" ref="G1:H21" totalsRowCount="1" headerRowDxfId="91" dataDxfId="0" totalsRowDxfId="90">
  <autoFilter ref="G1:H20" xr:uid="{5C8BFF25-51B7-4D32-A301-9D3B36113922}"/>
  <tableColumns count="2">
    <tableColumn id="1" xr3:uid="{E20D50E8-E8C1-400E-8160-E6154F8CA3E7}" name="Category" totalsRowLabel="Total" dataDxfId="2" totalsRowDxfId="89"/>
    <tableColumn id="2" xr3:uid="{D623E8CC-76C0-4B34-871C-15DBB5B61675}" name="Sum" totalsRowFunction="sum" dataDxfId="1" totalsRowDxfId="88">
      <calculatedColumnFormula>SUMIFS(Operations[Amount],Operations[Month],$B$12,Operations[Category],G2)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5" x14ac:dyDescent="0.25"/>
  <cols>
    <col min="1" max="1" width="15.140625" bestFit="1" customWidth="1"/>
    <col min="2" max="2" width="11.140625" bestFit="1" customWidth="1"/>
    <col min="3" max="3" width="18.28515625" bestFit="1" customWidth="1"/>
    <col min="7" max="7" width="10.28515625" bestFit="1" customWidth="1"/>
    <col min="8" max="8" width="18.42578125" bestFit="1" customWidth="1"/>
  </cols>
  <sheetData>
    <row r="1" spans="1:8" ht="15.75" thickBot="1" x14ac:dyDescent="0.3">
      <c r="A1" s="1" t="s">
        <v>0</v>
      </c>
      <c r="B1" s="2" t="s">
        <v>1</v>
      </c>
      <c r="C1" t="s">
        <v>22</v>
      </c>
      <c r="D1" t="s">
        <v>23</v>
      </c>
      <c r="E1" t="s">
        <v>29</v>
      </c>
      <c r="G1" t="s">
        <v>33</v>
      </c>
      <c r="H1" t="s">
        <v>34</v>
      </c>
    </row>
    <row r="2" spans="1:8" ht="15.75" thickTop="1" x14ac:dyDescent="0.25">
      <c r="A2" s="3" t="s">
        <v>2</v>
      </c>
      <c r="B2" s="4" t="s">
        <v>13</v>
      </c>
      <c r="C2" t="s">
        <v>24</v>
      </c>
      <c r="D2" t="s">
        <v>24</v>
      </c>
      <c r="E2" t="s">
        <v>28</v>
      </c>
      <c r="G2" s="9" t="s">
        <v>22</v>
      </c>
      <c r="H2" s="10" t="s">
        <v>24</v>
      </c>
    </row>
    <row r="3" spans="1:8" x14ac:dyDescent="0.25">
      <c r="A3" s="5" t="s">
        <v>3</v>
      </c>
      <c r="B3" s="6" t="s">
        <v>13</v>
      </c>
      <c r="C3" t="s">
        <v>25</v>
      </c>
      <c r="D3" t="s">
        <v>26</v>
      </c>
      <c r="E3" t="s">
        <v>30</v>
      </c>
      <c r="G3" s="11" t="s">
        <v>22</v>
      </c>
      <c r="H3" s="12" t="s">
        <v>25</v>
      </c>
    </row>
    <row r="4" spans="1:8" x14ac:dyDescent="0.25">
      <c r="A4" s="3" t="s">
        <v>46</v>
      </c>
      <c r="B4" s="4" t="s">
        <v>13</v>
      </c>
      <c r="C4" t="s">
        <v>27</v>
      </c>
      <c r="E4" t="s">
        <v>31</v>
      </c>
      <c r="G4" s="9" t="s">
        <v>22</v>
      </c>
      <c r="H4" s="10" t="s">
        <v>26</v>
      </c>
    </row>
    <row r="5" spans="1:8" x14ac:dyDescent="0.25">
      <c r="A5" s="5" t="s">
        <v>5</v>
      </c>
      <c r="B5" s="6" t="s">
        <v>13</v>
      </c>
      <c r="G5" s="11" t="s">
        <v>23</v>
      </c>
      <c r="H5" s="12" t="s">
        <v>24</v>
      </c>
    </row>
    <row r="6" spans="1:8" x14ac:dyDescent="0.25">
      <c r="A6" s="3" t="s">
        <v>6</v>
      </c>
      <c r="B6" s="4" t="s">
        <v>13</v>
      </c>
      <c r="G6" s="9" t="s">
        <v>23</v>
      </c>
      <c r="H6" s="10" t="s">
        <v>27</v>
      </c>
    </row>
    <row r="7" spans="1:8" x14ac:dyDescent="0.25">
      <c r="A7" s="5" t="s">
        <v>7</v>
      </c>
      <c r="B7" s="6" t="s">
        <v>13</v>
      </c>
      <c r="G7" s="11" t="s">
        <v>29</v>
      </c>
      <c r="H7" s="12" t="s">
        <v>28</v>
      </c>
    </row>
    <row r="8" spans="1:8" x14ac:dyDescent="0.25">
      <c r="A8" s="3" t="s">
        <v>8</v>
      </c>
      <c r="B8" s="4" t="s">
        <v>13</v>
      </c>
      <c r="G8" s="13" t="s">
        <v>29</v>
      </c>
      <c r="H8" s="14" t="s">
        <v>30</v>
      </c>
    </row>
    <row r="9" spans="1:8" x14ac:dyDescent="0.25">
      <c r="A9" s="5" t="s">
        <v>9</v>
      </c>
      <c r="B9" s="6" t="s">
        <v>13</v>
      </c>
    </row>
    <row r="10" spans="1:8" x14ac:dyDescent="0.25">
      <c r="A10" s="3" t="s">
        <v>10</v>
      </c>
      <c r="B10" s="4" t="s">
        <v>13</v>
      </c>
    </row>
    <row r="11" spans="1:8" x14ac:dyDescent="0.25">
      <c r="A11" s="5" t="s">
        <v>11</v>
      </c>
      <c r="B11" s="6" t="s">
        <v>13</v>
      </c>
    </row>
    <row r="12" spans="1:8" x14ac:dyDescent="0.25">
      <c r="A12" s="3" t="s">
        <v>12</v>
      </c>
      <c r="B12" s="4" t="s">
        <v>13</v>
      </c>
    </row>
    <row r="13" spans="1:8" x14ac:dyDescent="0.25">
      <c r="A13" s="5" t="s">
        <v>14</v>
      </c>
      <c r="B13" s="6" t="s">
        <v>21</v>
      </c>
    </row>
    <row r="14" spans="1:8" x14ac:dyDescent="0.25">
      <c r="A14" s="5" t="s">
        <v>15</v>
      </c>
      <c r="B14" s="6" t="s">
        <v>21</v>
      </c>
    </row>
    <row r="15" spans="1:8" x14ac:dyDescent="0.25">
      <c r="A15" s="3" t="s">
        <v>16</v>
      </c>
      <c r="B15" s="4" t="s">
        <v>21</v>
      </c>
    </row>
    <row r="16" spans="1:8" x14ac:dyDescent="0.25">
      <c r="A16" s="5" t="s">
        <v>17</v>
      </c>
      <c r="B16" s="6" t="s">
        <v>21</v>
      </c>
    </row>
    <row r="17" spans="1:2" x14ac:dyDescent="0.25">
      <c r="A17" s="3" t="s">
        <v>18</v>
      </c>
      <c r="B17" s="4" t="s">
        <v>21</v>
      </c>
    </row>
    <row r="18" spans="1:2" x14ac:dyDescent="0.25">
      <c r="A18" s="5" t="s">
        <v>20</v>
      </c>
      <c r="B18" s="6" t="s">
        <v>21</v>
      </c>
    </row>
    <row r="19" spans="1:2" x14ac:dyDescent="0.25">
      <c r="A19" s="3" t="s">
        <v>38</v>
      </c>
      <c r="B19" s="4" t="s">
        <v>21</v>
      </c>
    </row>
    <row r="20" spans="1:2" x14ac:dyDescent="0.25">
      <c r="A20" s="7" t="s">
        <v>19</v>
      </c>
      <c r="B20" s="8" t="s">
        <v>21</v>
      </c>
    </row>
    <row r="21" spans="1:2" x14ac:dyDescent="0.25">
      <c r="A21" s="7" t="s">
        <v>43</v>
      </c>
      <c r="B21" s="8" t="s">
        <v>44</v>
      </c>
    </row>
  </sheetData>
  <conditionalFormatting sqref="A2:B21">
    <cfRule type="cellIs" dxfId="87" priority="1" operator="equal">
      <formula>"Income"</formula>
    </cfRule>
    <cfRule type="cellIs" dxfId="86" priority="2" operator="equal">
      <formula>"Expenses"</formula>
    </cfRule>
    <cfRule type="expression" dxfId="85" priority="3">
      <formula>#REF!="Income"</formula>
    </cfRule>
    <cfRule type="expression" dxfId="84" priority="4">
      <formula>#REF!="Expenses"</formula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900B-5B23-4136-B92A-97DE2850556D}">
  <dimension ref="A1:J207"/>
  <sheetViews>
    <sheetView workbookViewId="0"/>
  </sheetViews>
  <sheetFormatPr defaultRowHeight="15" x14ac:dyDescent="0.25"/>
  <cols>
    <col min="1" max="1" width="10.7109375" style="17" bestFit="1" customWidth="1"/>
    <col min="2" max="2" width="10.28515625" bestFit="1" customWidth="1"/>
    <col min="3" max="3" width="18.28515625" bestFit="1" customWidth="1"/>
    <col min="4" max="4" width="14.5703125" bestFit="1" customWidth="1"/>
    <col min="5" max="5" width="11.140625" bestFit="1" customWidth="1"/>
    <col min="6" max="6" width="10.42578125" bestFit="1" customWidth="1"/>
    <col min="7" max="7" width="9.28515625" bestFit="1" customWidth="1"/>
    <col min="8" max="8" width="7.28515625" bestFit="1" customWidth="1"/>
  </cols>
  <sheetData>
    <row r="1" spans="1:10" x14ac:dyDescent="0.25">
      <c r="A1" s="17" t="s">
        <v>32</v>
      </c>
      <c r="B1" t="s">
        <v>33</v>
      </c>
      <c r="C1" t="s">
        <v>34</v>
      </c>
      <c r="D1" t="s">
        <v>0</v>
      </c>
      <c r="E1" t="s">
        <v>1</v>
      </c>
      <c r="F1" t="s">
        <v>35</v>
      </c>
      <c r="G1" t="s">
        <v>36</v>
      </c>
      <c r="H1" t="s">
        <v>37</v>
      </c>
    </row>
    <row r="2" spans="1:10" x14ac:dyDescent="0.25">
      <c r="A2" s="18">
        <v>-1500</v>
      </c>
      <c r="B2" s="15" t="s">
        <v>22</v>
      </c>
      <c r="C2" s="15" t="s">
        <v>24</v>
      </c>
      <c r="D2" s="15" t="s">
        <v>2</v>
      </c>
      <c r="E2" s="15" t="str">
        <f>_xlfn.XLOOKUP(D2,Dictionary[Category], Dictionary[Type],"",0,1)</f>
        <v>Expenses</v>
      </c>
      <c r="F2" s="16">
        <v>45296</v>
      </c>
      <c r="G2">
        <f>IF(ISBLANK(Operations[[#This Row],[Date]]), "",MONTH(F2))</f>
        <v>1</v>
      </c>
      <c r="H2">
        <f>IF(ISBLANK(Operations[[#This Row],[Date]]), "",YEAR(F2))</f>
        <v>2024</v>
      </c>
      <c r="J2" t="str" cm="1">
        <f t="array" ref="J2:J4">CHOOSE(MATCH(B2,Dictionary!$C$1:$E$1,0),Dictionary!$C$2:$C$4,Dictionary!D2:D3,Dictionary!$E$2:$E$4)</f>
        <v>Account</v>
      </c>
    </row>
    <row r="3" spans="1:10" x14ac:dyDescent="0.25">
      <c r="A3" s="18">
        <v>4500</v>
      </c>
      <c r="B3" s="15" t="s">
        <v>22</v>
      </c>
      <c r="C3" s="15" t="s">
        <v>24</v>
      </c>
      <c r="D3" s="15" t="s">
        <v>14</v>
      </c>
      <c r="E3" s="15" t="str">
        <f>_xlfn.XLOOKUP(D3,Dictionary[Category], Dictionary[Type],"",0,1)</f>
        <v>Income</v>
      </c>
      <c r="F3" s="16">
        <v>45301</v>
      </c>
      <c r="G3">
        <f>IF(ISBLANK(Operations[[#This Row],[Date]]), "",MONTH(F3))</f>
        <v>1</v>
      </c>
      <c r="H3">
        <f>IF(ISBLANK(Operations[[#This Row],[Date]]), "",YEAR(F3))</f>
        <v>2024</v>
      </c>
      <c r="J3" t="str">
        <v>Credit card</v>
      </c>
    </row>
    <row r="4" spans="1:10" x14ac:dyDescent="0.25">
      <c r="A4" s="18">
        <v>-2000</v>
      </c>
      <c r="B4" s="15" t="s">
        <v>22</v>
      </c>
      <c r="C4" s="15" t="s">
        <v>24</v>
      </c>
      <c r="D4" s="15" t="s">
        <v>46</v>
      </c>
      <c r="E4" s="15" t="str">
        <f>_xlfn.XLOOKUP(D4,Dictionary[Category], Dictionary[Type],"",0,1)</f>
        <v>Expenses</v>
      </c>
      <c r="F4" s="16">
        <v>45302</v>
      </c>
      <c r="G4">
        <f>IF(ISBLANK(Operations[[#This Row],[Date]]), "",MONTH(F4))</f>
        <v>1</v>
      </c>
      <c r="H4">
        <f>IF(ISBLANK(Operations[[#This Row],[Date]]), "",YEAR(F4))</f>
        <v>2024</v>
      </c>
      <c r="J4" t="str">
        <v>Piggy bank</v>
      </c>
    </row>
    <row r="5" spans="1:10" x14ac:dyDescent="0.25">
      <c r="A5" s="18">
        <v>-45</v>
      </c>
      <c r="B5" s="15" t="s">
        <v>23</v>
      </c>
      <c r="C5" s="15" t="s">
        <v>24</v>
      </c>
      <c r="D5" s="15" t="s">
        <v>2</v>
      </c>
      <c r="E5" s="15" t="str">
        <f>_xlfn.XLOOKUP(D5,Dictionary[Category], Dictionary[Type],"",0,1)</f>
        <v>Expenses</v>
      </c>
      <c r="F5" s="16">
        <v>45305</v>
      </c>
      <c r="G5">
        <f>IF(ISBLANK(Operations[[#This Row],[Date]]), "",MONTH(F5))</f>
        <v>1</v>
      </c>
      <c r="H5">
        <f>IF(ISBLANK(Operations[[#This Row],[Date]]), "",YEAR(F5))</f>
        <v>2024</v>
      </c>
    </row>
    <row r="6" spans="1:10" x14ac:dyDescent="0.25">
      <c r="A6" s="18">
        <v>-150</v>
      </c>
      <c r="B6" s="15" t="s">
        <v>22</v>
      </c>
      <c r="C6" s="15" t="s">
        <v>25</v>
      </c>
      <c r="D6" s="15" t="s">
        <v>8</v>
      </c>
      <c r="E6" s="15" t="str">
        <f>_xlfn.XLOOKUP(D6,Dictionary[Category], Dictionary[Type],"",0,1)</f>
        <v>Expenses</v>
      </c>
      <c r="F6" s="16">
        <v>45306</v>
      </c>
      <c r="G6">
        <f>IF(ISBLANK(Operations[[#This Row],[Date]]), "",MONTH(F6))</f>
        <v>1</v>
      </c>
      <c r="H6">
        <f>IF(ISBLANK(Operations[[#This Row],[Date]]), "",YEAR(F6))</f>
        <v>2024</v>
      </c>
    </row>
    <row r="7" spans="1:10" x14ac:dyDescent="0.25">
      <c r="A7" s="18">
        <v>-120</v>
      </c>
      <c r="B7" s="15" t="s">
        <v>22</v>
      </c>
      <c r="C7" s="15" t="s">
        <v>24</v>
      </c>
      <c r="D7" s="15" t="s">
        <v>2</v>
      </c>
      <c r="E7" s="15" t="str">
        <f>_xlfn.XLOOKUP(D7,Dictionary[Category], Dictionary[Type],"",0,1)</f>
        <v>Expenses</v>
      </c>
      <c r="F7" s="16">
        <v>45307</v>
      </c>
      <c r="G7">
        <f>IF(ISBLANK(Operations[[#This Row],[Date]]), "",MONTH(F7))</f>
        <v>1</v>
      </c>
      <c r="H7">
        <f>IF(ISBLANK(Operations[[#This Row],[Date]]), "",YEAR(F7))</f>
        <v>2024</v>
      </c>
    </row>
    <row r="8" spans="1:10" x14ac:dyDescent="0.25">
      <c r="A8" s="18">
        <v>500</v>
      </c>
      <c r="B8" s="15" t="s">
        <v>22</v>
      </c>
      <c r="C8" s="15" t="s">
        <v>24</v>
      </c>
      <c r="D8" s="15" t="s">
        <v>19</v>
      </c>
      <c r="E8" s="15" t="str">
        <f>_xlfn.XLOOKUP(D8,Dictionary[Category], Dictionary[Type],"",0,1)</f>
        <v>Income</v>
      </c>
      <c r="F8" s="16">
        <v>45308</v>
      </c>
      <c r="G8">
        <f>IF(ISBLANK(Operations[[#This Row],[Date]]), "",MONTH(F8))</f>
        <v>1</v>
      </c>
      <c r="H8">
        <f>IF(ISBLANK(Operations[[#This Row],[Date]]), "",YEAR(F8))</f>
        <v>2024</v>
      </c>
    </row>
    <row r="9" spans="1:10" x14ac:dyDescent="0.25">
      <c r="A9" s="18">
        <v>-500</v>
      </c>
      <c r="B9" s="15" t="s">
        <v>22</v>
      </c>
      <c r="C9" s="15" t="s">
        <v>26</v>
      </c>
      <c r="D9" s="15" t="s">
        <v>12</v>
      </c>
      <c r="E9" s="15" t="str">
        <f>_xlfn.XLOOKUP(D9,Dictionary[Category], Dictionary[Type],"",0,1)</f>
        <v>Expenses</v>
      </c>
      <c r="F9" s="16">
        <v>45308</v>
      </c>
      <c r="G9">
        <f>IF(ISBLANK(Operations[[#This Row],[Date]]), "",MONTH(F9))</f>
        <v>1</v>
      </c>
      <c r="H9">
        <f>IF(ISBLANK(Operations[[#This Row],[Date]]), "",YEAR(F9))</f>
        <v>2024</v>
      </c>
    </row>
    <row r="10" spans="1:10" x14ac:dyDescent="0.25">
      <c r="A10" s="18">
        <v>250</v>
      </c>
      <c r="B10" s="15" t="s">
        <v>23</v>
      </c>
      <c r="C10" s="15" t="s">
        <v>27</v>
      </c>
      <c r="D10" s="15" t="s">
        <v>15</v>
      </c>
      <c r="E10" s="15" t="str">
        <f>_xlfn.XLOOKUP(D10,Dictionary[Category], Dictionary[Type],"",0,1)</f>
        <v>Income</v>
      </c>
      <c r="F10" s="16">
        <v>45308</v>
      </c>
      <c r="G10">
        <f>IF(ISBLANK(Operations[[#This Row],[Date]]), "",MONTH(F10))</f>
        <v>1</v>
      </c>
      <c r="H10">
        <f>IF(ISBLANK(Operations[[#This Row],[Date]]), "",YEAR(F10))</f>
        <v>2024</v>
      </c>
    </row>
    <row r="11" spans="1:10" x14ac:dyDescent="0.25">
      <c r="A11" s="18">
        <v>-25</v>
      </c>
      <c r="B11" s="15" t="s">
        <v>22</v>
      </c>
      <c r="C11" s="15" t="s">
        <v>25</v>
      </c>
      <c r="D11" s="15" t="s">
        <v>3</v>
      </c>
      <c r="E11" s="15" t="str">
        <f>_xlfn.XLOOKUP(D11,Dictionary[Category], Dictionary[Type],"",0,1)</f>
        <v>Expenses</v>
      </c>
      <c r="F11" s="16">
        <v>45310</v>
      </c>
      <c r="G11">
        <f>IF(ISBLANK(Operations[[#This Row],[Date]]), "",MONTH(F11))</f>
        <v>1</v>
      </c>
      <c r="H11">
        <f>IF(ISBLANK(Operations[[#This Row],[Date]]), "",YEAR(F11))</f>
        <v>2024</v>
      </c>
    </row>
    <row r="12" spans="1:10" x14ac:dyDescent="0.25">
      <c r="A12" s="18">
        <v>-80</v>
      </c>
      <c r="B12" s="15" t="s">
        <v>22</v>
      </c>
      <c r="C12" s="15" t="s">
        <v>24</v>
      </c>
      <c r="D12" s="15" t="s">
        <v>6</v>
      </c>
      <c r="E12" s="15" t="str">
        <f>_xlfn.XLOOKUP(D12,Dictionary[Category], Dictionary[Type],"",0,1)</f>
        <v>Expenses</v>
      </c>
      <c r="F12" s="16">
        <v>45311</v>
      </c>
      <c r="G12">
        <f>IF(ISBLANK(Operations[[#This Row],[Date]]), "",MONTH(F12))</f>
        <v>1</v>
      </c>
      <c r="H12">
        <f>IF(ISBLANK(Operations[[#This Row],[Date]]), "",YEAR(F12))</f>
        <v>2024</v>
      </c>
    </row>
    <row r="13" spans="1:10" x14ac:dyDescent="0.25">
      <c r="A13" s="18">
        <v>150</v>
      </c>
      <c r="B13" s="15" t="s">
        <v>23</v>
      </c>
      <c r="C13" s="15" t="s">
        <v>24</v>
      </c>
      <c r="D13" s="15" t="s">
        <v>19</v>
      </c>
      <c r="E13" s="15" t="str">
        <f>_xlfn.XLOOKUP(D13,Dictionary[Category], Dictionary[Type],"",0,1)</f>
        <v>Income</v>
      </c>
      <c r="F13" s="16">
        <v>45312</v>
      </c>
      <c r="G13">
        <f>IF(ISBLANK(Operations[[#This Row],[Date]]), "",MONTH(F13))</f>
        <v>1</v>
      </c>
      <c r="H13">
        <f>IF(ISBLANK(Operations[[#This Row],[Date]]), "",YEAR(F13))</f>
        <v>2024</v>
      </c>
    </row>
    <row r="14" spans="1:10" x14ac:dyDescent="0.25">
      <c r="A14" s="18">
        <v>-80</v>
      </c>
      <c r="B14" s="15" t="s">
        <v>23</v>
      </c>
      <c r="C14" s="15" t="s">
        <v>24</v>
      </c>
      <c r="D14" s="15" t="s">
        <v>5</v>
      </c>
      <c r="E14" s="15" t="str">
        <f>_xlfn.XLOOKUP(D14,Dictionary[Category], Dictionary[Type],"",0,1)</f>
        <v>Expenses</v>
      </c>
      <c r="F14" s="16">
        <v>45313</v>
      </c>
      <c r="G14">
        <f>IF(ISBLANK(Operations[[#This Row],[Date]]), "",MONTH(F14))</f>
        <v>1</v>
      </c>
      <c r="H14">
        <f>IF(ISBLANK(Operations[[#This Row],[Date]]), "",YEAR(F14))</f>
        <v>2024</v>
      </c>
    </row>
    <row r="15" spans="1:10" x14ac:dyDescent="0.25">
      <c r="A15" s="18">
        <v>-60</v>
      </c>
      <c r="B15" s="15" t="s">
        <v>23</v>
      </c>
      <c r="C15" s="15" t="s">
        <v>24</v>
      </c>
      <c r="D15" s="15" t="s">
        <v>3</v>
      </c>
      <c r="E15" s="15" t="str">
        <f>_xlfn.XLOOKUP(D15,Dictionary[Category], Dictionary[Type],"",0,1)</f>
        <v>Expenses</v>
      </c>
      <c r="F15" s="16">
        <v>45314</v>
      </c>
      <c r="G15">
        <f>IF(ISBLANK(Operations[[#This Row],[Date]]), "",MONTH(F15))</f>
        <v>1</v>
      </c>
      <c r="H15">
        <f>IF(ISBLANK(Operations[[#This Row],[Date]]), "",YEAR(F15))</f>
        <v>2024</v>
      </c>
    </row>
    <row r="16" spans="1:10" x14ac:dyDescent="0.25">
      <c r="A16" s="18">
        <v>-100</v>
      </c>
      <c r="B16" s="15" t="s">
        <v>22</v>
      </c>
      <c r="C16" s="15" t="s">
        <v>24</v>
      </c>
      <c r="D16" s="15" t="s">
        <v>9</v>
      </c>
      <c r="E16" s="15" t="str">
        <f>_xlfn.XLOOKUP(D16,Dictionary[Category], Dictionary[Type],"",0,1)</f>
        <v>Expenses</v>
      </c>
      <c r="F16" s="16">
        <v>45315</v>
      </c>
      <c r="G16">
        <f>IF(ISBLANK(Operations[[#This Row],[Date]]), "",MONTH(F16))</f>
        <v>1</v>
      </c>
      <c r="H16">
        <f>IF(ISBLANK(Operations[[#This Row],[Date]]), "",YEAR(F16))</f>
        <v>2024</v>
      </c>
    </row>
    <row r="17" spans="1:8" x14ac:dyDescent="0.25">
      <c r="A17" s="18">
        <v>-50</v>
      </c>
      <c r="B17" s="15" t="s">
        <v>29</v>
      </c>
      <c r="C17" s="15" t="s">
        <v>30</v>
      </c>
      <c r="D17" s="15" t="s">
        <v>2</v>
      </c>
      <c r="E17" s="15" t="str">
        <f>_xlfn.XLOOKUP(D17,Dictionary[Category], Dictionary[Type],"",0,1)</f>
        <v>Expenses</v>
      </c>
      <c r="F17" s="16">
        <v>45316</v>
      </c>
      <c r="G17">
        <f>IF(ISBLANK(Operations[[#This Row],[Date]]), "",MONTH(F17))</f>
        <v>1</v>
      </c>
      <c r="H17">
        <f>IF(ISBLANK(Operations[[#This Row],[Date]]), "",YEAR(F17))</f>
        <v>2024</v>
      </c>
    </row>
    <row r="18" spans="1:8" x14ac:dyDescent="0.25">
      <c r="A18" s="18">
        <v>150</v>
      </c>
      <c r="B18" s="15" t="s">
        <v>29</v>
      </c>
      <c r="C18" s="15" t="s">
        <v>28</v>
      </c>
      <c r="D18" s="15" t="s">
        <v>19</v>
      </c>
      <c r="E18" s="15" t="str">
        <f>_xlfn.XLOOKUP(D18,Dictionary[Category], Dictionary[Type],"",0,1)</f>
        <v>Income</v>
      </c>
      <c r="F18" s="16">
        <v>45316</v>
      </c>
      <c r="G18">
        <f>IF(ISBLANK(Operations[[#This Row],[Date]]), "",MONTH(F18))</f>
        <v>1</v>
      </c>
      <c r="H18">
        <f>IF(ISBLANK(Operations[[#This Row],[Date]]), "",YEAR(F18))</f>
        <v>2024</v>
      </c>
    </row>
    <row r="19" spans="1:8" x14ac:dyDescent="0.25">
      <c r="A19" s="18">
        <v>5.5</v>
      </c>
      <c r="B19" s="15" t="s">
        <v>23</v>
      </c>
      <c r="C19" s="15" t="s">
        <v>27</v>
      </c>
      <c r="D19" s="15" t="s">
        <v>16</v>
      </c>
      <c r="E19" s="15" t="str">
        <f>_xlfn.XLOOKUP(D19,Dictionary[Category], Dictionary[Type],"",0,1)</f>
        <v>Income</v>
      </c>
      <c r="F19" s="16">
        <v>45317</v>
      </c>
      <c r="G19">
        <f>IF(ISBLANK(Operations[[#This Row],[Date]]), "",MONTH(F19))</f>
        <v>1</v>
      </c>
      <c r="H19">
        <f>IF(ISBLANK(Operations[[#This Row],[Date]]), "",YEAR(F19))</f>
        <v>2024</v>
      </c>
    </row>
    <row r="20" spans="1:8" x14ac:dyDescent="0.25">
      <c r="A20" s="18">
        <v>100</v>
      </c>
      <c r="B20" s="15" t="s">
        <v>22</v>
      </c>
      <c r="C20" s="15" t="s">
        <v>26</v>
      </c>
      <c r="D20" s="15" t="s">
        <v>16</v>
      </c>
      <c r="E20" s="15" t="str">
        <f>_xlfn.XLOOKUP(D20,Dictionary[Category], Dictionary[Type],"",0,1)</f>
        <v>Income</v>
      </c>
      <c r="F20" s="16">
        <v>45318</v>
      </c>
      <c r="G20">
        <f>IF(ISBLANK(Operations[[#This Row],[Date]]), "",MONTH(F20))</f>
        <v>1</v>
      </c>
      <c r="H20">
        <f>IF(ISBLANK(Operations[[#This Row],[Date]]), "",YEAR(F20))</f>
        <v>2024</v>
      </c>
    </row>
    <row r="21" spans="1:8" x14ac:dyDescent="0.25">
      <c r="A21" s="18">
        <v>-100</v>
      </c>
      <c r="B21" s="15" t="s">
        <v>22</v>
      </c>
      <c r="C21" s="15" t="s">
        <v>24</v>
      </c>
      <c r="D21" s="15" t="s">
        <v>7</v>
      </c>
      <c r="E21" s="15" t="str">
        <f>_xlfn.XLOOKUP(D21,Dictionary[Category], Dictionary[Type],"",0,1)</f>
        <v>Expenses</v>
      </c>
      <c r="F21" s="16">
        <v>45319</v>
      </c>
      <c r="G21">
        <f>IF(ISBLANK(Operations[[#This Row],[Date]]), "",MONTH(F21))</f>
        <v>1</v>
      </c>
      <c r="H21">
        <f>IF(ISBLANK(Operations[[#This Row],[Date]]), "",YEAR(F21))</f>
        <v>2024</v>
      </c>
    </row>
    <row r="22" spans="1:8" x14ac:dyDescent="0.25">
      <c r="A22" s="18">
        <v>200</v>
      </c>
      <c r="B22" s="15" t="s">
        <v>23</v>
      </c>
      <c r="C22" s="15" t="s">
        <v>24</v>
      </c>
      <c r="D22" s="15" t="s">
        <v>19</v>
      </c>
      <c r="E22" s="15" t="str">
        <f>_xlfn.XLOOKUP(D22,Dictionary[Category], Dictionary[Type],"",0,1)</f>
        <v>Income</v>
      </c>
      <c r="F22" s="16">
        <v>45324</v>
      </c>
      <c r="G22">
        <f>IF(ISBLANK(Operations[[#This Row],[Date]]), "",MONTH(F22))</f>
        <v>2</v>
      </c>
      <c r="H22">
        <f>IF(ISBLANK(Operations[[#This Row],[Date]]), "",YEAR(F22))</f>
        <v>2024</v>
      </c>
    </row>
    <row r="23" spans="1:8" x14ac:dyDescent="0.25">
      <c r="A23" s="18">
        <v>-15</v>
      </c>
      <c r="B23" s="15" t="s">
        <v>23</v>
      </c>
      <c r="C23" s="15" t="s">
        <v>24</v>
      </c>
      <c r="D23" s="15" t="s">
        <v>12</v>
      </c>
      <c r="E23" s="15" t="str">
        <f>_xlfn.XLOOKUP(D23,Dictionary[Category], Dictionary[Type],"",0,1)</f>
        <v>Expenses</v>
      </c>
      <c r="F23" s="16">
        <v>45326</v>
      </c>
      <c r="G23">
        <f>IF(ISBLANK(Operations[[#This Row],[Date]]), "",MONTH(F23))</f>
        <v>2</v>
      </c>
      <c r="H23">
        <f>IF(ISBLANK(Operations[[#This Row],[Date]]), "",YEAR(F23))</f>
        <v>2024</v>
      </c>
    </row>
    <row r="24" spans="1:8" x14ac:dyDescent="0.25">
      <c r="A24" s="18">
        <v>-5.5</v>
      </c>
      <c r="B24" s="15" t="s">
        <v>22</v>
      </c>
      <c r="C24" s="15" t="s">
        <v>24</v>
      </c>
      <c r="D24" s="15" t="s">
        <v>2</v>
      </c>
      <c r="E24" s="15" t="str">
        <f>_xlfn.XLOOKUP(D24,Dictionary[Category], Dictionary[Type],"",0,1)</f>
        <v>Expenses</v>
      </c>
      <c r="F24" s="16">
        <v>45328</v>
      </c>
      <c r="G24">
        <f>IF(ISBLANK(Operations[[#This Row],[Date]]), "",MONTH(F24))</f>
        <v>2</v>
      </c>
      <c r="H24">
        <f>IF(ISBLANK(Operations[[#This Row],[Date]]), "",YEAR(F24))</f>
        <v>2024</v>
      </c>
    </row>
    <row r="25" spans="1:8" x14ac:dyDescent="0.25">
      <c r="A25" s="18">
        <v>4500</v>
      </c>
      <c r="B25" s="15" t="s">
        <v>22</v>
      </c>
      <c r="C25" s="15" t="s">
        <v>24</v>
      </c>
      <c r="D25" s="15" t="s">
        <v>14</v>
      </c>
      <c r="E25" s="15" t="str">
        <f>_xlfn.XLOOKUP(D25,Dictionary[Category], Dictionary[Type],"",0,1)</f>
        <v>Income</v>
      </c>
      <c r="F25" s="16">
        <v>45332</v>
      </c>
      <c r="G25">
        <f>IF(ISBLANK(Operations[[#This Row],[Date]]), "",MONTH(F25))</f>
        <v>2</v>
      </c>
      <c r="H25">
        <f>IF(ISBLANK(Operations[[#This Row],[Date]]), "",YEAR(F25))</f>
        <v>2024</v>
      </c>
    </row>
    <row r="26" spans="1:8" x14ac:dyDescent="0.25">
      <c r="A26" s="18">
        <v>-2000</v>
      </c>
      <c r="B26" s="15" t="s">
        <v>22</v>
      </c>
      <c r="C26" s="15" t="s">
        <v>24</v>
      </c>
      <c r="D26" s="15" t="s">
        <v>46</v>
      </c>
      <c r="E26" s="15" t="str">
        <f>_xlfn.XLOOKUP(D26,Dictionary[Category], Dictionary[Type],"",0,1)</f>
        <v>Expenses</v>
      </c>
      <c r="F26" s="16">
        <v>45333</v>
      </c>
      <c r="G26">
        <f>IF(ISBLANK(Operations[[#This Row],[Date]]), "",MONTH(F26))</f>
        <v>2</v>
      </c>
      <c r="H26">
        <f>IF(ISBLANK(Operations[[#This Row],[Date]]), "",YEAR(F26))</f>
        <v>2024</v>
      </c>
    </row>
    <row r="27" spans="1:8" x14ac:dyDescent="0.25">
      <c r="A27" s="18">
        <v>-150</v>
      </c>
      <c r="B27" s="15" t="s">
        <v>22</v>
      </c>
      <c r="C27" s="15" t="s">
        <v>24</v>
      </c>
      <c r="D27" s="15" t="s">
        <v>3</v>
      </c>
      <c r="E27" s="15" t="str">
        <f>_xlfn.XLOOKUP(D27,Dictionary[Category], Dictionary[Type],"",0,1)</f>
        <v>Expenses</v>
      </c>
      <c r="F27" s="16">
        <v>45335</v>
      </c>
      <c r="G27">
        <f>IF(ISBLANK(Operations[[#This Row],[Date]]), "",MONTH(F27))</f>
        <v>2</v>
      </c>
      <c r="H27">
        <f>IF(ISBLANK(Operations[[#This Row],[Date]]), "",YEAR(F27))</f>
        <v>2024</v>
      </c>
    </row>
    <row r="28" spans="1:8" x14ac:dyDescent="0.25">
      <c r="A28" s="18">
        <v>500</v>
      </c>
      <c r="B28" s="15" t="s">
        <v>22</v>
      </c>
      <c r="C28" s="15" t="s">
        <v>24</v>
      </c>
      <c r="D28" s="15" t="s">
        <v>19</v>
      </c>
      <c r="E28" s="15" t="str">
        <f>_xlfn.XLOOKUP(D28,Dictionary[Category], Dictionary[Type],"",0,1)</f>
        <v>Income</v>
      </c>
      <c r="F28" s="16">
        <v>45336</v>
      </c>
      <c r="G28">
        <f>IF(ISBLANK(Operations[[#This Row],[Date]]), "",MONTH(F28))</f>
        <v>2</v>
      </c>
      <c r="H28">
        <f>IF(ISBLANK(Operations[[#This Row],[Date]]), "",YEAR(F28))</f>
        <v>2024</v>
      </c>
    </row>
    <row r="29" spans="1:8" x14ac:dyDescent="0.25">
      <c r="A29" s="18">
        <v>-300</v>
      </c>
      <c r="B29" s="15" t="s">
        <v>22</v>
      </c>
      <c r="C29" s="15" t="s">
        <v>24</v>
      </c>
      <c r="D29" s="15" t="s">
        <v>2</v>
      </c>
      <c r="E29" s="15" t="str">
        <f>_xlfn.XLOOKUP(D29,Dictionary[Category], Dictionary[Type],"",0,1)</f>
        <v>Expenses</v>
      </c>
      <c r="F29" s="16">
        <v>45336</v>
      </c>
      <c r="G29">
        <f>IF(ISBLANK(Operations[[#This Row],[Date]]), "",MONTH(F29))</f>
        <v>2</v>
      </c>
      <c r="H29">
        <f>IF(ISBLANK(Operations[[#This Row],[Date]]), "",YEAR(F29))</f>
        <v>2024</v>
      </c>
    </row>
    <row r="30" spans="1:8" x14ac:dyDescent="0.25">
      <c r="A30" s="18">
        <v>-500</v>
      </c>
      <c r="B30" s="15" t="s">
        <v>22</v>
      </c>
      <c r="C30" s="15" t="s">
        <v>26</v>
      </c>
      <c r="D30" s="15" t="s">
        <v>12</v>
      </c>
      <c r="E30" s="15" t="str">
        <f>_xlfn.XLOOKUP(D30,Dictionary[Category], Dictionary[Type],"",0,1)</f>
        <v>Expenses</v>
      </c>
      <c r="F30" s="16">
        <v>45336</v>
      </c>
      <c r="G30">
        <f>IF(ISBLANK(Operations[[#This Row],[Date]]), "",MONTH(F30))</f>
        <v>2</v>
      </c>
      <c r="H30">
        <f>IF(ISBLANK(Operations[[#This Row],[Date]]), "",YEAR(F30))</f>
        <v>2024</v>
      </c>
    </row>
    <row r="31" spans="1:8" x14ac:dyDescent="0.25">
      <c r="A31" s="18">
        <v>-200</v>
      </c>
      <c r="B31" s="15" t="s">
        <v>29</v>
      </c>
      <c r="C31" s="15" t="s">
        <v>28</v>
      </c>
      <c r="D31" s="15" t="s">
        <v>12</v>
      </c>
      <c r="E31" s="15" t="str">
        <f>_xlfn.XLOOKUP(D31,Dictionary[Category], Dictionary[Type],"",0,1)</f>
        <v>Expenses</v>
      </c>
      <c r="F31" s="16">
        <v>45336</v>
      </c>
      <c r="G31">
        <f>IF(ISBLANK(Operations[[#This Row],[Date]]), "",MONTH(F31))</f>
        <v>2</v>
      </c>
      <c r="H31">
        <f>IF(ISBLANK(Operations[[#This Row],[Date]]), "",YEAR(F31))</f>
        <v>2024</v>
      </c>
    </row>
    <row r="32" spans="1:8" x14ac:dyDescent="0.25">
      <c r="A32" s="18">
        <v>175</v>
      </c>
      <c r="B32" s="15" t="s">
        <v>22</v>
      </c>
      <c r="C32" s="15" t="s">
        <v>25</v>
      </c>
      <c r="D32" s="15" t="s">
        <v>43</v>
      </c>
      <c r="E32" s="15" t="str">
        <f>_xlfn.XLOOKUP(D32,Dictionary[Category], Dictionary[Type],"",0,1)</f>
        <v>Transaction</v>
      </c>
      <c r="F32" s="16">
        <v>45337</v>
      </c>
      <c r="G32">
        <f>IF(ISBLANK(Operations[[#This Row],[Date]]), "",MONTH(F32))</f>
        <v>2</v>
      </c>
      <c r="H32">
        <f>IF(ISBLANK(Operations[[#This Row],[Date]]), "",YEAR(F32))</f>
        <v>2024</v>
      </c>
    </row>
    <row r="33" spans="1:8" x14ac:dyDescent="0.25">
      <c r="A33" s="18">
        <v>-175</v>
      </c>
      <c r="B33" s="15" t="s">
        <v>22</v>
      </c>
      <c r="C33" s="15" t="s">
        <v>24</v>
      </c>
      <c r="D33" s="15" t="s">
        <v>43</v>
      </c>
      <c r="E33" s="15" t="str">
        <f>_xlfn.XLOOKUP(D33,Dictionary[Category], Dictionary[Type],"",0,1)</f>
        <v>Transaction</v>
      </c>
      <c r="F33" s="16">
        <v>45337</v>
      </c>
      <c r="G33">
        <f>IF(ISBLANK(Operations[[#This Row],[Date]]), "",MONTH(F33))</f>
        <v>2</v>
      </c>
      <c r="H33">
        <f>IF(ISBLANK(Operations[[#This Row],[Date]]), "",YEAR(F33))</f>
        <v>2024</v>
      </c>
    </row>
    <row r="34" spans="1:8" x14ac:dyDescent="0.25">
      <c r="A34" s="18">
        <v>-100</v>
      </c>
      <c r="B34" s="15" t="s">
        <v>22</v>
      </c>
      <c r="C34" s="15" t="s">
        <v>24</v>
      </c>
      <c r="D34" s="15" t="s">
        <v>9</v>
      </c>
      <c r="E34" s="15" t="str">
        <f>_xlfn.XLOOKUP(D34,Dictionary[Category], Dictionary[Type],"",0,1)</f>
        <v>Expenses</v>
      </c>
      <c r="F34" s="16">
        <v>45339</v>
      </c>
      <c r="G34">
        <f>IF(ISBLANK(Operations[[#This Row],[Date]]), "",MONTH(F34))</f>
        <v>2</v>
      </c>
      <c r="H34">
        <f>IF(ISBLANK(Operations[[#This Row],[Date]]), "",YEAR(F34))</f>
        <v>2024</v>
      </c>
    </row>
    <row r="35" spans="1:8" x14ac:dyDescent="0.25">
      <c r="A35" s="18">
        <v>-80</v>
      </c>
      <c r="B35" s="15" t="s">
        <v>22</v>
      </c>
      <c r="C35" s="15" t="s">
        <v>24</v>
      </c>
      <c r="D35" s="15" t="s">
        <v>6</v>
      </c>
      <c r="E35" s="15" t="str">
        <f>_xlfn.XLOOKUP(D35,Dictionary[Category], Dictionary[Type],"",0,1)</f>
        <v>Expenses</v>
      </c>
      <c r="F35" s="16">
        <v>45342</v>
      </c>
      <c r="G35">
        <f>IF(ISBLANK(Operations[[#This Row],[Date]]), "",MONTH(F35))</f>
        <v>2</v>
      </c>
      <c r="H35">
        <f>IF(ISBLANK(Operations[[#This Row],[Date]]), "",YEAR(F35))</f>
        <v>2024</v>
      </c>
    </row>
    <row r="36" spans="1:8" x14ac:dyDescent="0.25">
      <c r="A36" s="18">
        <v>150</v>
      </c>
      <c r="B36" s="15" t="s">
        <v>29</v>
      </c>
      <c r="C36" s="15" t="s">
        <v>28</v>
      </c>
      <c r="D36" s="15" t="s">
        <v>19</v>
      </c>
      <c r="E36" s="15" t="str">
        <f>_xlfn.XLOOKUP(D36,Dictionary[Category], Dictionary[Type],"",0,1)</f>
        <v>Income</v>
      </c>
      <c r="F36" s="16">
        <v>45344</v>
      </c>
      <c r="G36">
        <f>IF(ISBLANK(Operations[[#This Row],[Date]]), "",MONTH(F36))</f>
        <v>2</v>
      </c>
      <c r="H36">
        <f>IF(ISBLANK(Operations[[#This Row],[Date]]), "",YEAR(F36))</f>
        <v>2024</v>
      </c>
    </row>
    <row r="37" spans="1:8" x14ac:dyDescent="0.25">
      <c r="A37" s="18">
        <v>100</v>
      </c>
      <c r="B37" s="15" t="s">
        <v>29</v>
      </c>
      <c r="C37" s="15" t="s">
        <v>30</v>
      </c>
      <c r="D37" s="15" t="s">
        <v>19</v>
      </c>
      <c r="E37" s="15" t="str">
        <f>_xlfn.XLOOKUP(D37,Dictionary[Category], Dictionary[Type],"",0,1)</f>
        <v>Income</v>
      </c>
      <c r="F37" s="16">
        <v>45345</v>
      </c>
      <c r="G37">
        <f>IF(ISBLANK(Operations[[#This Row],[Date]]), "",MONTH(F37))</f>
        <v>2</v>
      </c>
      <c r="H37">
        <f>IF(ISBLANK(Operations[[#This Row],[Date]]), "",YEAR(F37))</f>
        <v>2024</v>
      </c>
    </row>
    <row r="38" spans="1:8" x14ac:dyDescent="0.25">
      <c r="A38" s="18">
        <v>-200</v>
      </c>
      <c r="B38" s="15" t="s">
        <v>29</v>
      </c>
      <c r="C38" s="15" t="s">
        <v>28</v>
      </c>
      <c r="D38" s="15" t="s">
        <v>3</v>
      </c>
      <c r="E38" s="15" t="str">
        <f>_xlfn.XLOOKUP(D38,Dictionary[Category], Dictionary[Type],"",0,1)</f>
        <v>Expenses</v>
      </c>
      <c r="F38" s="16">
        <v>45346</v>
      </c>
      <c r="G38">
        <f>IF(ISBLANK(Operations[[#This Row],[Date]]), "",MONTH(F38))</f>
        <v>2</v>
      </c>
      <c r="H38">
        <f>IF(ISBLANK(Operations[[#This Row],[Date]]), "",YEAR(F38))</f>
        <v>2024</v>
      </c>
    </row>
    <row r="39" spans="1:8" x14ac:dyDescent="0.25">
      <c r="A39" s="18">
        <v>1000</v>
      </c>
      <c r="B39" s="15" t="s">
        <v>29</v>
      </c>
      <c r="C39" s="15" t="s">
        <v>28</v>
      </c>
      <c r="D39" s="15" t="s">
        <v>19</v>
      </c>
      <c r="E39" s="15" t="str">
        <f>_xlfn.XLOOKUP(D39,Dictionary[Category], Dictionary[Type],"",0,1)</f>
        <v>Income</v>
      </c>
      <c r="F39" s="16">
        <v>45347</v>
      </c>
      <c r="G39">
        <f>IF(ISBLANK(Operations[[#This Row],[Date]]), "",MONTH(F39))</f>
        <v>2</v>
      </c>
      <c r="H39">
        <f>IF(ISBLANK(Operations[[#This Row],[Date]]), "",YEAR(F39))</f>
        <v>2024</v>
      </c>
    </row>
    <row r="40" spans="1:8" x14ac:dyDescent="0.25">
      <c r="A40" s="18">
        <v>-250</v>
      </c>
      <c r="B40" s="15" t="s">
        <v>29</v>
      </c>
      <c r="C40" s="15" t="s">
        <v>28</v>
      </c>
      <c r="D40" s="15" t="s">
        <v>7</v>
      </c>
      <c r="E40" s="15" t="str">
        <f>_xlfn.XLOOKUP(D40,Dictionary[Category], Dictionary[Type],"",0,1)</f>
        <v>Expenses</v>
      </c>
      <c r="F40" s="16">
        <v>45347</v>
      </c>
      <c r="G40">
        <f>IF(ISBLANK(Operations[[#This Row],[Date]]), "",MONTH(F40))</f>
        <v>2</v>
      </c>
      <c r="H40">
        <f>IF(ISBLANK(Operations[[#This Row],[Date]]), "",YEAR(F40))</f>
        <v>2024</v>
      </c>
    </row>
    <row r="41" spans="1:8" x14ac:dyDescent="0.25">
      <c r="A41" s="18">
        <v>-100</v>
      </c>
      <c r="B41" s="15" t="s">
        <v>23</v>
      </c>
      <c r="C41" s="15" t="s">
        <v>24</v>
      </c>
      <c r="D41" s="15" t="s">
        <v>2</v>
      </c>
      <c r="E41" s="15" t="str">
        <f>_xlfn.XLOOKUP(D41,Dictionary[Category], Dictionary[Type],"",0,1)</f>
        <v>Expenses</v>
      </c>
      <c r="F41" s="16">
        <v>45348</v>
      </c>
      <c r="G41">
        <f>IF(ISBLANK(Operations[[#This Row],[Date]]), "",MONTH(F41))</f>
        <v>2</v>
      </c>
      <c r="H41">
        <f>IF(ISBLANK(Operations[[#This Row],[Date]]), "",YEAR(F41))</f>
        <v>2024</v>
      </c>
    </row>
    <row r="42" spans="1:8" x14ac:dyDescent="0.25">
      <c r="A42" s="18">
        <v>-50</v>
      </c>
      <c r="B42" s="15" t="s">
        <v>23</v>
      </c>
      <c r="C42" s="15" t="s">
        <v>24</v>
      </c>
      <c r="D42" s="15" t="s">
        <v>12</v>
      </c>
      <c r="E42" s="15" t="str">
        <f>_xlfn.XLOOKUP(D42,Dictionary[Category], Dictionary[Type],"",0,1)</f>
        <v>Expenses</v>
      </c>
      <c r="F42" s="16">
        <v>45348</v>
      </c>
      <c r="G42">
        <f>IF(ISBLANK(Operations[[#This Row],[Date]]), "",MONTH(F42))</f>
        <v>2</v>
      </c>
      <c r="H42">
        <f>IF(ISBLANK(Operations[[#This Row],[Date]]), "",YEAR(F42))</f>
        <v>2024</v>
      </c>
    </row>
    <row r="43" spans="1:8" x14ac:dyDescent="0.25">
      <c r="A43" s="18">
        <v>15</v>
      </c>
      <c r="B43" s="15" t="s">
        <v>23</v>
      </c>
      <c r="C43" s="15" t="s">
        <v>27</v>
      </c>
      <c r="D43" s="15" t="s">
        <v>16</v>
      </c>
      <c r="E43" s="15" t="str">
        <f>_xlfn.XLOOKUP(D43,Dictionary[Category], Dictionary[Type],"",0,1)</f>
        <v>Income</v>
      </c>
      <c r="F43" s="16">
        <v>45349</v>
      </c>
      <c r="G43">
        <f>IF(ISBLANK(Operations[[#This Row],[Date]]), "",MONTH(F43))</f>
        <v>2</v>
      </c>
      <c r="H43">
        <f>IF(ISBLANK(Operations[[#This Row],[Date]]), "",YEAR(F43))</f>
        <v>2024</v>
      </c>
    </row>
    <row r="44" spans="1:8" x14ac:dyDescent="0.25">
      <c r="A44" s="18">
        <v>-150</v>
      </c>
      <c r="B44" s="15" t="s">
        <v>22</v>
      </c>
      <c r="C44" s="15" t="s">
        <v>24</v>
      </c>
      <c r="D44" s="15" t="s">
        <v>8</v>
      </c>
      <c r="E44" s="15" t="str">
        <f>_xlfn.XLOOKUP(D44,Dictionary[Category], Dictionary[Type],"",0,1)</f>
        <v>Expenses</v>
      </c>
      <c r="F44" s="16">
        <v>45350</v>
      </c>
      <c r="G44">
        <f>IF(ISBLANK(Operations[[#This Row],[Date]]), "",MONTH(F44))</f>
        <v>2</v>
      </c>
      <c r="H44">
        <f>IF(ISBLANK(Operations[[#This Row],[Date]]), "",YEAR(F44))</f>
        <v>2024</v>
      </c>
    </row>
    <row r="45" spans="1:8" x14ac:dyDescent="0.25">
      <c r="A45" s="18">
        <v>100</v>
      </c>
      <c r="B45" s="15" t="s">
        <v>22</v>
      </c>
      <c r="C45" s="15" t="s">
        <v>26</v>
      </c>
      <c r="D45" s="15" t="s">
        <v>16</v>
      </c>
      <c r="E45" s="15" t="str">
        <f>_xlfn.XLOOKUP(D45,Dictionary[Category], Dictionary[Type],"",0,1)</f>
        <v>Income</v>
      </c>
      <c r="F45" s="16">
        <v>45350</v>
      </c>
      <c r="G45">
        <f>IF(ISBLANK(Operations[[#This Row],[Date]]), "",MONTH(F45))</f>
        <v>2</v>
      </c>
      <c r="H45">
        <f>IF(ISBLANK(Operations[[#This Row],[Date]]), "",YEAR(F45))</f>
        <v>2024</v>
      </c>
    </row>
    <row r="46" spans="1:8" x14ac:dyDescent="0.25">
      <c r="A46" s="18">
        <v>-25</v>
      </c>
      <c r="B46" s="15" t="s">
        <v>22</v>
      </c>
      <c r="C46" s="15" t="s">
        <v>25</v>
      </c>
      <c r="D46" s="15" t="s">
        <v>2</v>
      </c>
      <c r="E46" s="15" t="str">
        <f>_xlfn.XLOOKUP(D46,Dictionary[Category], Dictionary[Type],"",0,1)</f>
        <v>Expenses</v>
      </c>
      <c r="F46" s="16">
        <v>45352</v>
      </c>
      <c r="G46">
        <f>IF(ISBLANK(Operations[[#This Row],[Date]]), "",MONTH(F46))</f>
        <v>3</v>
      </c>
      <c r="H46">
        <f>IF(ISBLANK(Operations[[#This Row],[Date]]), "",YEAR(F46))</f>
        <v>2024</v>
      </c>
    </row>
    <row r="47" spans="1:8" x14ac:dyDescent="0.25">
      <c r="A47" s="18">
        <v>-135.5</v>
      </c>
      <c r="B47" s="15" t="s">
        <v>22</v>
      </c>
      <c r="C47" s="15" t="s">
        <v>24</v>
      </c>
      <c r="D47" s="15" t="s">
        <v>2</v>
      </c>
      <c r="E47" s="15" t="str">
        <f>_xlfn.XLOOKUP(D47,Dictionary[Category], Dictionary[Type],"",0,1)</f>
        <v>Expenses</v>
      </c>
      <c r="F47" s="16">
        <v>45353</v>
      </c>
      <c r="G47">
        <f>IF(ISBLANK(Operations[[#This Row],[Date]]), "",MONTH(F47))</f>
        <v>3</v>
      </c>
      <c r="H47">
        <f>IF(ISBLANK(Operations[[#This Row],[Date]]), "",YEAR(F47))</f>
        <v>2024</v>
      </c>
    </row>
    <row r="48" spans="1:8" x14ac:dyDescent="0.25">
      <c r="A48" s="18">
        <v>-82.5</v>
      </c>
      <c r="B48" s="15" t="s">
        <v>23</v>
      </c>
      <c r="C48" s="15" t="s">
        <v>24</v>
      </c>
      <c r="D48" s="15" t="s">
        <v>6</v>
      </c>
      <c r="E48" s="15" t="str">
        <f>_xlfn.XLOOKUP(D48,Dictionary[Category], Dictionary[Type],"",0,1)</f>
        <v>Expenses</v>
      </c>
      <c r="F48" s="16">
        <v>45353</v>
      </c>
      <c r="G48">
        <f>IF(ISBLANK(Operations[[#This Row],[Date]]), "",MONTH(F48))</f>
        <v>3</v>
      </c>
      <c r="H48">
        <f>IF(ISBLANK(Operations[[#This Row],[Date]]), "",YEAR(F48))</f>
        <v>2024</v>
      </c>
    </row>
    <row r="49" spans="1:8" x14ac:dyDescent="0.25">
      <c r="A49" s="18">
        <v>-200</v>
      </c>
      <c r="B49" s="15" t="s">
        <v>22</v>
      </c>
      <c r="C49" s="15" t="s">
        <v>24</v>
      </c>
      <c r="D49" s="15" t="s">
        <v>3</v>
      </c>
      <c r="E49" s="15" t="str">
        <f>_xlfn.XLOOKUP(D49,Dictionary[Category], Dictionary[Type],"",0,1)</f>
        <v>Expenses</v>
      </c>
      <c r="F49" s="16">
        <v>45355</v>
      </c>
      <c r="G49">
        <f>IF(ISBLANK(Operations[[#This Row],[Date]]), "",MONTH(F49))</f>
        <v>3</v>
      </c>
      <c r="H49">
        <f>IF(ISBLANK(Operations[[#This Row],[Date]]), "",YEAR(F49))</f>
        <v>2024</v>
      </c>
    </row>
    <row r="50" spans="1:8" x14ac:dyDescent="0.25">
      <c r="A50" s="18">
        <v>150</v>
      </c>
      <c r="B50" s="15" t="s">
        <v>23</v>
      </c>
      <c r="C50" s="15" t="s">
        <v>24</v>
      </c>
      <c r="D50" s="15" t="s">
        <v>16</v>
      </c>
      <c r="E50" s="15" t="str">
        <f>_xlfn.XLOOKUP(D50,Dictionary[Category], Dictionary[Type],"",0,1)</f>
        <v>Income</v>
      </c>
      <c r="F50" s="16">
        <v>45357</v>
      </c>
      <c r="G50">
        <f>IF(ISBLANK(Operations[[#This Row],[Date]]), "",MONTH(F50))</f>
        <v>3</v>
      </c>
      <c r="H50">
        <f>IF(ISBLANK(Operations[[#This Row],[Date]]), "",YEAR(F50))</f>
        <v>2024</v>
      </c>
    </row>
    <row r="51" spans="1:8" x14ac:dyDescent="0.25">
      <c r="A51" s="18">
        <v>-24.49</v>
      </c>
      <c r="B51" s="15" t="s">
        <v>29</v>
      </c>
      <c r="C51" s="15" t="s">
        <v>30</v>
      </c>
      <c r="D51" s="15" t="s">
        <v>2</v>
      </c>
      <c r="E51" s="15" t="str">
        <f>_xlfn.XLOOKUP(D51,Dictionary[Category], Dictionary[Type],"",0,1)</f>
        <v>Expenses</v>
      </c>
      <c r="F51" s="16">
        <v>45359</v>
      </c>
      <c r="G51">
        <f>IF(ISBLANK(Operations[[#This Row],[Date]]), "",MONTH(F51))</f>
        <v>3</v>
      </c>
      <c r="H51">
        <f>IF(ISBLANK(Operations[[#This Row],[Date]]), "",YEAR(F51))</f>
        <v>2024</v>
      </c>
    </row>
    <row r="52" spans="1:8" x14ac:dyDescent="0.25">
      <c r="A52" s="18">
        <v>4500</v>
      </c>
      <c r="B52" s="15" t="s">
        <v>22</v>
      </c>
      <c r="C52" s="15" t="s">
        <v>24</v>
      </c>
      <c r="D52" s="15" t="s">
        <v>14</v>
      </c>
      <c r="E52" s="15" t="str">
        <f>_xlfn.XLOOKUP(D52,Dictionary[Category], Dictionary[Type],"",0,1)</f>
        <v>Income</v>
      </c>
      <c r="F52" s="16">
        <v>45361</v>
      </c>
      <c r="G52">
        <f>IF(ISBLANK(Operations[[#This Row],[Date]]), "",MONTH(F52))</f>
        <v>3</v>
      </c>
      <c r="H52">
        <f>IF(ISBLANK(Operations[[#This Row],[Date]]), "",YEAR(F52))</f>
        <v>2024</v>
      </c>
    </row>
    <row r="53" spans="1:8" x14ac:dyDescent="0.25">
      <c r="A53" s="18">
        <v>-2000</v>
      </c>
      <c r="B53" s="15" t="s">
        <v>22</v>
      </c>
      <c r="C53" s="15" t="s">
        <v>24</v>
      </c>
      <c r="D53" s="15" t="s">
        <v>46</v>
      </c>
      <c r="E53" s="15" t="str">
        <f>_xlfn.XLOOKUP(D53,Dictionary[Category], Dictionary[Type],"",0,1)</f>
        <v>Expenses</v>
      </c>
      <c r="F53" s="16">
        <v>45362</v>
      </c>
      <c r="G53">
        <f>IF(ISBLANK(Operations[[#This Row],[Date]]), "",MONTH(F53))</f>
        <v>3</v>
      </c>
      <c r="H53">
        <f>IF(ISBLANK(Operations[[#This Row],[Date]]), "",YEAR(F53))</f>
        <v>2024</v>
      </c>
    </row>
    <row r="54" spans="1:8" x14ac:dyDescent="0.25">
      <c r="A54" s="18">
        <v>-200</v>
      </c>
      <c r="B54" s="15" t="s">
        <v>22</v>
      </c>
      <c r="C54" s="15" t="s">
        <v>24</v>
      </c>
      <c r="D54" s="15" t="s">
        <v>2</v>
      </c>
      <c r="E54" s="15" t="str">
        <f>_xlfn.XLOOKUP(D54,Dictionary[Category], Dictionary[Type],"",0,1)</f>
        <v>Expenses</v>
      </c>
      <c r="F54" s="16">
        <v>45363</v>
      </c>
      <c r="G54">
        <f>IF(ISBLANK(Operations[[#This Row],[Date]]), "",MONTH(F54))</f>
        <v>3</v>
      </c>
      <c r="H54">
        <f>IF(ISBLANK(Operations[[#This Row],[Date]]), "",YEAR(F54))</f>
        <v>2024</v>
      </c>
    </row>
    <row r="55" spans="1:8" x14ac:dyDescent="0.25">
      <c r="A55" s="18">
        <v>-469.9</v>
      </c>
      <c r="B55" s="15" t="s">
        <v>22</v>
      </c>
      <c r="C55" s="15" t="s">
        <v>24</v>
      </c>
      <c r="D55" s="15" t="s">
        <v>5</v>
      </c>
      <c r="E55" s="15" t="str">
        <f>_xlfn.XLOOKUP(D55,Dictionary[Category], Dictionary[Type],"",0,1)</f>
        <v>Expenses</v>
      </c>
      <c r="F55" s="16">
        <v>45364</v>
      </c>
      <c r="G55">
        <f>IF(ISBLANK(Operations[[#This Row],[Date]]), "",MONTH(F55))</f>
        <v>3</v>
      </c>
      <c r="H55">
        <f>IF(ISBLANK(Operations[[#This Row],[Date]]), "",YEAR(F55))</f>
        <v>2024</v>
      </c>
    </row>
    <row r="56" spans="1:8" x14ac:dyDescent="0.25">
      <c r="A56" s="18">
        <v>-9.5</v>
      </c>
      <c r="B56" s="15" t="s">
        <v>29</v>
      </c>
      <c r="C56" s="15" t="s">
        <v>28</v>
      </c>
      <c r="D56" s="15" t="s">
        <v>7</v>
      </c>
      <c r="E56" s="15" t="str">
        <f>_xlfn.XLOOKUP(D56,Dictionary[Category], Dictionary[Type],"",0,1)</f>
        <v>Expenses</v>
      </c>
      <c r="F56" s="16">
        <v>45368</v>
      </c>
      <c r="G56">
        <f>IF(ISBLANK(Operations[[#This Row],[Date]]), "",MONTH(F56))</f>
        <v>3</v>
      </c>
      <c r="H56">
        <f>IF(ISBLANK(Operations[[#This Row],[Date]]), "",YEAR(F56))</f>
        <v>2024</v>
      </c>
    </row>
    <row r="57" spans="1:8" x14ac:dyDescent="0.25">
      <c r="A57" s="18">
        <v>-23</v>
      </c>
      <c r="B57" s="15" t="s">
        <v>22</v>
      </c>
      <c r="C57" s="15" t="s">
        <v>24</v>
      </c>
      <c r="D57" s="15" t="s">
        <v>8</v>
      </c>
      <c r="E57" s="15" t="str">
        <f>_xlfn.XLOOKUP(D57,Dictionary[Category], Dictionary[Type],"",0,1)</f>
        <v>Expenses</v>
      </c>
      <c r="F57" s="16">
        <v>45371</v>
      </c>
      <c r="G57">
        <f>IF(ISBLANK(Operations[[#This Row],[Date]]), "",MONTH(F57))</f>
        <v>3</v>
      </c>
      <c r="H57">
        <f>IF(ISBLANK(Operations[[#This Row],[Date]]), "",YEAR(F57))</f>
        <v>2024</v>
      </c>
    </row>
    <row r="58" spans="1:8" x14ac:dyDescent="0.25">
      <c r="A58" s="18">
        <v>-150</v>
      </c>
      <c r="B58" s="15" t="s">
        <v>22</v>
      </c>
      <c r="C58" s="15" t="s">
        <v>24</v>
      </c>
      <c r="D58" s="15" t="s">
        <v>2</v>
      </c>
      <c r="E58" s="15" t="str">
        <f>_xlfn.XLOOKUP(D58,Dictionary[Category], Dictionary[Type],"",0,1)</f>
        <v>Expenses</v>
      </c>
      <c r="F58" s="16">
        <v>45373</v>
      </c>
      <c r="G58">
        <f>IF(ISBLANK(Operations[[#This Row],[Date]]), "",MONTH(F58))</f>
        <v>3</v>
      </c>
      <c r="H58">
        <f>IF(ISBLANK(Operations[[#This Row],[Date]]), "",YEAR(F58))</f>
        <v>2024</v>
      </c>
    </row>
    <row r="59" spans="1:8" x14ac:dyDescent="0.25">
      <c r="A59" s="18">
        <v>-300</v>
      </c>
      <c r="B59" s="15" t="s">
        <v>22</v>
      </c>
      <c r="C59" s="15" t="s">
        <v>24</v>
      </c>
      <c r="D59" s="15" t="s">
        <v>12</v>
      </c>
      <c r="E59" s="15" t="str">
        <f>_xlfn.XLOOKUP(D59,Dictionary[Category], Dictionary[Type],"",0,1)</f>
        <v>Expenses</v>
      </c>
      <c r="F59" s="16">
        <v>45375</v>
      </c>
      <c r="G59">
        <f>IF(ISBLANK(Operations[[#This Row],[Date]]), "",MONTH(F59))</f>
        <v>3</v>
      </c>
      <c r="H59">
        <f>IF(ISBLANK(Operations[[#This Row],[Date]]), "",YEAR(F59))</f>
        <v>2024</v>
      </c>
    </row>
    <row r="60" spans="1:8" x14ac:dyDescent="0.25">
      <c r="A60" s="18">
        <v>5</v>
      </c>
      <c r="B60" s="15" t="s">
        <v>23</v>
      </c>
      <c r="C60" s="15" t="s">
        <v>27</v>
      </c>
      <c r="D60" s="15" t="s">
        <v>18</v>
      </c>
      <c r="E60" s="15" t="str">
        <f>_xlfn.XLOOKUP(D60,Dictionary[Category], Dictionary[Type],"",0,1)</f>
        <v>Income</v>
      </c>
      <c r="F60" s="16">
        <v>45377</v>
      </c>
      <c r="G60">
        <f>IF(ISBLANK(Operations[[#This Row],[Date]]), "",MONTH(F60))</f>
        <v>3</v>
      </c>
      <c r="H60">
        <f>IF(ISBLANK(Operations[[#This Row],[Date]]), "",YEAR(F60))</f>
        <v>2024</v>
      </c>
    </row>
    <row r="61" spans="1:8" x14ac:dyDescent="0.25">
      <c r="A61" s="18">
        <v>-79.5</v>
      </c>
      <c r="B61" s="15" t="s">
        <v>22</v>
      </c>
      <c r="C61" s="15" t="s">
        <v>25</v>
      </c>
      <c r="D61" s="15" t="s">
        <v>9</v>
      </c>
      <c r="E61" s="15" t="str">
        <f>_xlfn.XLOOKUP(D61,Dictionary[Category], Dictionary[Type],"",0,1)</f>
        <v>Expenses</v>
      </c>
      <c r="F61" s="16">
        <v>45379</v>
      </c>
      <c r="G61">
        <f>IF(ISBLANK(Operations[[#This Row],[Date]]), "",MONTH(F61))</f>
        <v>3</v>
      </c>
      <c r="H61">
        <f>IF(ISBLANK(Operations[[#This Row],[Date]]), "",YEAR(F61))</f>
        <v>2024</v>
      </c>
    </row>
    <row r="62" spans="1:8" x14ac:dyDescent="0.25">
      <c r="A62" s="18">
        <v>-200</v>
      </c>
      <c r="B62" s="15" t="s">
        <v>22</v>
      </c>
      <c r="C62" s="15" t="s">
        <v>24</v>
      </c>
      <c r="D62" s="15" t="s">
        <v>2</v>
      </c>
      <c r="E62" s="15" t="str">
        <f>_xlfn.XLOOKUP(D62,Dictionary[Category], Dictionary[Type],"",0,1)</f>
        <v>Expenses</v>
      </c>
      <c r="F62" s="16">
        <v>45381</v>
      </c>
      <c r="G62">
        <f>IF(ISBLANK(Operations[[#This Row],[Date]]), "",MONTH(F62))</f>
        <v>3</v>
      </c>
      <c r="H62">
        <f>IF(ISBLANK(Operations[[#This Row],[Date]]), "",YEAR(F62))</f>
        <v>2024</v>
      </c>
    </row>
    <row r="63" spans="1:8" x14ac:dyDescent="0.25">
      <c r="A63" s="18">
        <v>-23.5</v>
      </c>
      <c r="B63" s="15" t="s">
        <v>22</v>
      </c>
      <c r="C63" s="15" t="s">
        <v>25</v>
      </c>
      <c r="D63" s="15" t="s">
        <v>7</v>
      </c>
      <c r="E63" s="15" t="str">
        <f>_xlfn.XLOOKUP(D63,Dictionary[Category], Dictionary[Type],"",0,1)</f>
        <v>Expenses</v>
      </c>
      <c r="F63" s="16">
        <v>45383</v>
      </c>
      <c r="G63">
        <f>IF(ISBLANK(Operations[[#This Row],[Date]]), "",MONTH(F63))</f>
        <v>4</v>
      </c>
      <c r="H63">
        <f>IF(ISBLANK(Operations[[#This Row],[Date]]), "",YEAR(F63))</f>
        <v>2024</v>
      </c>
    </row>
    <row r="64" spans="1:8" x14ac:dyDescent="0.25">
      <c r="A64" s="18">
        <v>-82.5</v>
      </c>
      <c r="B64" s="15" t="s">
        <v>22</v>
      </c>
      <c r="C64" s="15" t="s">
        <v>24</v>
      </c>
      <c r="D64" s="15" t="s">
        <v>6</v>
      </c>
      <c r="E64" s="15" t="str">
        <f>_xlfn.XLOOKUP(D64,Dictionary[Category], Dictionary[Type],"",0,1)</f>
        <v>Expenses</v>
      </c>
      <c r="F64" s="16">
        <v>45384</v>
      </c>
      <c r="G64">
        <f>IF(ISBLANK(Operations[[#This Row],[Date]]), "",MONTH(F64))</f>
        <v>4</v>
      </c>
      <c r="H64">
        <f>IF(ISBLANK(Operations[[#This Row],[Date]]), "",YEAR(F64))</f>
        <v>2024</v>
      </c>
    </row>
    <row r="65" spans="1:8" x14ac:dyDescent="0.25">
      <c r="A65" s="18">
        <v>150</v>
      </c>
      <c r="B65" s="15" t="s">
        <v>23</v>
      </c>
      <c r="C65" s="15" t="s">
        <v>24</v>
      </c>
      <c r="D65" s="15" t="s">
        <v>16</v>
      </c>
      <c r="E65" s="15" t="str">
        <f>_xlfn.XLOOKUP(D65,Dictionary[Category], Dictionary[Type],"",0,1)</f>
        <v>Income</v>
      </c>
      <c r="F65" s="16">
        <v>45388</v>
      </c>
      <c r="G65">
        <f>IF(ISBLANK(Operations[[#This Row],[Date]]), "",MONTH(F65))</f>
        <v>4</v>
      </c>
      <c r="H65">
        <f>IF(ISBLANK(Operations[[#This Row],[Date]]), "",YEAR(F65))</f>
        <v>2024</v>
      </c>
    </row>
    <row r="66" spans="1:8" x14ac:dyDescent="0.25">
      <c r="A66" s="18">
        <v>-99.97</v>
      </c>
      <c r="B66" s="15" t="s">
        <v>22</v>
      </c>
      <c r="C66" s="15" t="s">
        <v>24</v>
      </c>
      <c r="D66" s="15" t="s">
        <v>2</v>
      </c>
      <c r="E66" s="15" t="str">
        <f>_xlfn.XLOOKUP(D66,Dictionary[Category], Dictionary[Type],"",0,1)</f>
        <v>Expenses</v>
      </c>
      <c r="F66" s="16">
        <v>45389</v>
      </c>
      <c r="G66">
        <f>IF(ISBLANK(Operations[[#This Row],[Date]]), "",MONTH(F66))</f>
        <v>4</v>
      </c>
      <c r="H66">
        <f>IF(ISBLANK(Operations[[#This Row],[Date]]), "",YEAR(F66))</f>
        <v>2024</v>
      </c>
    </row>
    <row r="67" spans="1:8" x14ac:dyDescent="0.25">
      <c r="A67" s="18">
        <v>4500</v>
      </c>
      <c r="B67" s="15" t="s">
        <v>22</v>
      </c>
      <c r="C67" s="15" t="s">
        <v>24</v>
      </c>
      <c r="D67" s="15" t="s">
        <v>14</v>
      </c>
      <c r="E67" s="15" t="str">
        <f>_xlfn.XLOOKUP(D67,Dictionary[Category], Dictionary[Type],"",0,1)</f>
        <v>Income</v>
      </c>
      <c r="F67" s="16">
        <v>45392</v>
      </c>
      <c r="G67">
        <f>IF(ISBLANK(Operations[[#This Row],[Date]]), "",MONTH(F67))</f>
        <v>4</v>
      </c>
      <c r="H67">
        <f>IF(ISBLANK(Operations[[#This Row],[Date]]), "",YEAR(F67))</f>
        <v>2024</v>
      </c>
    </row>
    <row r="68" spans="1:8" x14ac:dyDescent="0.25">
      <c r="A68" s="18">
        <v>-2000</v>
      </c>
      <c r="B68" s="15" t="s">
        <v>22</v>
      </c>
      <c r="C68" s="15" t="s">
        <v>24</v>
      </c>
      <c r="D68" s="15" t="s">
        <v>46</v>
      </c>
      <c r="E68" s="15" t="str">
        <f>_xlfn.XLOOKUP(D68,Dictionary[Category], Dictionary[Type],"",0,1)</f>
        <v>Expenses</v>
      </c>
      <c r="F68" s="16">
        <v>45393</v>
      </c>
      <c r="G68">
        <f>IF(ISBLANK(Operations[[#This Row],[Date]]), "",MONTH(F68))</f>
        <v>4</v>
      </c>
      <c r="H68">
        <f>IF(ISBLANK(Operations[[#This Row],[Date]]), "",YEAR(F68))</f>
        <v>2024</v>
      </c>
    </row>
    <row r="69" spans="1:8" x14ac:dyDescent="0.25">
      <c r="A69" s="18">
        <v>-149</v>
      </c>
      <c r="B69" s="15" t="s">
        <v>22</v>
      </c>
      <c r="C69" s="15" t="s">
        <v>24</v>
      </c>
      <c r="D69" s="15" t="s">
        <v>5</v>
      </c>
      <c r="E69" s="15" t="str">
        <f>_xlfn.XLOOKUP(D69,Dictionary[Category], Dictionary[Type],"",0,1)</f>
        <v>Expenses</v>
      </c>
      <c r="F69" s="16">
        <v>45395</v>
      </c>
      <c r="G69">
        <f>IF(ISBLANK(Operations[[#This Row],[Date]]), "",MONTH(F69))</f>
        <v>4</v>
      </c>
      <c r="H69">
        <f>IF(ISBLANK(Operations[[#This Row],[Date]]), "",YEAR(F69))</f>
        <v>2024</v>
      </c>
    </row>
    <row r="70" spans="1:8" x14ac:dyDescent="0.25">
      <c r="A70" s="18">
        <v>104.5</v>
      </c>
      <c r="B70" s="15" t="s">
        <v>22</v>
      </c>
      <c r="C70" s="15" t="s">
        <v>25</v>
      </c>
      <c r="D70" s="15" t="s">
        <v>43</v>
      </c>
      <c r="E70" s="15" t="str">
        <f>_xlfn.XLOOKUP(D70,Dictionary[Category], Dictionary[Type],"",0,1)</f>
        <v>Transaction</v>
      </c>
      <c r="F70" s="16">
        <v>45397</v>
      </c>
      <c r="G70">
        <f>IF(ISBLANK(Operations[[#This Row],[Date]]), "",MONTH(F70))</f>
        <v>4</v>
      </c>
      <c r="H70">
        <f>IF(ISBLANK(Operations[[#This Row],[Date]]), "",YEAR(F70))</f>
        <v>2024</v>
      </c>
    </row>
    <row r="71" spans="1:8" x14ac:dyDescent="0.25">
      <c r="A71" s="18">
        <v>-104.5</v>
      </c>
      <c r="B71" s="15" t="s">
        <v>22</v>
      </c>
      <c r="C71" s="15" t="s">
        <v>24</v>
      </c>
      <c r="D71" s="15" t="s">
        <v>43</v>
      </c>
      <c r="E71" s="15" t="str">
        <f>_xlfn.XLOOKUP(D71,Dictionary[Category], Dictionary[Type],"",0,1)</f>
        <v>Transaction</v>
      </c>
      <c r="F71" s="16">
        <v>45397</v>
      </c>
      <c r="G71">
        <f>IF(ISBLANK(Operations[[#This Row],[Date]]), "",MONTH(F71))</f>
        <v>4</v>
      </c>
      <c r="H71">
        <f>IF(ISBLANK(Operations[[#This Row],[Date]]), "",YEAR(F71))</f>
        <v>2024</v>
      </c>
    </row>
    <row r="72" spans="1:8" x14ac:dyDescent="0.25">
      <c r="A72" s="18">
        <v>-49</v>
      </c>
      <c r="B72" s="15" t="s">
        <v>23</v>
      </c>
      <c r="C72" s="15" t="s">
        <v>24</v>
      </c>
      <c r="D72" s="15" t="s">
        <v>8</v>
      </c>
      <c r="E72" s="15" t="str">
        <f>_xlfn.XLOOKUP(D72,Dictionary[Category], Dictionary[Type],"",0,1)</f>
        <v>Expenses</v>
      </c>
      <c r="F72" s="16">
        <v>45397</v>
      </c>
      <c r="G72">
        <f>IF(ISBLANK(Operations[[#This Row],[Date]]), "",MONTH(F72))</f>
        <v>4</v>
      </c>
      <c r="H72">
        <f>IF(ISBLANK(Operations[[#This Row],[Date]]), "",YEAR(F72))</f>
        <v>2024</v>
      </c>
    </row>
    <row r="73" spans="1:8" x14ac:dyDescent="0.25">
      <c r="A73" s="18">
        <v>-9.99</v>
      </c>
      <c r="B73" s="15" t="s">
        <v>22</v>
      </c>
      <c r="C73" s="15" t="s">
        <v>25</v>
      </c>
      <c r="D73" s="15" t="s">
        <v>2</v>
      </c>
      <c r="E73" s="15" t="str">
        <f>_xlfn.XLOOKUP(D73,Dictionary[Category], Dictionary[Type],"",0,1)</f>
        <v>Expenses</v>
      </c>
      <c r="F73" s="16">
        <v>45398</v>
      </c>
      <c r="G73">
        <f>IF(ISBLANK(Operations[[#This Row],[Date]]), "",MONTH(F73))</f>
        <v>4</v>
      </c>
      <c r="H73">
        <f>IF(ISBLANK(Operations[[#This Row],[Date]]), "",YEAR(F73))</f>
        <v>2024</v>
      </c>
    </row>
    <row r="74" spans="1:8" x14ac:dyDescent="0.25">
      <c r="A74" s="18">
        <v>-100</v>
      </c>
      <c r="B74" s="15" t="s">
        <v>22</v>
      </c>
      <c r="C74" s="15" t="s">
        <v>24</v>
      </c>
      <c r="D74" s="15" t="s">
        <v>12</v>
      </c>
      <c r="E74" s="15" t="str">
        <f>_xlfn.XLOOKUP(D74,Dictionary[Category], Dictionary[Type],"",0,1)</f>
        <v>Expenses</v>
      </c>
      <c r="F74" s="16">
        <v>45399</v>
      </c>
      <c r="G74">
        <f>IF(ISBLANK(Operations[[#This Row],[Date]]), "",MONTH(F74))</f>
        <v>4</v>
      </c>
      <c r="H74">
        <f>IF(ISBLANK(Operations[[#This Row],[Date]]), "",YEAR(F74))</f>
        <v>2024</v>
      </c>
    </row>
    <row r="75" spans="1:8" x14ac:dyDescent="0.25">
      <c r="A75" s="18">
        <v>-57.9</v>
      </c>
      <c r="B75" s="15" t="s">
        <v>22</v>
      </c>
      <c r="C75" s="15" t="s">
        <v>25</v>
      </c>
      <c r="D75" s="15" t="s">
        <v>3</v>
      </c>
      <c r="E75" s="15" t="str">
        <f>_xlfn.XLOOKUP(D75,Dictionary[Category], Dictionary[Type],"",0,1)</f>
        <v>Expenses</v>
      </c>
      <c r="F75" s="16">
        <v>45401</v>
      </c>
      <c r="G75">
        <f>IF(ISBLANK(Operations[[#This Row],[Date]]), "",MONTH(F75))</f>
        <v>4</v>
      </c>
      <c r="H75">
        <f>IF(ISBLANK(Operations[[#This Row],[Date]]), "",YEAR(F75))</f>
        <v>2024</v>
      </c>
    </row>
    <row r="76" spans="1:8" x14ac:dyDescent="0.25">
      <c r="A76" s="18">
        <v>-159.9</v>
      </c>
      <c r="B76" s="15" t="s">
        <v>22</v>
      </c>
      <c r="C76" s="15" t="s">
        <v>24</v>
      </c>
      <c r="D76" s="15" t="s">
        <v>2</v>
      </c>
      <c r="E76" s="15" t="str">
        <f>_xlfn.XLOOKUP(D76,Dictionary[Category], Dictionary[Type],"",0,1)</f>
        <v>Expenses</v>
      </c>
      <c r="F76" s="16">
        <v>45403</v>
      </c>
      <c r="G76">
        <f>IF(ISBLANK(Operations[[#This Row],[Date]]), "",MONTH(F76))</f>
        <v>4</v>
      </c>
      <c r="H76">
        <f>IF(ISBLANK(Operations[[#This Row],[Date]]), "",YEAR(F76))</f>
        <v>2024</v>
      </c>
    </row>
    <row r="77" spans="1:8" x14ac:dyDescent="0.25">
      <c r="A77" s="18">
        <v>-1000</v>
      </c>
      <c r="B77" s="15" t="s">
        <v>22</v>
      </c>
      <c r="C77" s="15" t="s">
        <v>24</v>
      </c>
      <c r="D77" s="15" t="s">
        <v>3</v>
      </c>
      <c r="E77" s="15" t="str">
        <f>_xlfn.XLOOKUP(D77,Dictionary[Category], Dictionary[Type],"",0,1)</f>
        <v>Expenses</v>
      </c>
      <c r="F77" s="16">
        <v>45405</v>
      </c>
      <c r="G77">
        <f>IF(ISBLANK(Operations[[#This Row],[Date]]), "",MONTH(F77))</f>
        <v>4</v>
      </c>
      <c r="H77">
        <f>IF(ISBLANK(Operations[[#This Row],[Date]]), "",YEAR(F77))</f>
        <v>2024</v>
      </c>
    </row>
    <row r="78" spans="1:8" x14ac:dyDescent="0.25">
      <c r="A78" s="18">
        <v>50</v>
      </c>
      <c r="B78" s="15" t="s">
        <v>23</v>
      </c>
      <c r="C78" s="15" t="s">
        <v>27</v>
      </c>
      <c r="D78" s="15" t="s">
        <v>18</v>
      </c>
      <c r="E78" s="15" t="str">
        <f>_xlfn.XLOOKUP(D78,Dictionary[Category], Dictionary[Type],"",0,1)</f>
        <v>Income</v>
      </c>
      <c r="F78" s="16">
        <v>45407</v>
      </c>
      <c r="G78">
        <f>IF(ISBLANK(Operations[[#This Row],[Date]]), "",MONTH(F78))</f>
        <v>4</v>
      </c>
      <c r="H78">
        <f>IF(ISBLANK(Operations[[#This Row],[Date]]), "",YEAR(F78))</f>
        <v>2024</v>
      </c>
    </row>
    <row r="79" spans="1:8" x14ac:dyDescent="0.25">
      <c r="A79" s="18">
        <v>-69.900000000000006</v>
      </c>
      <c r="B79" s="15" t="s">
        <v>22</v>
      </c>
      <c r="C79" s="15" t="s">
        <v>24</v>
      </c>
      <c r="D79" s="15" t="s">
        <v>2</v>
      </c>
      <c r="E79" s="15" t="str">
        <f>_xlfn.XLOOKUP(D79,Dictionary[Category], Dictionary[Type],"",0,1)</f>
        <v>Expenses</v>
      </c>
      <c r="F79" s="16">
        <v>45409</v>
      </c>
      <c r="G79">
        <f>IF(ISBLANK(Operations[[#This Row],[Date]]), "",MONTH(F79))</f>
        <v>4</v>
      </c>
      <c r="H79">
        <f>IF(ISBLANK(Operations[[#This Row],[Date]]), "",YEAR(F79))</f>
        <v>2024</v>
      </c>
    </row>
    <row r="80" spans="1:8" x14ac:dyDescent="0.25">
      <c r="A80" s="18">
        <v>-32.5</v>
      </c>
      <c r="B80" s="15" t="s">
        <v>22</v>
      </c>
      <c r="C80" s="15" t="s">
        <v>24</v>
      </c>
      <c r="D80" s="15" t="s">
        <v>2</v>
      </c>
      <c r="E80" s="15" t="str">
        <f>_xlfn.XLOOKUP(D80,Dictionary[Category], Dictionary[Type],"",0,1)</f>
        <v>Expenses</v>
      </c>
      <c r="F80" s="16">
        <v>45410</v>
      </c>
      <c r="G80">
        <f>IF(ISBLANK(Operations[[#This Row],[Date]]), "",MONTH(F80))</f>
        <v>4</v>
      </c>
      <c r="H80">
        <f>IF(ISBLANK(Operations[[#This Row],[Date]]), "",YEAR(F80))</f>
        <v>2024</v>
      </c>
    </row>
    <row r="81" spans="1:8" x14ac:dyDescent="0.25">
      <c r="A81" s="18">
        <v>-139</v>
      </c>
      <c r="B81" s="15" t="s">
        <v>22</v>
      </c>
      <c r="C81" s="15" t="s">
        <v>24</v>
      </c>
      <c r="D81" s="15" t="s">
        <v>9</v>
      </c>
      <c r="E81" s="15" t="str">
        <f>_xlfn.XLOOKUP(D81,Dictionary[Category], Dictionary[Type],"",0,1)</f>
        <v>Expenses</v>
      </c>
      <c r="F81" s="16">
        <v>45411</v>
      </c>
      <c r="G81">
        <f>IF(ISBLANK(Operations[[#This Row],[Date]]), "",MONTH(F81))</f>
        <v>4</v>
      </c>
      <c r="H81">
        <f>IF(ISBLANK(Operations[[#This Row],[Date]]), "",YEAR(F81))</f>
        <v>2024</v>
      </c>
    </row>
    <row r="82" spans="1:8" x14ac:dyDescent="0.25">
      <c r="A82" s="18">
        <v>-250</v>
      </c>
      <c r="B82" s="15" t="s">
        <v>22</v>
      </c>
      <c r="C82" s="15" t="s">
        <v>25</v>
      </c>
      <c r="D82" s="15" t="s">
        <v>2</v>
      </c>
      <c r="E82" s="15" t="str">
        <f>_xlfn.XLOOKUP(D82,Dictionary[Category], Dictionary[Type],"",0,1)</f>
        <v>Expenses</v>
      </c>
      <c r="F82" s="16">
        <v>45419</v>
      </c>
      <c r="G82">
        <f>IF(ISBLANK(Operations[[#This Row],[Date]]), "",MONTH(F82))</f>
        <v>5</v>
      </c>
      <c r="H82">
        <f>IF(ISBLANK(Operations[[#This Row],[Date]]), "",YEAR(F82))</f>
        <v>2024</v>
      </c>
    </row>
    <row r="83" spans="1:8" x14ac:dyDescent="0.25">
      <c r="A83" s="18">
        <v>-80</v>
      </c>
      <c r="B83" s="15" t="s">
        <v>22</v>
      </c>
      <c r="C83" s="15" t="s">
        <v>24</v>
      </c>
      <c r="D83" s="15" t="s">
        <v>6</v>
      </c>
      <c r="E83" s="15" t="str">
        <f>_xlfn.XLOOKUP(D83,Dictionary[Category], Dictionary[Type],"",0,1)</f>
        <v>Expenses</v>
      </c>
      <c r="F83" s="16">
        <v>45422</v>
      </c>
      <c r="G83">
        <f>IF(ISBLANK(Operations[[#This Row],[Date]]), "",MONTH(F83))</f>
        <v>5</v>
      </c>
      <c r="H83">
        <f>IF(ISBLANK(Operations[[#This Row],[Date]]), "",YEAR(F83))</f>
        <v>2024</v>
      </c>
    </row>
    <row r="84" spans="1:8" x14ac:dyDescent="0.25">
      <c r="A84" s="18">
        <v>4500</v>
      </c>
      <c r="B84" s="15" t="s">
        <v>22</v>
      </c>
      <c r="C84" s="15" t="s">
        <v>24</v>
      </c>
      <c r="D84" s="15" t="s">
        <v>14</v>
      </c>
      <c r="E84" s="15" t="str">
        <f>_xlfn.XLOOKUP(D84,Dictionary[Category], Dictionary[Type],"",0,1)</f>
        <v>Income</v>
      </c>
      <c r="F84" s="16">
        <v>45422</v>
      </c>
      <c r="G84">
        <f>IF(ISBLANK(Operations[[#This Row],[Date]]), "",MONTH(F84))</f>
        <v>5</v>
      </c>
      <c r="H84">
        <f>IF(ISBLANK(Operations[[#This Row],[Date]]), "",YEAR(F84))</f>
        <v>2024</v>
      </c>
    </row>
    <row r="85" spans="1:8" x14ac:dyDescent="0.25">
      <c r="A85" s="18">
        <v>-2000</v>
      </c>
      <c r="B85" s="15" t="s">
        <v>22</v>
      </c>
      <c r="C85" s="15" t="s">
        <v>24</v>
      </c>
      <c r="D85" s="15" t="s">
        <v>46</v>
      </c>
      <c r="E85" s="15" t="str">
        <f>_xlfn.XLOOKUP(D85,Dictionary[Category], Dictionary[Type],"",0,1)</f>
        <v>Expenses</v>
      </c>
      <c r="F85" s="16">
        <v>45423</v>
      </c>
      <c r="G85">
        <f>IF(ISBLANK(Operations[[#This Row],[Date]]), "",MONTH(F85))</f>
        <v>5</v>
      </c>
      <c r="H85">
        <f>IF(ISBLANK(Operations[[#This Row],[Date]]), "",YEAR(F85))</f>
        <v>2024</v>
      </c>
    </row>
    <row r="86" spans="1:8" x14ac:dyDescent="0.25">
      <c r="A86" s="18">
        <v>-250</v>
      </c>
      <c r="B86" s="15" t="s">
        <v>22</v>
      </c>
      <c r="C86" s="15" t="s">
        <v>25</v>
      </c>
      <c r="D86" s="15" t="s">
        <v>2</v>
      </c>
      <c r="E86" s="15" t="str">
        <f>_xlfn.XLOOKUP(D86,Dictionary[Category], Dictionary[Type],"",0,1)</f>
        <v>Expenses</v>
      </c>
      <c r="F86" s="16">
        <v>45426</v>
      </c>
      <c r="G86">
        <f>IF(ISBLANK(Operations[[#This Row],[Date]]), "",MONTH(F86))</f>
        <v>5</v>
      </c>
      <c r="H86">
        <f>IF(ISBLANK(Operations[[#This Row],[Date]]), "",YEAR(F86))</f>
        <v>2024</v>
      </c>
    </row>
    <row r="87" spans="1:8" x14ac:dyDescent="0.25">
      <c r="A87" s="18">
        <v>91.39</v>
      </c>
      <c r="B87" s="15" t="s">
        <v>22</v>
      </c>
      <c r="C87" s="15" t="s">
        <v>25</v>
      </c>
      <c r="D87" s="15" t="s">
        <v>43</v>
      </c>
      <c r="E87" s="15" t="str">
        <f>_xlfn.XLOOKUP(D87,Dictionary[Category], Dictionary[Type],"",0,1)</f>
        <v>Transaction</v>
      </c>
      <c r="F87" s="16">
        <v>45427</v>
      </c>
      <c r="G87">
        <f>IF(ISBLANK(Operations[[#This Row],[Date]]), "",MONTH(F87))</f>
        <v>5</v>
      </c>
      <c r="H87">
        <f>IF(ISBLANK(Operations[[#This Row],[Date]]), "",YEAR(F87))</f>
        <v>2024</v>
      </c>
    </row>
    <row r="88" spans="1:8" x14ac:dyDescent="0.25">
      <c r="A88" s="18">
        <v>-91.39</v>
      </c>
      <c r="B88" s="15" t="s">
        <v>22</v>
      </c>
      <c r="C88" s="15" t="s">
        <v>24</v>
      </c>
      <c r="D88" s="15" t="s">
        <v>43</v>
      </c>
      <c r="E88" s="15" t="str">
        <f>_xlfn.XLOOKUP(D88,Dictionary[Category], Dictionary[Type],"",0,1)</f>
        <v>Transaction</v>
      </c>
      <c r="F88" s="16">
        <v>45427</v>
      </c>
      <c r="G88">
        <f>IF(ISBLANK(Operations[[#This Row],[Date]]), "",MONTH(F88))</f>
        <v>5</v>
      </c>
      <c r="H88">
        <f>IF(ISBLANK(Operations[[#This Row],[Date]]), "",YEAR(F88))</f>
        <v>2024</v>
      </c>
    </row>
    <row r="89" spans="1:8" x14ac:dyDescent="0.25">
      <c r="A89" s="18">
        <v>-250</v>
      </c>
      <c r="B89" s="15" t="s">
        <v>22</v>
      </c>
      <c r="C89" s="15" t="s">
        <v>25</v>
      </c>
      <c r="D89" s="15" t="s">
        <v>2</v>
      </c>
      <c r="E89" s="15" t="str">
        <f>_xlfn.XLOOKUP(D89,Dictionary[Category], Dictionary[Type],"",0,1)</f>
        <v>Expenses</v>
      </c>
      <c r="F89" s="16">
        <v>45433</v>
      </c>
      <c r="G89">
        <f>IF(ISBLANK(Operations[[#This Row],[Date]]), "",MONTH(F89))</f>
        <v>5</v>
      </c>
      <c r="H89">
        <f>IF(ISBLANK(Operations[[#This Row],[Date]]), "",YEAR(F89))</f>
        <v>2024</v>
      </c>
    </row>
    <row r="90" spans="1:8" x14ac:dyDescent="0.25">
      <c r="A90" s="18">
        <v>-250</v>
      </c>
      <c r="B90" s="15" t="s">
        <v>22</v>
      </c>
      <c r="C90" s="15" t="s">
        <v>25</v>
      </c>
      <c r="D90" s="15" t="s">
        <v>2</v>
      </c>
      <c r="E90" s="15" t="str">
        <f>_xlfn.XLOOKUP(D90,Dictionary[Category], Dictionary[Type],"",0,1)</f>
        <v>Expenses</v>
      </c>
      <c r="F90" s="16">
        <v>45440</v>
      </c>
      <c r="G90">
        <f>IF(ISBLANK(Operations[[#This Row],[Date]]), "",MONTH(F90))</f>
        <v>5</v>
      </c>
      <c r="H90">
        <f>IF(ISBLANK(Operations[[#This Row],[Date]]), "",YEAR(F90))</f>
        <v>2024</v>
      </c>
    </row>
    <row r="91" spans="1:8" x14ac:dyDescent="0.25">
      <c r="A91" s="18">
        <v>-50</v>
      </c>
      <c r="B91" s="15" t="s">
        <v>23</v>
      </c>
      <c r="C91" s="15" t="s">
        <v>24</v>
      </c>
      <c r="D91" s="15" t="s">
        <v>8</v>
      </c>
      <c r="E91" s="15" t="str">
        <f>_xlfn.XLOOKUP(D91,Dictionary[Category], Dictionary[Type],"",0,1)</f>
        <v>Expenses</v>
      </c>
      <c r="F91" s="16">
        <v>45441</v>
      </c>
      <c r="G91">
        <f>IF(ISBLANK(Operations[[#This Row],[Date]]), "",MONTH(F91))</f>
        <v>5</v>
      </c>
      <c r="H91">
        <f>IF(ISBLANK(Operations[[#This Row],[Date]]), "",YEAR(F91))</f>
        <v>2024</v>
      </c>
    </row>
    <row r="92" spans="1:8" x14ac:dyDescent="0.25">
      <c r="A92" s="18">
        <v>-80</v>
      </c>
      <c r="B92" s="15" t="s">
        <v>29</v>
      </c>
      <c r="C92" s="15" t="s">
        <v>28</v>
      </c>
      <c r="D92" s="15" t="s">
        <v>3</v>
      </c>
      <c r="E92" s="15" t="str">
        <f>_xlfn.XLOOKUP(D92,Dictionary[Category], Dictionary[Type],"",0,1)</f>
        <v>Expenses</v>
      </c>
      <c r="F92" s="16">
        <v>45442</v>
      </c>
      <c r="G92">
        <f>IF(ISBLANK(Operations[[#This Row],[Date]]), "",MONTH(F92))</f>
        <v>5</v>
      </c>
      <c r="H92">
        <f>IF(ISBLANK(Operations[[#This Row],[Date]]), "",YEAR(F92))</f>
        <v>2024</v>
      </c>
    </row>
    <row r="93" spans="1:8" x14ac:dyDescent="0.25">
      <c r="A93" s="18">
        <v>-250</v>
      </c>
      <c r="B93" s="15" t="s">
        <v>22</v>
      </c>
      <c r="C93" s="15" t="s">
        <v>25</v>
      </c>
      <c r="D93" s="15" t="s">
        <v>2</v>
      </c>
      <c r="E93" s="15" t="str">
        <f>_xlfn.XLOOKUP(D93,Dictionary[Category], Dictionary[Type],"",0,1)</f>
        <v>Expenses</v>
      </c>
      <c r="F93" s="16">
        <v>45450</v>
      </c>
      <c r="G93">
        <f>IF(ISBLANK(Operations[[#This Row],[Date]]), "",MONTH(F93))</f>
        <v>6</v>
      </c>
      <c r="H93">
        <f>IF(ISBLANK(Operations[[#This Row],[Date]]), "",YEAR(F93))</f>
        <v>2024</v>
      </c>
    </row>
    <row r="94" spans="1:8" x14ac:dyDescent="0.25">
      <c r="A94" s="18">
        <v>-80</v>
      </c>
      <c r="B94" s="15" t="s">
        <v>22</v>
      </c>
      <c r="C94" s="15" t="s">
        <v>24</v>
      </c>
      <c r="D94" s="15" t="s">
        <v>6</v>
      </c>
      <c r="E94" s="15" t="str">
        <f>_xlfn.XLOOKUP(D94,Dictionary[Category], Dictionary[Type],"",0,1)</f>
        <v>Expenses</v>
      </c>
      <c r="F94" s="16">
        <v>45453</v>
      </c>
      <c r="G94">
        <f>IF(ISBLANK(Operations[[#This Row],[Date]]), "",MONTH(F94))</f>
        <v>6</v>
      </c>
      <c r="H94">
        <f>IF(ISBLANK(Operations[[#This Row],[Date]]), "",YEAR(F94))</f>
        <v>2024</v>
      </c>
    </row>
    <row r="95" spans="1:8" x14ac:dyDescent="0.25">
      <c r="A95" s="18">
        <v>4500</v>
      </c>
      <c r="B95" s="15" t="s">
        <v>22</v>
      </c>
      <c r="C95" s="15" t="s">
        <v>24</v>
      </c>
      <c r="D95" s="15" t="s">
        <v>14</v>
      </c>
      <c r="E95" s="15" t="str">
        <f>_xlfn.XLOOKUP(D95,Dictionary[Category], Dictionary[Type],"",0,1)</f>
        <v>Income</v>
      </c>
      <c r="F95" s="16">
        <v>45453</v>
      </c>
      <c r="G95">
        <f>IF(ISBLANK(Operations[[#This Row],[Date]]), "",MONTH(F95))</f>
        <v>6</v>
      </c>
      <c r="H95">
        <f>IF(ISBLANK(Operations[[#This Row],[Date]]), "",YEAR(F95))</f>
        <v>2024</v>
      </c>
    </row>
    <row r="96" spans="1:8" x14ac:dyDescent="0.25">
      <c r="A96" s="18">
        <v>-2000</v>
      </c>
      <c r="B96" s="15" t="s">
        <v>22</v>
      </c>
      <c r="C96" s="15" t="s">
        <v>24</v>
      </c>
      <c r="D96" s="15" t="s">
        <v>46</v>
      </c>
      <c r="E96" s="15" t="str">
        <f>_xlfn.XLOOKUP(D96,Dictionary[Category], Dictionary[Type],"",0,1)</f>
        <v>Expenses</v>
      </c>
      <c r="F96" s="16">
        <v>45454</v>
      </c>
      <c r="G96">
        <f>IF(ISBLANK(Operations[[#This Row],[Date]]), "",MONTH(F96))</f>
        <v>6</v>
      </c>
      <c r="H96">
        <f>IF(ISBLANK(Operations[[#This Row],[Date]]), "",YEAR(F96))</f>
        <v>2024</v>
      </c>
    </row>
    <row r="97" spans="1:8" x14ac:dyDescent="0.25">
      <c r="A97" s="18">
        <v>-250</v>
      </c>
      <c r="B97" s="15" t="s">
        <v>22</v>
      </c>
      <c r="C97" s="15" t="s">
        <v>25</v>
      </c>
      <c r="D97" s="15" t="s">
        <v>2</v>
      </c>
      <c r="E97" s="15" t="str">
        <f>_xlfn.XLOOKUP(D97,Dictionary[Category], Dictionary[Type],"",0,1)</f>
        <v>Expenses</v>
      </c>
      <c r="F97" s="16">
        <v>45457</v>
      </c>
      <c r="G97">
        <f>IF(ISBLANK(Operations[[#This Row],[Date]]), "",MONTH(F97))</f>
        <v>6</v>
      </c>
      <c r="H97">
        <f>IF(ISBLANK(Operations[[#This Row],[Date]]), "",YEAR(F97))</f>
        <v>2024</v>
      </c>
    </row>
    <row r="98" spans="1:8" x14ac:dyDescent="0.25">
      <c r="A98" s="18">
        <v>1000</v>
      </c>
      <c r="B98" s="15" t="s">
        <v>22</v>
      </c>
      <c r="C98" s="15" t="s">
        <v>25</v>
      </c>
      <c r="D98" s="15" t="s">
        <v>43</v>
      </c>
      <c r="E98" s="15" t="str">
        <f>_xlfn.XLOOKUP(D98,Dictionary[Category], Dictionary[Type],"",0,1)</f>
        <v>Transaction</v>
      </c>
      <c r="F98" s="16">
        <v>45458</v>
      </c>
      <c r="G98">
        <f>IF(ISBLANK(Operations[[#This Row],[Date]]), "",MONTH(F98))</f>
        <v>6</v>
      </c>
      <c r="H98">
        <f>IF(ISBLANK(Operations[[#This Row],[Date]]), "",YEAR(F98))</f>
        <v>2024</v>
      </c>
    </row>
    <row r="99" spans="1:8" x14ac:dyDescent="0.25">
      <c r="A99" s="18">
        <v>-1000</v>
      </c>
      <c r="B99" s="15" t="s">
        <v>22</v>
      </c>
      <c r="C99" s="15" t="s">
        <v>24</v>
      </c>
      <c r="D99" s="15" t="s">
        <v>43</v>
      </c>
      <c r="E99" s="15" t="str">
        <f>_xlfn.XLOOKUP(D99,Dictionary[Category], Dictionary[Type],"",0,1)</f>
        <v>Transaction</v>
      </c>
      <c r="F99" s="16">
        <v>45458</v>
      </c>
      <c r="G99">
        <f>IF(ISBLANK(Operations[[#This Row],[Date]]), "",MONTH(F99))</f>
        <v>6</v>
      </c>
      <c r="H99">
        <f>IF(ISBLANK(Operations[[#This Row],[Date]]), "",YEAR(F99))</f>
        <v>2024</v>
      </c>
    </row>
    <row r="100" spans="1:8" x14ac:dyDescent="0.25">
      <c r="A100" s="18">
        <v>-100</v>
      </c>
      <c r="B100" s="15" t="s">
        <v>23</v>
      </c>
      <c r="C100" s="15" t="s">
        <v>24</v>
      </c>
      <c r="D100" s="15" t="s">
        <v>7</v>
      </c>
      <c r="E100" s="15" t="str">
        <f>_xlfn.XLOOKUP(D100,Dictionary[Category], Dictionary[Type],"",0,1)</f>
        <v>Expenses</v>
      </c>
      <c r="F100" s="16">
        <v>45458</v>
      </c>
      <c r="G100">
        <f>IF(ISBLANK(Operations[[#This Row],[Date]]), "",MONTH(F100))</f>
        <v>6</v>
      </c>
      <c r="H100">
        <f>IF(ISBLANK(Operations[[#This Row],[Date]]), "",YEAR(F100))</f>
        <v>2024</v>
      </c>
    </row>
    <row r="101" spans="1:8" x14ac:dyDescent="0.25">
      <c r="A101" s="18">
        <v>-250</v>
      </c>
      <c r="B101" s="15" t="s">
        <v>22</v>
      </c>
      <c r="C101" s="15" t="s">
        <v>25</v>
      </c>
      <c r="D101" s="15" t="s">
        <v>2</v>
      </c>
      <c r="E101" s="15" t="str">
        <f>_xlfn.XLOOKUP(D101,Dictionary[Category], Dictionary[Type],"",0,1)</f>
        <v>Expenses</v>
      </c>
      <c r="F101" s="16">
        <v>45464</v>
      </c>
      <c r="G101">
        <f>IF(ISBLANK(Operations[[#This Row],[Date]]), "",MONTH(F101))</f>
        <v>6</v>
      </c>
      <c r="H101">
        <f>IF(ISBLANK(Operations[[#This Row],[Date]]), "",YEAR(F101))</f>
        <v>2024</v>
      </c>
    </row>
    <row r="102" spans="1:8" x14ac:dyDescent="0.25">
      <c r="A102" s="18">
        <v>-250</v>
      </c>
      <c r="B102" s="15" t="s">
        <v>22</v>
      </c>
      <c r="C102" s="15" t="s">
        <v>25</v>
      </c>
      <c r="D102" s="15" t="s">
        <v>2</v>
      </c>
      <c r="E102" s="15" t="str">
        <f>_xlfn.XLOOKUP(D102,Dictionary[Category], Dictionary[Type],"",0,1)</f>
        <v>Expenses</v>
      </c>
      <c r="F102" s="16">
        <v>45471</v>
      </c>
      <c r="G102">
        <f>IF(ISBLANK(Operations[[#This Row],[Date]]), "",MONTH(F102))</f>
        <v>6</v>
      </c>
      <c r="H102">
        <f>IF(ISBLANK(Operations[[#This Row],[Date]]), "",YEAR(F102))</f>
        <v>2024</v>
      </c>
    </row>
    <row r="103" spans="1:8" x14ac:dyDescent="0.25">
      <c r="A103" s="18">
        <v>-300</v>
      </c>
      <c r="B103" s="15" t="s">
        <v>22</v>
      </c>
      <c r="C103" s="15" t="s">
        <v>25</v>
      </c>
      <c r="D103" s="15" t="s">
        <v>5</v>
      </c>
      <c r="E103" s="15" t="str">
        <f>_xlfn.XLOOKUP(D103,Dictionary[Category], Dictionary[Type],"",0,1)</f>
        <v>Expenses</v>
      </c>
      <c r="F103" s="16">
        <v>45471</v>
      </c>
      <c r="G103">
        <f>IF(ISBLANK(Operations[[#This Row],[Date]]), "",MONTH(F103))</f>
        <v>6</v>
      </c>
      <c r="H103">
        <f>IF(ISBLANK(Operations[[#This Row],[Date]]), "",YEAR(F103))</f>
        <v>2024</v>
      </c>
    </row>
    <row r="104" spans="1:8" x14ac:dyDescent="0.25">
      <c r="A104" s="18">
        <v>-50</v>
      </c>
      <c r="B104" s="15" t="s">
        <v>23</v>
      </c>
      <c r="C104" s="15" t="s">
        <v>24</v>
      </c>
      <c r="D104" s="15" t="s">
        <v>8</v>
      </c>
      <c r="E104" s="15" t="str">
        <f>_xlfn.XLOOKUP(D104,Dictionary[Category], Dictionary[Type],"",0,1)</f>
        <v>Expenses</v>
      </c>
      <c r="F104" s="16">
        <v>45472</v>
      </c>
      <c r="G104">
        <f>IF(ISBLANK(Operations[[#This Row],[Date]]), "",MONTH(F104))</f>
        <v>6</v>
      </c>
      <c r="H104">
        <f>IF(ISBLANK(Operations[[#This Row],[Date]]), "",YEAR(F104))</f>
        <v>2024</v>
      </c>
    </row>
    <row r="105" spans="1:8" x14ac:dyDescent="0.25">
      <c r="A105" s="18">
        <v>400</v>
      </c>
      <c r="B105" s="15" t="s">
        <v>23</v>
      </c>
      <c r="C105" s="15" t="s">
        <v>24</v>
      </c>
      <c r="D105" s="15" t="s">
        <v>15</v>
      </c>
      <c r="E105" s="15" t="str">
        <f>_xlfn.XLOOKUP(D105,Dictionary[Category], Dictionary[Type],"",0,1)</f>
        <v>Income</v>
      </c>
      <c r="F105" s="16">
        <v>45472</v>
      </c>
      <c r="G105">
        <f>IF(ISBLANK(Operations[[#This Row],[Date]]), "",MONTH(F105))</f>
        <v>6</v>
      </c>
      <c r="H105">
        <f>IF(ISBLANK(Operations[[#This Row],[Date]]), "",YEAR(F105))</f>
        <v>2024</v>
      </c>
    </row>
    <row r="106" spans="1:8" x14ac:dyDescent="0.25">
      <c r="A106" s="18">
        <v>-200</v>
      </c>
      <c r="B106" s="15" t="s">
        <v>29</v>
      </c>
      <c r="C106" s="15" t="s">
        <v>28</v>
      </c>
      <c r="D106" s="15" t="s">
        <v>3</v>
      </c>
      <c r="E106" s="15" t="str">
        <f>_xlfn.XLOOKUP(D106,Dictionary[Category], Dictionary[Type],"",0,1)</f>
        <v>Expenses</v>
      </c>
      <c r="F106" s="16">
        <v>45473</v>
      </c>
      <c r="G106">
        <f>IF(ISBLANK(Operations[[#This Row],[Date]]), "",MONTH(F106))</f>
        <v>6</v>
      </c>
      <c r="H106">
        <f>IF(ISBLANK(Operations[[#This Row],[Date]]), "",YEAR(F106))</f>
        <v>2024</v>
      </c>
    </row>
    <row r="107" spans="1:8" x14ac:dyDescent="0.25">
      <c r="A107" s="18">
        <v>-30</v>
      </c>
      <c r="B107" s="15" t="s">
        <v>29</v>
      </c>
      <c r="C107" s="15" t="s">
        <v>30</v>
      </c>
      <c r="D107" s="15" t="s">
        <v>2</v>
      </c>
      <c r="E107" s="15" t="str">
        <f>_xlfn.XLOOKUP(D107,Dictionary[Category], Dictionary[Type],"",0,1)</f>
        <v>Expenses</v>
      </c>
      <c r="F107" s="16">
        <v>45476</v>
      </c>
      <c r="G107">
        <f>IF(ISBLANK(Operations[[#This Row],[Date]]), "",MONTH(F107))</f>
        <v>7</v>
      </c>
      <c r="H107">
        <f>IF(ISBLANK(Operations[[#This Row],[Date]]), "",YEAR(F107))</f>
        <v>2024</v>
      </c>
    </row>
    <row r="108" spans="1:8" x14ac:dyDescent="0.25">
      <c r="A108" s="18">
        <v>-100</v>
      </c>
      <c r="B108" s="15" t="s">
        <v>22</v>
      </c>
      <c r="C108" s="15" t="s">
        <v>24</v>
      </c>
      <c r="D108" s="15" t="s">
        <v>3</v>
      </c>
      <c r="E108" s="15" t="str">
        <f>_xlfn.XLOOKUP(D108,Dictionary[Category], Dictionary[Type],"",0,1)</f>
        <v>Expenses</v>
      </c>
      <c r="F108" s="16">
        <v>45480</v>
      </c>
      <c r="G108">
        <f>IF(ISBLANK(Operations[[#This Row],[Date]]), "",MONTH(F108))</f>
        <v>7</v>
      </c>
      <c r="H108">
        <f>IF(ISBLANK(Operations[[#This Row],[Date]]), "",YEAR(F108))</f>
        <v>2024</v>
      </c>
    </row>
    <row r="109" spans="1:8" x14ac:dyDescent="0.25">
      <c r="A109" s="18">
        <v>4500</v>
      </c>
      <c r="B109" s="15" t="s">
        <v>22</v>
      </c>
      <c r="C109" s="15" t="s">
        <v>24</v>
      </c>
      <c r="D109" s="15" t="s">
        <v>14</v>
      </c>
      <c r="E109" s="15" t="str">
        <f>_xlfn.XLOOKUP(D109,Dictionary[Category], Dictionary[Type],"",0,1)</f>
        <v>Income</v>
      </c>
      <c r="F109" s="16">
        <v>45483</v>
      </c>
      <c r="G109">
        <f>IF(ISBLANK(Operations[[#This Row],[Date]]), "",MONTH(F109))</f>
        <v>7</v>
      </c>
      <c r="H109">
        <f>IF(ISBLANK(Operations[[#This Row],[Date]]), "",YEAR(F109))</f>
        <v>2024</v>
      </c>
    </row>
    <row r="110" spans="1:8" x14ac:dyDescent="0.25">
      <c r="A110" s="18">
        <v>-2000</v>
      </c>
      <c r="B110" s="15" t="s">
        <v>22</v>
      </c>
      <c r="C110" s="15" t="s">
        <v>24</v>
      </c>
      <c r="D110" s="15" t="s">
        <v>46</v>
      </c>
      <c r="E110" s="15" t="str">
        <f>_xlfn.XLOOKUP(D110,Dictionary[Category], Dictionary[Type],"",0,1)</f>
        <v>Expenses</v>
      </c>
      <c r="F110" s="16">
        <v>45484</v>
      </c>
      <c r="G110">
        <f>IF(ISBLANK(Operations[[#This Row],[Date]]), "",MONTH(F110))</f>
        <v>7</v>
      </c>
      <c r="H110">
        <f>IF(ISBLANK(Operations[[#This Row],[Date]]), "",YEAR(F110))</f>
        <v>2024</v>
      </c>
    </row>
    <row r="111" spans="1:8" x14ac:dyDescent="0.25">
      <c r="A111" s="18">
        <v>-40</v>
      </c>
      <c r="B111" s="15" t="s">
        <v>22</v>
      </c>
      <c r="C111" s="15" t="s">
        <v>25</v>
      </c>
      <c r="D111" s="15" t="s">
        <v>2</v>
      </c>
      <c r="E111" s="15" t="str">
        <f>_xlfn.XLOOKUP(D111,Dictionary[Category], Dictionary[Type],"",0,1)</f>
        <v>Expenses</v>
      </c>
      <c r="F111" s="16">
        <v>45487</v>
      </c>
      <c r="G111">
        <f>IF(ISBLANK(Operations[[#This Row],[Date]]), "",MONTH(F111))</f>
        <v>7</v>
      </c>
      <c r="H111">
        <f>IF(ISBLANK(Operations[[#This Row],[Date]]), "",YEAR(F111))</f>
        <v>2024</v>
      </c>
    </row>
    <row r="112" spans="1:8" x14ac:dyDescent="0.25">
      <c r="A112" s="18">
        <v>1300</v>
      </c>
      <c r="B112" s="15" t="s">
        <v>22</v>
      </c>
      <c r="C112" s="15" t="s">
        <v>25</v>
      </c>
      <c r="D112" s="15" t="s">
        <v>43</v>
      </c>
      <c r="E112" s="15" t="str">
        <f>_xlfn.XLOOKUP(D112,Dictionary[Category], Dictionary[Type],"",0,1)</f>
        <v>Transaction</v>
      </c>
      <c r="F112" s="16">
        <v>45488</v>
      </c>
      <c r="G112">
        <f>IF(ISBLANK(Operations[[#This Row],[Date]]), "",MONTH(F112))</f>
        <v>7</v>
      </c>
      <c r="H112">
        <f>IF(ISBLANK(Operations[[#This Row],[Date]]), "",YEAR(F112))</f>
        <v>2024</v>
      </c>
    </row>
    <row r="113" spans="1:8" x14ac:dyDescent="0.25">
      <c r="A113" s="18">
        <v>-1300</v>
      </c>
      <c r="B113" s="15" t="s">
        <v>22</v>
      </c>
      <c r="C113" s="15" t="s">
        <v>24</v>
      </c>
      <c r="D113" s="15" t="s">
        <v>43</v>
      </c>
      <c r="E113" s="15" t="str">
        <f>_xlfn.XLOOKUP(D113,Dictionary[Category], Dictionary[Type],"",0,1)</f>
        <v>Transaction</v>
      </c>
      <c r="F113" s="16">
        <v>45488</v>
      </c>
      <c r="G113">
        <f>IF(ISBLANK(Operations[[#This Row],[Date]]), "",MONTH(F113))</f>
        <v>7</v>
      </c>
      <c r="H113">
        <f>IF(ISBLANK(Operations[[#This Row],[Date]]), "",YEAR(F113))</f>
        <v>2024</v>
      </c>
    </row>
    <row r="114" spans="1:8" x14ac:dyDescent="0.25">
      <c r="A114" s="18">
        <v>-300</v>
      </c>
      <c r="B114" s="15" t="s">
        <v>22</v>
      </c>
      <c r="C114" s="15" t="s">
        <v>26</v>
      </c>
      <c r="D114" s="15" t="s">
        <v>7</v>
      </c>
      <c r="E114" s="15" t="str">
        <f>_xlfn.XLOOKUP(D114,Dictionary[Category], Dictionary[Type],"",0,1)</f>
        <v>Expenses</v>
      </c>
      <c r="F114" s="16">
        <v>45489</v>
      </c>
      <c r="G114">
        <f>IF(ISBLANK(Operations[[#This Row],[Date]]), "",MONTH(F114))</f>
        <v>7</v>
      </c>
      <c r="H114">
        <f>IF(ISBLANK(Operations[[#This Row],[Date]]), "",YEAR(F114))</f>
        <v>2024</v>
      </c>
    </row>
    <row r="115" spans="1:8" x14ac:dyDescent="0.25">
      <c r="A115" s="18">
        <v>800</v>
      </c>
      <c r="B115" s="15" t="s">
        <v>23</v>
      </c>
      <c r="C115" s="15" t="s">
        <v>27</v>
      </c>
      <c r="D115" s="15" t="s">
        <v>18</v>
      </c>
      <c r="E115" s="15" t="str">
        <f>_xlfn.XLOOKUP(D115,Dictionary[Category], Dictionary[Type],"",0,1)</f>
        <v>Income</v>
      </c>
      <c r="F115" s="16">
        <v>45491</v>
      </c>
      <c r="G115">
        <f>IF(ISBLANK(Operations[[#This Row],[Date]]), "",MONTH(F115))</f>
        <v>7</v>
      </c>
      <c r="H115">
        <f>IF(ISBLANK(Operations[[#This Row],[Date]]), "",YEAR(F115))</f>
        <v>2024</v>
      </c>
    </row>
    <row r="116" spans="1:8" x14ac:dyDescent="0.25">
      <c r="A116" s="18">
        <v>-600</v>
      </c>
      <c r="B116" s="15" t="s">
        <v>23</v>
      </c>
      <c r="C116" s="15" t="s">
        <v>24</v>
      </c>
      <c r="D116" s="15" t="s">
        <v>3</v>
      </c>
      <c r="E116" s="15" t="str">
        <f>_xlfn.XLOOKUP(D116,Dictionary[Category], Dictionary[Type],"",0,1)</f>
        <v>Expenses</v>
      </c>
      <c r="F116" s="16">
        <v>45494</v>
      </c>
      <c r="G116">
        <f>IF(ISBLANK(Operations[[#This Row],[Date]]), "",MONTH(F116))</f>
        <v>7</v>
      </c>
      <c r="H116">
        <f>IF(ISBLANK(Operations[[#This Row],[Date]]), "",YEAR(F116))</f>
        <v>2024</v>
      </c>
    </row>
    <row r="117" spans="1:8" x14ac:dyDescent="0.25">
      <c r="A117" s="18">
        <v>120</v>
      </c>
      <c r="B117" s="15" t="s">
        <v>22</v>
      </c>
      <c r="C117" s="15" t="s">
        <v>26</v>
      </c>
      <c r="D117" s="15" t="s">
        <v>16</v>
      </c>
      <c r="E117" s="15" t="str">
        <f>_xlfn.XLOOKUP(D117,Dictionary[Category], Dictionary[Type],"",0,1)</f>
        <v>Income</v>
      </c>
      <c r="F117" s="16">
        <v>45495</v>
      </c>
      <c r="G117">
        <f>IF(ISBLANK(Operations[[#This Row],[Date]]), "",MONTH(F117))</f>
        <v>7</v>
      </c>
      <c r="H117">
        <f>IF(ISBLANK(Operations[[#This Row],[Date]]), "",YEAR(F117))</f>
        <v>2024</v>
      </c>
    </row>
    <row r="118" spans="1:8" x14ac:dyDescent="0.25">
      <c r="A118" s="18">
        <v>-90</v>
      </c>
      <c r="B118" s="15" t="s">
        <v>22</v>
      </c>
      <c r="C118" s="15" t="s">
        <v>24</v>
      </c>
      <c r="D118" s="15" t="s">
        <v>6</v>
      </c>
      <c r="E118" s="15" t="str">
        <f>_xlfn.XLOOKUP(D118,Dictionary[Category], Dictionary[Type],"",0,1)</f>
        <v>Expenses</v>
      </c>
      <c r="F118" s="16">
        <v>45497</v>
      </c>
      <c r="G118">
        <f>IF(ISBLANK(Operations[[#This Row],[Date]]), "",MONTH(F118))</f>
        <v>7</v>
      </c>
      <c r="H118">
        <f>IF(ISBLANK(Operations[[#This Row],[Date]]), "",YEAR(F118))</f>
        <v>2024</v>
      </c>
    </row>
    <row r="119" spans="1:8" x14ac:dyDescent="0.25">
      <c r="A119" s="18">
        <v>-50</v>
      </c>
      <c r="B119" s="15" t="s">
        <v>22</v>
      </c>
      <c r="C119" s="15" t="s">
        <v>25</v>
      </c>
      <c r="D119" s="15" t="s">
        <v>2</v>
      </c>
      <c r="E119" s="15" t="str">
        <f>_xlfn.XLOOKUP(D119,Dictionary[Category], Dictionary[Type],"",0,1)</f>
        <v>Expenses</v>
      </c>
      <c r="F119" s="16">
        <v>45499</v>
      </c>
      <c r="G119">
        <f>IF(ISBLANK(Operations[[#This Row],[Date]]), "",MONTH(F119))</f>
        <v>7</v>
      </c>
      <c r="H119">
        <f>IF(ISBLANK(Operations[[#This Row],[Date]]), "",YEAR(F119))</f>
        <v>2024</v>
      </c>
    </row>
    <row r="120" spans="1:8" x14ac:dyDescent="0.25">
      <c r="A120" s="18">
        <v>250</v>
      </c>
      <c r="B120" s="15" t="s">
        <v>23</v>
      </c>
      <c r="C120" s="15" t="s">
        <v>27</v>
      </c>
      <c r="D120" s="15" t="s">
        <v>5</v>
      </c>
      <c r="E120" s="15" t="str">
        <f>_xlfn.XLOOKUP(D120,Dictionary[Category], Dictionary[Type],"",0,1)</f>
        <v>Expenses</v>
      </c>
      <c r="F120" s="16">
        <v>45502</v>
      </c>
      <c r="G120">
        <f>IF(ISBLANK(Operations[[#This Row],[Date]]), "",MONTH(F120))</f>
        <v>7</v>
      </c>
      <c r="H120">
        <f>IF(ISBLANK(Operations[[#This Row],[Date]]), "",YEAR(F120))</f>
        <v>2024</v>
      </c>
    </row>
    <row r="121" spans="1:8" x14ac:dyDescent="0.25">
      <c r="A121" s="18">
        <v>500</v>
      </c>
      <c r="B121" s="15" t="s">
        <v>23</v>
      </c>
      <c r="C121" s="15" t="s">
        <v>24</v>
      </c>
      <c r="D121" s="15" t="s">
        <v>9</v>
      </c>
      <c r="E121" s="15" t="str">
        <f>_xlfn.XLOOKUP(D121,Dictionary[Category], Dictionary[Type],"",0,1)</f>
        <v>Expenses</v>
      </c>
      <c r="F121" s="16">
        <v>45503</v>
      </c>
      <c r="G121">
        <f>IF(ISBLANK(Operations[[#This Row],[Date]]), "",MONTH(F121))</f>
        <v>7</v>
      </c>
      <c r="H121">
        <f>IF(ISBLANK(Operations[[#This Row],[Date]]), "",YEAR(F121))</f>
        <v>2024</v>
      </c>
    </row>
    <row r="122" spans="1:8" x14ac:dyDescent="0.25">
      <c r="A122" s="18">
        <v>-45</v>
      </c>
      <c r="B122" s="15" t="s">
        <v>22</v>
      </c>
      <c r="C122" s="15" t="s">
        <v>25</v>
      </c>
      <c r="D122" s="15" t="s">
        <v>2</v>
      </c>
      <c r="E122" s="15" t="str">
        <f>_xlfn.XLOOKUP(D122,Dictionary[Category], Dictionary[Type],"",0,1)</f>
        <v>Expenses</v>
      </c>
      <c r="F122" s="16">
        <v>45504</v>
      </c>
      <c r="G122">
        <f>IF(ISBLANK(Operations[[#This Row],[Date]]), "",MONTH(F122))</f>
        <v>7</v>
      </c>
      <c r="H122">
        <f>IF(ISBLANK(Operations[[#This Row],[Date]]), "",YEAR(F122))</f>
        <v>2024</v>
      </c>
    </row>
    <row r="123" spans="1:8" x14ac:dyDescent="0.25">
      <c r="A123" s="18">
        <v>-600</v>
      </c>
      <c r="B123" s="15" t="s">
        <v>22</v>
      </c>
      <c r="C123" s="15" t="s">
        <v>24</v>
      </c>
      <c r="D123" s="15" t="s">
        <v>2</v>
      </c>
      <c r="E123" s="15" t="str">
        <f>_xlfn.XLOOKUP(D123,Dictionary[Category], Dictionary[Type],"",0,1)</f>
        <v>Expenses</v>
      </c>
      <c r="F123" s="16">
        <v>45505</v>
      </c>
      <c r="G123">
        <f>IF(ISBLANK(Operations[[#This Row],[Date]]), "",MONTH(F123))</f>
        <v>8</v>
      </c>
      <c r="H123">
        <f>IF(ISBLANK(Operations[[#This Row],[Date]]), "",YEAR(F123))</f>
        <v>2024</v>
      </c>
    </row>
    <row r="124" spans="1:8" x14ac:dyDescent="0.25">
      <c r="A124" s="18">
        <v>-1020</v>
      </c>
      <c r="B124" s="15" t="s">
        <v>22</v>
      </c>
      <c r="C124" s="15" t="s">
        <v>26</v>
      </c>
      <c r="D124" s="15" t="s">
        <v>43</v>
      </c>
      <c r="E124" s="15" t="str">
        <f>_xlfn.XLOOKUP(D124,Dictionary[Category], Dictionary[Type],"",0,1)</f>
        <v>Transaction</v>
      </c>
      <c r="F124" s="16">
        <v>45505</v>
      </c>
      <c r="G124">
        <f>IF(ISBLANK(Operations[[#This Row],[Date]]), "",MONTH(F124))</f>
        <v>8</v>
      </c>
      <c r="H124">
        <f>IF(ISBLANK(Operations[[#This Row],[Date]]), "",YEAR(F124))</f>
        <v>2024</v>
      </c>
    </row>
    <row r="125" spans="1:8" x14ac:dyDescent="0.25">
      <c r="A125" s="18">
        <v>-200</v>
      </c>
      <c r="B125" s="15" t="s">
        <v>23</v>
      </c>
      <c r="C125" s="15" t="s">
        <v>24</v>
      </c>
      <c r="D125" s="15" t="s">
        <v>6</v>
      </c>
      <c r="E125" s="15" t="str">
        <f>_xlfn.XLOOKUP(D125,Dictionary[Category], Dictionary[Type],"",0,1)</f>
        <v>Expenses</v>
      </c>
      <c r="F125" s="16">
        <v>45505</v>
      </c>
      <c r="G125">
        <f>IF(ISBLANK(Operations[[#This Row],[Date]]), "",MONTH(F125))</f>
        <v>8</v>
      </c>
      <c r="H125">
        <f>IF(ISBLANK(Operations[[#This Row],[Date]]), "",YEAR(F125))</f>
        <v>2024</v>
      </c>
    </row>
    <row r="126" spans="1:8" x14ac:dyDescent="0.25">
      <c r="A126" s="18">
        <v>-70</v>
      </c>
      <c r="B126" s="15" t="s">
        <v>22</v>
      </c>
      <c r="C126" s="15" t="s">
        <v>25</v>
      </c>
      <c r="D126" s="15" t="s">
        <v>2</v>
      </c>
      <c r="E126" s="15" t="str">
        <f>_xlfn.XLOOKUP(D126,Dictionary[Category], Dictionary[Type],"",0,1)</f>
        <v>Expenses</v>
      </c>
      <c r="F126" s="16">
        <v>45513</v>
      </c>
      <c r="G126">
        <f>IF(ISBLANK(Operations[[#This Row],[Date]]), "",MONTH(F126))</f>
        <v>8</v>
      </c>
      <c r="H126">
        <f>IF(ISBLANK(Operations[[#This Row],[Date]]), "",YEAR(F126))</f>
        <v>2024</v>
      </c>
    </row>
    <row r="127" spans="1:8" x14ac:dyDescent="0.25">
      <c r="A127" s="18">
        <v>4500</v>
      </c>
      <c r="B127" s="15" t="s">
        <v>22</v>
      </c>
      <c r="C127" s="15" t="s">
        <v>24</v>
      </c>
      <c r="D127" s="15" t="s">
        <v>14</v>
      </c>
      <c r="E127" s="15" t="str">
        <f>_xlfn.XLOOKUP(D127,Dictionary[Category], Dictionary[Type],"",0,1)</f>
        <v>Income</v>
      </c>
      <c r="F127" s="16">
        <v>45514</v>
      </c>
      <c r="G127">
        <f>IF(ISBLANK(Operations[[#This Row],[Date]]), "",MONTH(F127))</f>
        <v>8</v>
      </c>
      <c r="H127">
        <f>IF(ISBLANK(Operations[[#This Row],[Date]]), "",YEAR(F127))</f>
        <v>2024</v>
      </c>
    </row>
    <row r="128" spans="1:8" x14ac:dyDescent="0.25">
      <c r="A128" s="18">
        <v>-2000</v>
      </c>
      <c r="B128" s="15" t="s">
        <v>22</v>
      </c>
      <c r="C128" s="15" t="s">
        <v>24</v>
      </c>
      <c r="D128" s="15" t="s">
        <v>46</v>
      </c>
      <c r="E128" s="15" t="str">
        <f>_xlfn.XLOOKUP(D128,Dictionary[Category], Dictionary[Type],"",0,1)</f>
        <v>Expenses</v>
      </c>
      <c r="F128" s="16">
        <v>45515</v>
      </c>
      <c r="G128">
        <f>IF(ISBLANK(Operations[[#This Row],[Date]]), "",MONTH(F128))</f>
        <v>8</v>
      </c>
      <c r="H128">
        <f>IF(ISBLANK(Operations[[#This Row],[Date]]), "",YEAR(F128))</f>
        <v>2024</v>
      </c>
    </row>
    <row r="129" spans="1:8" x14ac:dyDescent="0.25">
      <c r="A129" s="18">
        <v>-100</v>
      </c>
      <c r="B129" s="15" t="s">
        <v>23</v>
      </c>
      <c r="C129" s="15" t="s">
        <v>24</v>
      </c>
      <c r="D129" s="15" t="s">
        <v>3</v>
      </c>
      <c r="E129" s="15" t="str">
        <f>_xlfn.XLOOKUP(D129,Dictionary[Category], Dictionary[Type],"",0,1)</f>
        <v>Expenses</v>
      </c>
      <c r="F129" s="16">
        <v>45518</v>
      </c>
      <c r="G129">
        <f>IF(ISBLANK(Operations[[#This Row],[Date]]), "",MONTH(F129))</f>
        <v>8</v>
      </c>
      <c r="H129">
        <f>IF(ISBLANK(Operations[[#This Row],[Date]]), "",YEAR(F129))</f>
        <v>2024</v>
      </c>
    </row>
    <row r="130" spans="1:8" x14ac:dyDescent="0.25">
      <c r="A130" s="18">
        <v>135</v>
      </c>
      <c r="B130" s="15" t="s">
        <v>22</v>
      </c>
      <c r="C130" s="15" t="s">
        <v>25</v>
      </c>
      <c r="D130" s="15" t="s">
        <v>43</v>
      </c>
      <c r="E130" s="15" t="str">
        <f>_xlfn.XLOOKUP(D130,Dictionary[Category], Dictionary[Type],"",0,1)</f>
        <v>Transaction</v>
      </c>
      <c r="F130" s="16">
        <v>45519</v>
      </c>
      <c r="G130">
        <f>IF(ISBLANK(Operations[[#This Row],[Date]]), "",MONTH(F130))</f>
        <v>8</v>
      </c>
      <c r="H130">
        <f>IF(ISBLANK(Operations[[#This Row],[Date]]), "",YEAR(F130))</f>
        <v>2024</v>
      </c>
    </row>
    <row r="131" spans="1:8" x14ac:dyDescent="0.25">
      <c r="A131" s="18">
        <v>-135</v>
      </c>
      <c r="B131" s="15" t="s">
        <v>22</v>
      </c>
      <c r="C131" s="15" t="s">
        <v>24</v>
      </c>
      <c r="D131" s="15" t="s">
        <v>43</v>
      </c>
      <c r="E131" s="15" t="str">
        <f>_xlfn.XLOOKUP(D131,Dictionary[Category], Dictionary[Type],"",0,1)</f>
        <v>Transaction</v>
      </c>
      <c r="F131" s="16">
        <v>45519</v>
      </c>
      <c r="G131">
        <f>IF(ISBLANK(Operations[[#This Row],[Date]]), "",MONTH(F131))</f>
        <v>8</v>
      </c>
      <c r="H131">
        <f>IF(ISBLANK(Operations[[#This Row],[Date]]), "",YEAR(F131))</f>
        <v>2024</v>
      </c>
    </row>
    <row r="132" spans="1:8" x14ac:dyDescent="0.25">
      <c r="A132" s="18">
        <v>-400</v>
      </c>
      <c r="B132" s="15" t="s">
        <v>22</v>
      </c>
      <c r="C132" s="15" t="s">
        <v>24</v>
      </c>
      <c r="D132" s="15" t="s">
        <v>7</v>
      </c>
      <c r="E132" s="15" t="str">
        <f>_xlfn.XLOOKUP(D132,Dictionary[Category], Dictionary[Type],"",0,1)</f>
        <v>Expenses</v>
      </c>
      <c r="F132" s="16">
        <v>45520</v>
      </c>
      <c r="G132">
        <f>IF(ISBLANK(Operations[[#This Row],[Date]]), "",MONTH(F132))</f>
        <v>8</v>
      </c>
      <c r="H132">
        <f>IF(ISBLANK(Operations[[#This Row],[Date]]), "",YEAR(F132))</f>
        <v>2024</v>
      </c>
    </row>
    <row r="133" spans="1:8" x14ac:dyDescent="0.25">
      <c r="A133" s="18">
        <v>-32</v>
      </c>
      <c r="B133" s="15" t="s">
        <v>22</v>
      </c>
      <c r="C133" s="15" t="s">
        <v>25</v>
      </c>
      <c r="D133" s="15" t="s">
        <v>2</v>
      </c>
      <c r="E133" s="15" t="str">
        <f>_xlfn.XLOOKUP(D133,Dictionary[Category], Dictionary[Type],"",0,1)</f>
        <v>Expenses</v>
      </c>
      <c r="F133" s="16">
        <v>45522</v>
      </c>
      <c r="G133">
        <f>IF(ISBLANK(Operations[[#This Row],[Date]]), "",MONTH(F133))</f>
        <v>8</v>
      </c>
      <c r="H133">
        <f>IF(ISBLANK(Operations[[#This Row],[Date]]), "",YEAR(F133))</f>
        <v>2024</v>
      </c>
    </row>
    <row r="134" spans="1:8" x14ac:dyDescent="0.25">
      <c r="A134" s="18">
        <v>200</v>
      </c>
      <c r="B134" s="15" t="s">
        <v>29</v>
      </c>
      <c r="C134" s="15" t="s">
        <v>28</v>
      </c>
      <c r="D134" s="15" t="s">
        <v>18</v>
      </c>
      <c r="E134" s="15" t="str">
        <f>_xlfn.XLOOKUP(D134,Dictionary[Category], Dictionary[Type],"",0,1)</f>
        <v>Income</v>
      </c>
      <c r="F134" s="16">
        <v>45524</v>
      </c>
      <c r="G134">
        <f>IF(ISBLANK(Operations[[#This Row],[Date]]), "",MONTH(F134))</f>
        <v>8</v>
      </c>
      <c r="H134">
        <f>IF(ISBLANK(Operations[[#This Row],[Date]]), "",YEAR(F134))</f>
        <v>2024</v>
      </c>
    </row>
    <row r="135" spans="1:8" x14ac:dyDescent="0.25">
      <c r="A135" s="18">
        <v>-150</v>
      </c>
      <c r="B135" s="15" t="s">
        <v>29</v>
      </c>
      <c r="C135" s="15" t="s">
        <v>28</v>
      </c>
      <c r="D135" s="15" t="s">
        <v>3</v>
      </c>
      <c r="E135" s="15" t="str">
        <f>_xlfn.XLOOKUP(D135,Dictionary[Category], Dictionary[Type],"",0,1)</f>
        <v>Expenses</v>
      </c>
      <c r="F135" s="16">
        <v>45526</v>
      </c>
      <c r="G135">
        <f>IF(ISBLANK(Operations[[#This Row],[Date]]), "",MONTH(F135))</f>
        <v>8</v>
      </c>
      <c r="H135">
        <f>IF(ISBLANK(Operations[[#This Row],[Date]]), "",YEAR(F135))</f>
        <v>2024</v>
      </c>
    </row>
    <row r="136" spans="1:8" x14ac:dyDescent="0.25">
      <c r="A136" s="18">
        <v>-47.5</v>
      </c>
      <c r="B136" s="15" t="s">
        <v>29</v>
      </c>
      <c r="C136" s="15" t="s">
        <v>28</v>
      </c>
      <c r="D136" s="15" t="s">
        <v>2</v>
      </c>
      <c r="E136" s="15" t="str">
        <f>_xlfn.XLOOKUP(D136,Dictionary[Category], Dictionary[Type],"",0,1)</f>
        <v>Expenses</v>
      </c>
      <c r="F136" s="16">
        <v>45527</v>
      </c>
      <c r="G136">
        <f>IF(ISBLANK(Operations[[#This Row],[Date]]), "",MONTH(F136))</f>
        <v>8</v>
      </c>
      <c r="H136">
        <f>IF(ISBLANK(Operations[[#This Row],[Date]]), "",YEAR(F136))</f>
        <v>2024</v>
      </c>
    </row>
    <row r="137" spans="1:8" x14ac:dyDescent="0.25">
      <c r="A137" s="18">
        <v>-90</v>
      </c>
      <c r="B137" s="15" t="s">
        <v>22</v>
      </c>
      <c r="C137" s="15" t="s">
        <v>24</v>
      </c>
      <c r="D137" s="15" t="s">
        <v>6</v>
      </c>
      <c r="E137" s="15" t="str">
        <f>_xlfn.XLOOKUP(D137,Dictionary[Category], Dictionary[Type],"",0,1)</f>
        <v>Expenses</v>
      </c>
      <c r="F137" s="16">
        <v>45528</v>
      </c>
      <c r="G137">
        <f>IF(ISBLANK(Operations[[#This Row],[Date]]), "",MONTH(F137))</f>
        <v>8</v>
      </c>
      <c r="H137">
        <f>IF(ISBLANK(Operations[[#This Row],[Date]]), "",YEAR(F137))</f>
        <v>2024</v>
      </c>
    </row>
    <row r="138" spans="1:8" x14ac:dyDescent="0.25">
      <c r="A138" s="18">
        <v>-300</v>
      </c>
      <c r="B138" s="15" t="s">
        <v>23</v>
      </c>
      <c r="C138" s="15" t="s">
        <v>27</v>
      </c>
      <c r="D138" s="15" t="s">
        <v>5</v>
      </c>
      <c r="E138" s="15" t="str">
        <f>_xlfn.XLOOKUP(D138,Dictionary[Category], Dictionary[Type],"",0,1)</f>
        <v>Expenses</v>
      </c>
      <c r="F138" s="16">
        <v>45531</v>
      </c>
      <c r="G138">
        <f>IF(ISBLANK(Operations[[#This Row],[Date]]), "",MONTH(F138))</f>
        <v>8</v>
      </c>
      <c r="H138">
        <f>IF(ISBLANK(Operations[[#This Row],[Date]]), "",YEAR(F138))</f>
        <v>2024</v>
      </c>
    </row>
    <row r="139" spans="1:8" x14ac:dyDescent="0.25">
      <c r="A139" s="18">
        <v>500</v>
      </c>
      <c r="B139" s="15" t="s">
        <v>23</v>
      </c>
      <c r="C139" s="15" t="s">
        <v>24</v>
      </c>
      <c r="D139" s="15" t="s">
        <v>9</v>
      </c>
      <c r="E139" s="15" t="str">
        <f>_xlfn.XLOOKUP(D139,Dictionary[Category], Dictionary[Type],"",0,1)</f>
        <v>Expenses</v>
      </c>
      <c r="F139" s="16">
        <v>45534</v>
      </c>
      <c r="G139">
        <f>IF(ISBLANK(Operations[[#This Row],[Date]]), "",MONTH(F139))</f>
        <v>8</v>
      </c>
      <c r="H139">
        <f>IF(ISBLANK(Operations[[#This Row],[Date]]), "",YEAR(F139))</f>
        <v>2024</v>
      </c>
    </row>
    <row r="140" spans="1:8" x14ac:dyDescent="0.25">
      <c r="A140" s="18">
        <v>200</v>
      </c>
      <c r="B140" s="15" t="s">
        <v>22</v>
      </c>
      <c r="C140" s="15" t="s">
        <v>24</v>
      </c>
      <c r="D140" s="15" t="s">
        <v>18</v>
      </c>
      <c r="E140" s="15" t="str">
        <f>_xlfn.XLOOKUP(D140,Dictionary[Category], Dictionary[Type],"",0,1)</f>
        <v>Income</v>
      </c>
      <c r="F140" s="16">
        <v>45535</v>
      </c>
      <c r="G140">
        <f>IF(ISBLANK(Operations[[#This Row],[Date]]), "",MONTH(F140))</f>
        <v>8</v>
      </c>
      <c r="H140">
        <f>IF(ISBLANK(Operations[[#This Row],[Date]]), "",YEAR(F140))</f>
        <v>2024</v>
      </c>
    </row>
    <row r="141" spans="1:8" x14ac:dyDescent="0.25">
      <c r="A141" s="18">
        <v>-150</v>
      </c>
      <c r="B141" s="15" t="s">
        <v>22</v>
      </c>
      <c r="C141" s="15" t="s">
        <v>24</v>
      </c>
      <c r="D141" s="15" t="s">
        <v>6</v>
      </c>
      <c r="E141" s="15" t="str">
        <f>_xlfn.XLOOKUP(D141,Dictionary[Category], Dictionary[Type],"",0,1)</f>
        <v>Expenses</v>
      </c>
      <c r="F141" s="16">
        <v>45536</v>
      </c>
      <c r="G141">
        <f>IF(ISBLANK(Operations[[#This Row],[Date]]), "",MONTH(F141))</f>
        <v>9</v>
      </c>
      <c r="H141">
        <f>IF(ISBLANK(Operations[[#This Row],[Date]]), "",YEAR(F141))</f>
        <v>2024</v>
      </c>
    </row>
    <row r="142" spans="1:8" x14ac:dyDescent="0.25">
      <c r="A142" s="18">
        <v>-20</v>
      </c>
      <c r="B142" s="15" t="s">
        <v>23</v>
      </c>
      <c r="C142" s="15" t="s">
        <v>24</v>
      </c>
      <c r="D142" s="15" t="s">
        <v>2</v>
      </c>
      <c r="E142" s="15" t="str">
        <f>_xlfn.XLOOKUP(D142,Dictionary[Category], Dictionary[Type],"",0,1)</f>
        <v>Expenses</v>
      </c>
      <c r="F142" s="16">
        <v>45539</v>
      </c>
      <c r="G142">
        <f>IF(ISBLANK(Operations[[#This Row],[Date]]), "",MONTH(F142))</f>
        <v>9</v>
      </c>
      <c r="H142">
        <f>IF(ISBLANK(Operations[[#This Row],[Date]]), "",YEAR(F142))</f>
        <v>2024</v>
      </c>
    </row>
    <row r="143" spans="1:8" x14ac:dyDescent="0.25">
      <c r="A143" s="18">
        <v>-40</v>
      </c>
      <c r="B143" s="15" t="s">
        <v>22</v>
      </c>
      <c r="C143" s="15" t="s">
        <v>24</v>
      </c>
      <c r="D143" s="15" t="s">
        <v>8</v>
      </c>
      <c r="E143" s="15" t="str">
        <f>_xlfn.XLOOKUP(D143,Dictionary[Category], Dictionary[Type],"",0,1)</f>
        <v>Expenses</v>
      </c>
      <c r="F143" s="16">
        <v>45542</v>
      </c>
      <c r="G143">
        <f>IF(ISBLANK(Operations[[#This Row],[Date]]), "",MONTH(F143))</f>
        <v>9</v>
      </c>
      <c r="H143">
        <f>IF(ISBLANK(Operations[[#This Row],[Date]]), "",YEAR(F143))</f>
        <v>2024</v>
      </c>
    </row>
    <row r="144" spans="1:8" x14ac:dyDescent="0.25">
      <c r="A144" s="18">
        <v>-500</v>
      </c>
      <c r="B144" s="15" t="s">
        <v>22</v>
      </c>
      <c r="C144" s="15" t="s">
        <v>24</v>
      </c>
      <c r="D144" s="15" t="s">
        <v>2</v>
      </c>
      <c r="E144" s="15" t="str">
        <f>_xlfn.XLOOKUP(D144,Dictionary[Category], Dictionary[Type],"",0,1)</f>
        <v>Expenses</v>
      </c>
      <c r="F144" s="16">
        <v>45543</v>
      </c>
      <c r="G144">
        <f>IF(ISBLANK(Operations[[#This Row],[Date]]), "",MONTH(F144))</f>
        <v>9</v>
      </c>
      <c r="H144">
        <f>IF(ISBLANK(Operations[[#This Row],[Date]]), "",YEAR(F144))</f>
        <v>2024</v>
      </c>
    </row>
    <row r="145" spans="1:8" x14ac:dyDescent="0.25">
      <c r="A145" s="18">
        <v>4500</v>
      </c>
      <c r="B145" s="15" t="s">
        <v>22</v>
      </c>
      <c r="C145" s="15" t="s">
        <v>24</v>
      </c>
      <c r="D145" s="15" t="s">
        <v>14</v>
      </c>
      <c r="E145" s="15" t="str">
        <f>_xlfn.XLOOKUP(D145,Dictionary[Category], Dictionary[Type],"",0,1)</f>
        <v>Income</v>
      </c>
      <c r="F145" s="16">
        <v>45545</v>
      </c>
      <c r="G145">
        <f>IF(ISBLANK(Operations[[#This Row],[Date]]), "",MONTH(F145))</f>
        <v>9</v>
      </c>
      <c r="H145">
        <f>IF(ISBLANK(Operations[[#This Row],[Date]]), "",YEAR(F145))</f>
        <v>2024</v>
      </c>
    </row>
    <row r="146" spans="1:8" x14ac:dyDescent="0.25">
      <c r="A146" s="18">
        <v>-20</v>
      </c>
      <c r="B146" s="15" t="s">
        <v>22</v>
      </c>
      <c r="C146" s="15" t="s">
        <v>25</v>
      </c>
      <c r="D146" s="15" t="s">
        <v>3</v>
      </c>
      <c r="E146" s="15" t="str">
        <f>_xlfn.XLOOKUP(D146,Dictionary[Category], Dictionary[Type],"",0,1)</f>
        <v>Expenses</v>
      </c>
      <c r="F146" s="16">
        <v>45546</v>
      </c>
      <c r="G146">
        <f>IF(ISBLANK(Operations[[#This Row],[Date]]), "",MONTH(F146))</f>
        <v>9</v>
      </c>
      <c r="H146">
        <f>IF(ISBLANK(Operations[[#This Row],[Date]]), "",YEAR(F146))</f>
        <v>2024</v>
      </c>
    </row>
    <row r="147" spans="1:8" x14ac:dyDescent="0.25">
      <c r="A147" s="18">
        <v>-2000</v>
      </c>
      <c r="B147" s="15" t="s">
        <v>22</v>
      </c>
      <c r="C147" s="15" t="s">
        <v>24</v>
      </c>
      <c r="D147" s="15" t="s">
        <v>46</v>
      </c>
      <c r="E147" s="15" t="str">
        <f>_xlfn.XLOOKUP(D147,Dictionary[Category], Dictionary[Type],"",0,1)</f>
        <v>Expenses</v>
      </c>
      <c r="F147" s="16">
        <v>45546</v>
      </c>
      <c r="G147">
        <f>IF(ISBLANK(Operations[[#This Row],[Date]]), "",MONTH(F147))</f>
        <v>9</v>
      </c>
      <c r="H147">
        <f>IF(ISBLANK(Operations[[#This Row],[Date]]), "",YEAR(F147))</f>
        <v>2024</v>
      </c>
    </row>
    <row r="148" spans="1:8" x14ac:dyDescent="0.25">
      <c r="A148" s="18">
        <v>102</v>
      </c>
      <c r="B148" s="15" t="s">
        <v>22</v>
      </c>
      <c r="C148" s="15" t="s">
        <v>25</v>
      </c>
      <c r="D148" s="15" t="s">
        <v>43</v>
      </c>
      <c r="E148" s="15" t="str">
        <f>_xlfn.XLOOKUP(D148,Dictionary[Category], Dictionary[Type],"",0,1)</f>
        <v>Transaction</v>
      </c>
      <c r="F148" s="16">
        <v>45550</v>
      </c>
      <c r="G148">
        <f>IF(ISBLANK(Operations[[#This Row],[Date]]), "",MONTH(F148))</f>
        <v>9</v>
      </c>
      <c r="H148">
        <f>IF(ISBLANK(Operations[[#This Row],[Date]]), "",YEAR(F148))</f>
        <v>2024</v>
      </c>
    </row>
    <row r="149" spans="1:8" x14ac:dyDescent="0.25">
      <c r="A149" s="18">
        <v>-102</v>
      </c>
      <c r="B149" s="15" t="s">
        <v>22</v>
      </c>
      <c r="C149" s="15" t="s">
        <v>24</v>
      </c>
      <c r="D149" s="15" t="s">
        <v>43</v>
      </c>
      <c r="E149" s="15" t="str">
        <f>_xlfn.XLOOKUP(D149,Dictionary[Category], Dictionary[Type],"",0,1)</f>
        <v>Transaction</v>
      </c>
      <c r="F149" s="16">
        <v>45550</v>
      </c>
      <c r="G149">
        <f>IF(ISBLANK(Operations[[#This Row],[Date]]), "",MONTH(F149))</f>
        <v>9</v>
      </c>
      <c r="H149">
        <f>IF(ISBLANK(Operations[[#This Row],[Date]]), "",YEAR(F149))</f>
        <v>2024</v>
      </c>
    </row>
    <row r="150" spans="1:8" x14ac:dyDescent="0.25">
      <c r="A150" s="18">
        <v>-18.5</v>
      </c>
      <c r="B150" s="15" t="s">
        <v>22</v>
      </c>
      <c r="C150" s="15" t="s">
        <v>24</v>
      </c>
      <c r="D150" s="15" t="s">
        <v>2</v>
      </c>
      <c r="E150" s="15" t="str">
        <f>_xlfn.XLOOKUP(D150,Dictionary[Category], Dictionary[Type],"",0,1)</f>
        <v>Expenses</v>
      </c>
      <c r="F150" s="16">
        <v>45553</v>
      </c>
      <c r="G150">
        <f>IF(ISBLANK(Operations[[#This Row],[Date]]), "",MONTH(F150))</f>
        <v>9</v>
      </c>
      <c r="H150">
        <f>IF(ISBLANK(Operations[[#This Row],[Date]]), "",YEAR(F150))</f>
        <v>2024</v>
      </c>
    </row>
    <row r="151" spans="1:8" x14ac:dyDescent="0.25">
      <c r="A151" s="18">
        <v>-150</v>
      </c>
      <c r="B151" s="15" t="s">
        <v>22</v>
      </c>
      <c r="C151" s="15" t="s">
        <v>24</v>
      </c>
      <c r="D151" s="15" t="s">
        <v>6</v>
      </c>
      <c r="E151" s="15" t="str">
        <f>_xlfn.XLOOKUP(D151,Dictionary[Category], Dictionary[Type],"",0,1)</f>
        <v>Expenses</v>
      </c>
      <c r="F151" s="16">
        <v>45566</v>
      </c>
      <c r="G151">
        <f>IF(ISBLANK(Operations[[#This Row],[Date]]), "",MONTH(F151))</f>
        <v>10</v>
      </c>
      <c r="H151">
        <f>IF(ISBLANK(Operations[[#This Row],[Date]]), "",YEAR(F151))</f>
        <v>2024</v>
      </c>
    </row>
    <row r="152" spans="1:8" x14ac:dyDescent="0.25">
      <c r="A152" s="18">
        <v>-40</v>
      </c>
      <c r="B152" s="15" t="s">
        <v>22</v>
      </c>
      <c r="C152" s="15" t="s">
        <v>24</v>
      </c>
      <c r="D152" s="15" t="s">
        <v>8</v>
      </c>
      <c r="E152" s="15" t="str">
        <f>_xlfn.XLOOKUP(D152,Dictionary[Category], Dictionary[Type],"",0,1)</f>
        <v>Expenses</v>
      </c>
      <c r="F152" s="16">
        <v>45572</v>
      </c>
      <c r="G152">
        <f>IF(ISBLANK(Operations[[#This Row],[Date]]), "",MONTH(F152))</f>
        <v>10</v>
      </c>
      <c r="H152">
        <f>IF(ISBLANK(Operations[[#This Row],[Date]]), "",YEAR(F152))</f>
        <v>2024</v>
      </c>
    </row>
    <row r="153" spans="1:8" x14ac:dyDescent="0.25">
      <c r="A153" s="18">
        <v>-600</v>
      </c>
      <c r="B153" s="15" t="s">
        <v>22</v>
      </c>
      <c r="C153" s="15" t="s">
        <v>24</v>
      </c>
      <c r="D153" s="15" t="s">
        <v>2</v>
      </c>
      <c r="E153" s="15" t="str">
        <f>_xlfn.XLOOKUP(D153,Dictionary[Category], Dictionary[Type],"",0,1)</f>
        <v>Expenses</v>
      </c>
      <c r="F153" s="16">
        <v>45573</v>
      </c>
      <c r="G153">
        <f>IF(ISBLANK(Operations[[#This Row],[Date]]), "",MONTH(F153))</f>
        <v>10</v>
      </c>
      <c r="H153">
        <f>IF(ISBLANK(Operations[[#This Row],[Date]]), "",YEAR(F153))</f>
        <v>2024</v>
      </c>
    </row>
    <row r="154" spans="1:8" x14ac:dyDescent="0.25">
      <c r="A154" s="18">
        <v>4500</v>
      </c>
      <c r="B154" s="15" t="s">
        <v>22</v>
      </c>
      <c r="C154" s="15" t="s">
        <v>24</v>
      </c>
      <c r="D154" s="15" t="s">
        <v>14</v>
      </c>
      <c r="E154" s="15" t="str">
        <f>_xlfn.XLOOKUP(D154,Dictionary[Category], Dictionary[Type],"",0,1)</f>
        <v>Income</v>
      </c>
      <c r="F154" s="16">
        <v>45575</v>
      </c>
      <c r="G154">
        <f>IF(ISBLANK(Operations[[#This Row],[Date]]), "",MONTH(F154))</f>
        <v>10</v>
      </c>
      <c r="H154">
        <f>IF(ISBLANK(Operations[[#This Row],[Date]]), "",YEAR(F154))</f>
        <v>2024</v>
      </c>
    </row>
    <row r="155" spans="1:8" x14ac:dyDescent="0.25">
      <c r="A155" s="18">
        <v>-40</v>
      </c>
      <c r="B155" s="15" t="s">
        <v>22</v>
      </c>
      <c r="C155" s="15" t="s">
        <v>25</v>
      </c>
      <c r="D155" s="15" t="s">
        <v>3</v>
      </c>
      <c r="E155" s="15" t="str">
        <f>_xlfn.XLOOKUP(D155,Dictionary[Category], Dictionary[Type],"",0,1)</f>
        <v>Expenses</v>
      </c>
      <c r="F155" s="16">
        <v>45576</v>
      </c>
      <c r="G155">
        <f>IF(ISBLANK(Operations[[#This Row],[Date]]), "",MONTH(F155))</f>
        <v>10</v>
      </c>
      <c r="H155">
        <f>IF(ISBLANK(Operations[[#This Row],[Date]]), "",YEAR(F155))</f>
        <v>2024</v>
      </c>
    </row>
    <row r="156" spans="1:8" x14ac:dyDescent="0.25">
      <c r="A156" s="18">
        <v>-2000</v>
      </c>
      <c r="B156" s="15" t="s">
        <v>22</v>
      </c>
      <c r="C156" s="15" t="s">
        <v>24</v>
      </c>
      <c r="D156" s="15" t="s">
        <v>46</v>
      </c>
      <c r="E156" s="15" t="str">
        <f>_xlfn.XLOOKUP(D156,Dictionary[Category], Dictionary[Type],"",0,1)</f>
        <v>Expenses</v>
      </c>
      <c r="F156" s="16">
        <v>45576</v>
      </c>
      <c r="G156">
        <f>IF(ISBLANK(Operations[[#This Row],[Date]]), "",MONTH(F156))</f>
        <v>10</v>
      </c>
      <c r="H156">
        <f>IF(ISBLANK(Operations[[#This Row],[Date]]), "",YEAR(F156))</f>
        <v>2024</v>
      </c>
    </row>
    <row r="157" spans="1:8" x14ac:dyDescent="0.25">
      <c r="A157" s="18">
        <v>20</v>
      </c>
      <c r="B157" s="15" t="s">
        <v>22</v>
      </c>
      <c r="C157" s="15" t="s">
        <v>25</v>
      </c>
      <c r="D157" s="15" t="s">
        <v>43</v>
      </c>
      <c r="E157" s="15" t="str">
        <f>_xlfn.XLOOKUP(D157,Dictionary[Category], Dictionary[Type],"",0,1)</f>
        <v>Transaction</v>
      </c>
      <c r="F157" s="16">
        <v>45580</v>
      </c>
      <c r="G157">
        <f>IF(ISBLANK(Operations[[#This Row],[Date]]), "",MONTH(F157))</f>
        <v>10</v>
      </c>
      <c r="H157">
        <f>IF(ISBLANK(Operations[[#This Row],[Date]]), "",YEAR(F157))</f>
        <v>2024</v>
      </c>
    </row>
    <row r="158" spans="1:8" x14ac:dyDescent="0.25">
      <c r="A158" s="18">
        <v>-20</v>
      </c>
      <c r="B158" s="15" t="s">
        <v>22</v>
      </c>
      <c r="C158" s="15" t="s">
        <v>24</v>
      </c>
      <c r="D158" s="15" t="s">
        <v>43</v>
      </c>
      <c r="E158" s="15" t="str">
        <f>_xlfn.XLOOKUP(D158,Dictionary[Category], Dictionary[Type],"",0,1)</f>
        <v>Transaction</v>
      </c>
      <c r="F158" s="16">
        <v>45580</v>
      </c>
      <c r="G158">
        <f>IF(ISBLANK(Operations[[#This Row],[Date]]), "",MONTH(F158))</f>
        <v>10</v>
      </c>
      <c r="H158">
        <f>IF(ISBLANK(Operations[[#This Row],[Date]]), "",YEAR(F158))</f>
        <v>2024</v>
      </c>
    </row>
    <row r="159" spans="1:8" x14ac:dyDescent="0.25">
      <c r="A159" s="18">
        <v>4500</v>
      </c>
      <c r="B159" s="15" t="s">
        <v>22</v>
      </c>
      <c r="C159" s="15" t="s">
        <v>24</v>
      </c>
      <c r="D159" s="15" t="s">
        <v>14</v>
      </c>
      <c r="E159" s="15" t="str">
        <f>_xlfn.XLOOKUP(D159,Dictionary[Category], Dictionary[Type],"",0,1)</f>
        <v>Income</v>
      </c>
      <c r="F159" s="16">
        <v>45606</v>
      </c>
      <c r="G159">
        <f>IF(ISBLANK(Operations[[#This Row],[Date]]), "",MONTH(F159))</f>
        <v>11</v>
      </c>
      <c r="H159">
        <f>IF(ISBLANK(Operations[[#This Row],[Date]]), "",YEAR(F159))</f>
        <v>2024</v>
      </c>
    </row>
    <row r="160" spans="1:8" x14ac:dyDescent="0.25">
      <c r="A160" s="18">
        <v>-2000</v>
      </c>
      <c r="B160" s="15" t="s">
        <v>22</v>
      </c>
      <c r="C160" s="15" t="s">
        <v>24</v>
      </c>
      <c r="D160" s="15" t="s">
        <v>46</v>
      </c>
      <c r="E160" s="15" t="str">
        <f>_xlfn.XLOOKUP(D160,Dictionary[Category], Dictionary[Type],"",0,1)</f>
        <v>Expenses</v>
      </c>
      <c r="F160" s="16">
        <v>45607</v>
      </c>
      <c r="G160">
        <f>IF(ISBLANK(Operations[[#This Row],[Date]]), "",MONTH(F160))</f>
        <v>11</v>
      </c>
      <c r="H160">
        <f>IF(ISBLANK(Operations[[#This Row],[Date]]), "",YEAR(F160))</f>
        <v>2024</v>
      </c>
    </row>
    <row r="161" spans="1:8" x14ac:dyDescent="0.25">
      <c r="A161" s="18">
        <v>-82</v>
      </c>
      <c r="B161" s="15" t="s">
        <v>22</v>
      </c>
      <c r="C161" s="15" t="s">
        <v>24</v>
      </c>
      <c r="D161" s="15" t="s">
        <v>6</v>
      </c>
      <c r="E161" s="15" t="str">
        <f>_xlfn.XLOOKUP(D161,Dictionary[Category], Dictionary[Type],"",0,1)</f>
        <v>Expenses</v>
      </c>
      <c r="F161" s="16">
        <v>45607</v>
      </c>
      <c r="G161">
        <f>IF(ISBLANK(Operations[[#This Row],[Date]]), "",MONTH(F161))</f>
        <v>11</v>
      </c>
      <c r="H161">
        <f>IF(ISBLANK(Operations[[#This Row],[Date]]), "",YEAR(F161))</f>
        <v>2024</v>
      </c>
    </row>
    <row r="162" spans="1:8" x14ac:dyDescent="0.25">
      <c r="A162" s="18">
        <v>-200</v>
      </c>
      <c r="B162" s="15" t="s">
        <v>22</v>
      </c>
      <c r="C162" s="15" t="s">
        <v>24</v>
      </c>
      <c r="D162" s="15" t="s">
        <v>2</v>
      </c>
      <c r="E162" s="15" t="str">
        <f>_xlfn.XLOOKUP(D162,Dictionary[Category], Dictionary[Type],"",0,1)</f>
        <v>Expenses</v>
      </c>
      <c r="F162" s="16">
        <v>45607</v>
      </c>
      <c r="G162">
        <f>IF(ISBLANK(Operations[[#This Row],[Date]]), "",MONTH(F162))</f>
        <v>11</v>
      </c>
      <c r="H162">
        <f>IF(ISBLANK(Operations[[#This Row],[Date]]), "",YEAR(F162))</f>
        <v>2024</v>
      </c>
    </row>
    <row r="163" spans="1:8" x14ac:dyDescent="0.25">
      <c r="A163" s="18">
        <v>-12</v>
      </c>
      <c r="B163" s="15" t="s">
        <v>22</v>
      </c>
      <c r="C163" s="15" t="s">
        <v>24</v>
      </c>
      <c r="D163" s="15" t="s">
        <v>8</v>
      </c>
      <c r="E163" s="15" t="str">
        <f>_xlfn.XLOOKUP(D163,Dictionary[Category], Dictionary[Type],"",0,1)</f>
        <v>Expenses</v>
      </c>
      <c r="F163" s="16">
        <v>45608</v>
      </c>
      <c r="G163">
        <f>IF(ISBLANK(Operations[[#This Row],[Date]]), "",MONTH(F163))</f>
        <v>11</v>
      </c>
      <c r="H163">
        <f>IF(ISBLANK(Operations[[#This Row],[Date]]), "",YEAR(F163))</f>
        <v>2024</v>
      </c>
    </row>
    <row r="164" spans="1:8" x14ac:dyDescent="0.25">
      <c r="A164" s="18">
        <v>-90</v>
      </c>
      <c r="B164" s="15" t="s">
        <v>22</v>
      </c>
      <c r="C164" s="15" t="s">
        <v>24</v>
      </c>
      <c r="D164" s="15" t="s">
        <v>3</v>
      </c>
      <c r="E164" s="15" t="str">
        <f>_xlfn.XLOOKUP(D164,Dictionary[Category], Dictionary[Type],"",0,1)</f>
        <v>Expenses</v>
      </c>
      <c r="F164" s="16">
        <v>45610</v>
      </c>
      <c r="G164">
        <f>IF(ISBLANK(Operations[[#This Row],[Date]]), "",MONTH(F164))</f>
        <v>11</v>
      </c>
      <c r="H164">
        <f>IF(ISBLANK(Operations[[#This Row],[Date]]), "",YEAR(F164))</f>
        <v>2024</v>
      </c>
    </row>
    <row r="165" spans="1:8" x14ac:dyDescent="0.25">
      <c r="A165" s="18">
        <v>40</v>
      </c>
      <c r="B165" s="15" t="s">
        <v>22</v>
      </c>
      <c r="C165" s="15" t="s">
        <v>25</v>
      </c>
      <c r="D165" s="15" t="s">
        <v>43</v>
      </c>
      <c r="E165" s="15" t="str">
        <f>_xlfn.XLOOKUP(D165,Dictionary[Category], Dictionary[Type],"",0,1)</f>
        <v>Transaction</v>
      </c>
      <c r="F165" s="16">
        <v>45611</v>
      </c>
      <c r="G165">
        <f>IF(ISBLANK(Operations[[#This Row],[Date]]), "",MONTH(F165))</f>
        <v>11</v>
      </c>
      <c r="H165">
        <f>IF(ISBLANK(Operations[[#This Row],[Date]]), "",YEAR(F165))</f>
        <v>2024</v>
      </c>
    </row>
    <row r="166" spans="1:8" x14ac:dyDescent="0.25">
      <c r="A166" s="18">
        <v>-40</v>
      </c>
      <c r="B166" s="15" t="s">
        <v>22</v>
      </c>
      <c r="C166" s="15" t="s">
        <v>24</v>
      </c>
      <c r="D166" s="15" t="s">
        <v>43</v>
      </c>
      <c r="E166" s="15" t="str">
        <f>_xlfn.XLOOKUP(D166,Dictionary[Category], Dictionary[Type],"",0,1)</f>
        <v>Transaction</v>
      </c>
      <c r="F166" s="16">
        <v>45611</v>
      </c>
      <c r="G166">
        <f>IF(ISBLANK(Operations[[#This Row],[Date]]), "",MONTH(F166))</f>
        <v>11</v>
      </c>
      <c r="H166">
        <f>IF(ISBLANK(Operations[[#This Row],[Date]]), "",YEAR(F166))</f>
        <v>2024</v>
      </c>
    </row>
    <row r="167" spans="1:8" x14ac:dyDescent="0.25">
      <c r="A167" s="18">
        <v>-28</v>
      </c>
      <c r="B167" s="15" t="s">
        <v>22</v>
      </c>
      <c r="C167" s="15" t="s">
        <v>24</v>
      </c>
      <c r="D167" s="15" t="s">
        <v>2</v>
      </c>
      <c r="E167" s="15" t="str">
        <f>_xlfn.XLOOKUP(D167,Dictionary[Category], Dictionary[Type],"",0,1)</f>
        <v>Expenses</v>
      </c>
      <c r="F167" s="16">
        <v>45612</v>
      </c>
      <c r="G167">
        <f>IF(ISBLANK(Operations[[#This Row],[Date]]), "",MONTH(F167))</f>
        <v>11</v>
      </c>
      <c r="H167">
        <f>IF(ISBLANK(Operations[[#This Row],[Date]]), "",YEAR(F167))</f>
        <v>2024</v>
      </c>
    </row>
    <row r="168" spans="1:8" x14ac:dyDescent="0.25">
      <c r="A168" s="18">
        <v>-63</v>
      </c>
      <c r="B168" s="15" t="s">
        <v>22</v>
      </c>
      <c r="C168" s="15" t="s">
        <v>24</v>
      </c>
      <c r="D168" s="15" t="s">
        <v>7</v>
      </c>
      <c r="E168" s="15" t="str">
        <f>_xlfn.XLOOKUP(D168,Dictionary[Category], Dictionary[Type],"",0,1)</f>
        <v>Expenses</v>
      </c>
      <c r="F168" s="16">
        <v>45613</v>
      </c>
      <c r="G168">
        <f>IF(ISBLANK(Operations[[#This Row],[Date]]), "",MONTH(F168))</f>
        <v>11</v>
      </c>
      <c r="H168">
        <f>IF(ISBLANK(Operations[[#This Row],[Date]]), "",YEAR(F168))</f>
        <v>2024</v>
      </c>
    </row>
    <row r="169" spans="1:8" x14ac:dyDescent="0.25">
      <c r="A169" s="18">
        <v>-15</v>
      </c>
      <c r="B169" s="15" t="s">
        <v>22</v>
      </c>
      <c r="C169" s="15" t="s">
        <v>24</v>
      </c>
      <c r="D169" s="15" t="s">
        <v>6</v>
      </c>
      <c r="E169" s="15" t="str">
        <f>_xlfn.XLOOKUP(D169,Dictionary[Category], Dictionary[Type],"",0,1)</f>
        <v>Expenses</v>
      </c>
      <c r="F169" s="16">
        <v>45613</v>
      </c>
      <c r="G169">
        <f>IF(ISBLANK(Operations[[#This Row],[Date]]), "",MONTH(F169))</f>
        <v>11</v>
      </c>
      <c r="H169">
        <f>IF(ISBLANK(Operations[[#This Row],[Date]]), "",YEAR(F169))</f>
        <v>2024</v>
      </c>
    </row>
    <row r="170" spans="1:8" x14ac:dyDescent="0.25">
      <c r="A170" s="18">
        <v>-44</v>
      </c>
      <c r="B170" s="15" t="s">
        <v>22</v>
      </c>
      <c r="C170" s="15" t="s">
        <v>24</v>
      </c>
      <c r="D170" s="15" t="s">
        <v>2</v>
      </c>
      <c r="E170" s="15" t="str">
        <f>_xlfn.XLOOKUP(D170,Dictionary[Category], Dictionary[Type],"",0,1)</f>
        <v>Expenses</v>
      </c>
      <c r="F170" s="16">
        <v>45615</v>
      </c>
      <c r="G170">
        <f>IF(ISBLANK(Operations[[#This Row],[Date]]), "",MONTH(F170))</f>
        <v>11</v>
      </c>
      <c r="H170">
        <f>IF(ISBLANK(Operations[[#This Row],[Date]]), "",YEAR(F170))</f>
        <v>2024</v>
      </c>
    </row>
    <row r="171" spans="1:8" x14ac:dyDescent="0.25">
      <c r="A171" s="18">
        <v>-107</v>
      </c>
      <c r="B171" s="15" t="s">
        <v>22</v>
      </c>
      <c r="C171" s="15" t="s">
        <v>24</v>
      </c>
      <c r="D171" s="15" t="s">
        <v>5</v>
      </c>
      <c r="E171" s="15" t="str">
        <f>_xlfn.XLOOKUP(D171,Dictionary[Category], Dictionary[Type],"",0,1)</f>
        <v>Expenses</v>
      </c>
      <c r="F171" s="16">
        <v>45616</v>
      </c>
      <c r="G171">
        <f>IF(ISBLANK(Operations[[#This Row],[Date]]), "",MONTH(F171))</f>
        <v>11</v>
      </c>
      <c r="H171">
        <f>IF(ISBLANK(Operations[[#This Row],[Date]]), "",YEAR(F171))</f>
        <v>2024</v>
      </c>
    </row>
    <row r="172" spans="1:8" x14ac:dyDescent="0.25">
      <c r="A172" s="18">
        <v>-169</v>
      </c>
      <c r="B172" s="15" t="s">
        <v>22</v>
      </c>
      <c r="C172" s="15" t="s">
        <v>24</v>
      </c>
      <c r="D172" s="15" t="s">
        <v>12</v>
      </c>
      <c r="E172" s="15" t="str">
        <f>_xlfn.XLOOKUP(D172,Dictionary[Category], Dictionary[Type],"",0,1)</f>
        <v>Expenses</v>
      </c>
      <c r="F172" s="16">
        <v>45617</v>
      </c>
      <c r="G172">
        <f>IF(ISBLANK(Operations[[#This Row],[Date]]), "",MONTH(F172))</f>
        <v>11</v>
      </c>
      <c r="H172">
        <f>IF(ISBLANK(Operations[[#This Row],[Date]]), "",YEAR(F172))</f>
        <v>2024</v>
      </c>
    </row>
    <row r="173" spans="1:8" x14ac:dyDescent="0.25">
      <c r="A173" s="18">
        <v>-51</v>
      </c>
      <c r="B173" s="15" t="s">
        <v>22</v>
      </c>
      <c r="C173" s="15" t="s">
        <v>24</v>
      </c>
      <c r="D173" s="15" t="s">
        <v>5</v>
      </c>
      <c r="E173" s="15" t="str">
        <f>_xlfn.XLOOKUP(D173,Dictionary[Category], Dictionary[Type],"",0,1)</f>
        <v>Expenses</v>
      </c>
      <c r="F173" s="16">
        <v>45618</v>
      </c>
      <c r="G173">
        <f>IF(ISBLANK(Operations[[#This Row],[Date]]), "",MONTH(F173))</f>
        <v>11</v>
      </c>
      <c r="H173">
        <f>IF(ISBLANK(Operations[[#This Row],[Date]]), "",YEAR(F173))</f>
        <v>2024</v>
      </c>
    </row>
    <row r="174" spans="1:8" x14ac:dyDescent="0.25">
      <c r="A174" s="18">
        <v>-80</v>
      </c>
      <c r="B174" s="15" t="s">
        <v>22</v>
      </c>
      <c r="C174" s="15" t="s">
        <v>24</v>
      </c>
      <c r="D174" s="15" t="s">
        <v>2</v>
      </c>
      <c r="E174" s="15" t="str">
        <f>_xlfn.XLOOKUP(D174,Dictionary[Category], Dictionary[Type],"",0,1)</f>
        <v>Expenses</v>
      </c>
      <c r="F174" s="16">
        <v>45618</v>
      </c>
      <c r="G174">
        <f>IF(ISBLANK(Operations[[#This Row],[Date]]), "",MONTH(F174))</f>
        <v>11</v>
      </c>
      <c r="H174">
        <f>IF(ISBLANK(Operations[[#This Row],[Date]]), "",YEAR(F174))</f>
        <v>2024</v>
      </c>
    </row>
    <row r="175" spans="1:8" x14ac:dyDescent="0.25">
      <c r="A175" s="18">
        <v>-70</v>
      </c>
      <c r="B175" s="15" t="s">
        <v>22</v>
      </c>
      <c r="C175" s="15" t="s">
        <v>24</v>
      </c>
      <c r="D175" s="15" t="s">
        <v>7</v>
      </c>
      <c r="E175" s="15" t="str">
        <f>_xlfn.XLOOKUP(D175,Dictionary[Category], Dictionary[Type],"",0,1)</f>
        <v>Expenses</v>
      </c>
      <c r="F175" s="16">
        <v>45618</v>
      </c>
      <c r="G175">
        <f>IF(ISBLANK(Operations[[#This Row],[Date]]), "",MONTH(F175))</f>
        <v>11</v>
      </c>
      <c r="H175">
        <f>IF(ISBLANK(Operations[[#This Row],[Date]]), "",YEAR(F175))</f>
        <v>2024</v>
      </c>
    </row>
    <row r="176" spans="1:8" x14ac:dyDescent="0.25">
      <c r="A176" s="18">
        <v>-35</v>
      </c>
      <c r="B176" s="15" t="s">
        <v>22</v>
      </c>
      <c r="C176" s="15" t="s">
        <v>24</v>
      </c>
      <c r="D176" s="15" t="s">
        <v>8</v>
      </c>
      <c r="E176" s="15" t="str">
        <f>_xlfn.XLOOKUP(D176,Dictionary[Category], Dictionary[Type],"",0,1)</f>
        <v>Expenses</v>
      </c>
      <c r="F176" s="16">
        <v>45619</v>
      </c>
      <c r="G176">
        <f>IF(ISBLANK(Operations[[#This Row],[Date]]), "",MONTH(F176))</f>
        <v>11</v>
      </c>
      <c r="H176">
        <f>IF(ISBLANK(Operations[[#This Row],[Date]]), "",YEAR(F176))</f>
        <v>2024</v>
      </c>
    </row>
    <row r="177" spans="1:8" x14ac:dyDescent="0.25">
      <c r="A177" s="18">
        <v>-11</v>
      </c>
      <c r="B177" s="15" t="s">
        <v>22</v>
      </c>
      <c r="C177" s="15" t="s">
        <v>24</v>
      </c>
      <c r="D177" s="15" t="s">
        <v>6</v>
      </c>
      <c r="E177" s="15" t="str">
        <f>_xlfn.XLOOKUP(D177,Dictionary[Category], Dictionary[Type],"",0,1)</f>
        <v>Expenses</v>
      </c>
      <c r="F177" s="16">
        <v>45619</v>
      </c>
      <c r="G177">
        <f>IF(ISBLANK(Operations[[#This Row],[Date]]), "",MONTH(F177))</f>
        <v>11</v>
      </c>
      <c r="H177">
        <f>IF(ISBLANK(Operations[[#This Row],[Date]]), "",YEAR(F177))</f>
        <v>2024</v>
      </c>
    </row>
    <row r="178" spans="1:8" x14ac:dyDescent="0.25">
      <c r="A178" s="18">
        <v>-80</v>
      </c>
      <c r="B178" s="15" t="s">
        <v>22</v>
      </c>
      <c r="C178" s="15" t="s">
        <v>24</v>
      </c>
      <c r="D178" s="15" t="s">
        <v>3</v>
      </c>
      <c r="E178" s="15" t="str">
        <f>_xlfn.XLOOKUP(D178,Dictionary[Category], Dictionary[Type],"",0,1)</f>
        <v>Expenses</v>
      </c>
      <c r="F178" s="16">
        <v>45621</v>
      </c>
      <c r="G178">
        <f>IF(ISBLANK(Operations[[#This Row],[Date]]), "",MONTH(F178))</f>
        <v>11</v>
      </c>
      <c r="H178">
        <f>IF(ISBLANK(Operations[[#This Row],[Date]]), "",YEAR(F178))</f>
        <v>2024</v>
      </c>
    </row>
    <row r="179" spans="1:8" x14ac:dyDescent="0.25">
      <c r="A179" s="18">
        <v>-58</v>
      </c>
      <c r="B179" s="15" t="s">
        <v>22</v>
      </c>
      <c r="C179" s="15" t="s">
        <v>24</v>
      </c>
      <c r="D179" s="15" t="s">
        <v>2</v>
      </c>
      <c r="E179" s="15" t="str">
        <f>_xlfn.XLOOKUP(D179,Dictionary[Category], Dictionary[Type],"",0,1)</f>
        <v>Expenses</v>
      </c>
      <c r="F179" s="16">
        <v>45622</v>
      </c>
      <c r="G179">
        <f>IF(ISBLANK(Operations[[#This Row],[Date]]), "",MONTH(F179))</f>
        <v>11</v>
      </c>
      <c r="H179">
        <f>IF(ISBLANK(Operations[[#This Row],[Date]]), "",YEAR(F179))</f>
        <v>2024</v>
      </c>
    </row>
    <row r="180" spans="1:8" x14ac:dyDescent="0.25">
      <c r="A180" s="18">
        <v>-52</v>
      </c>
      <c r="B180" s="15" t="s">
        <v>22</v>
      </c>
      <c r="C180" s="15" t="s">
        <v>24</v>
      </c>
      <c r="D180" s="15" t="s">
        <v>6</v>
      </c>
      <c r="E180" s="15" t="str">
        <f>_xlfn.XLOOKUP(D180,Dictionary[Category], Dictionary[Type],"",0,1)</f>
        <v>Expenses</v>
      </c>
      <c r="F180" s="16">
        <v>45623</v>
      </c>
      <c r="G180">
        <f>IF(ISBLANK(Operations[[#This Row],[Date]]), "",MONTH(F180))</f>
        <v>11</v>
      </c>
      <c r="H180">
        <f>IF(ISBLANK(Operations[[#This Row],[Date]]), "",YEAR(F180))</f>
        <v>2024</v>
      </c>
    </row>
    <row r="181" spans="1:8" x14ac:dyDescent="0.25">
      <c r="A181" s="18">
        <v>-44</v>
      </c>
      <c r="B181" s="15" t="s">
        <v>22</v>
      </c>
      <c r="C181" s="15" t="s">
        <v>24</v>
      </c>
      <c r="D181" s="15" t="s">
        <v>3</v>
      </c>
      <c r="E181" s="15" t="str">
        <f>_xlfn.XLOOKUP(D181,Dictionary[Category], Dictionary[Type],"",0,1)</f>
        <v>Expenses</v>
      </c>
      <c r="F181" s="16">
        <v>45623</v>
      </c>
      <c r="G181">
        <f>IF(ISBLANK(Operations[[#This Row],[Date]]), "",MONTH(F181))</f>
        <v>11</v>
      </c>
      <c r="H181">
        <f>IF(ISBLANK(Operations[[#This Row],[Date]]), "",YEAR(F181))</f>
        <v>2024</v>
      </c>
    </row>
    <row r="182" spans="1:8" x14ac:dyDescent="0.25">
      <c r="A182" s="18">
        <v>-48</v>
      </c>
      <c r="B182" s="15" t="s">
        <v>22</v>
      </c>
      <c r="C182" s="15" t="s">
        <v>24</v>
      </c>
      <c r="D182" s="15" t="s">
        <v>6</v>
      </c>
      <c r="E182" s="15" t="str">
        <f>_xlfn.XLOOKUP(D182,Dictionary[Category], Dictionary[Type],"",0,1)</f>
        <v>Expenses</v>
      </c>
      <c r="F182" s="16">
        <v>45623</v>
      </c>
      <c r="G182">
        <f>IF(ISBLANK(Operations[[#This Row],[Date]]), "",MONTH(F182))</f>
        <v>11</v>
      </c>
      <c r="H182">
        <f>IF(ISBLANK(Operations[[#This Row],[Date]]), "",YEAR(F182))</f>
        <v>2024</v>
      </c>
    </row>
    <row r="183" spans="1:8" x14ac:dyDescent="0.25">
      <c r="A183" s="18">
        <v>-65</v>
      </c>
      <c r="B183" s="15" t="s">
        <v>22</v>
      </c>
      <c r="C183" s="15" t="s">
        <v>24</v>
      </c>
      <c r="D183" s="15" t="s">
        <v>12</v>
      </c>
      <c r="E183" s="15" t="str">
        <f>_xlfn.XLOOKUP(D183,Dictionary[Category], Dictionary[Type],"",0,1)</f>
        <v>Expenses</v>
      </c>
      <c r="F183" s="16">
        <v>45624</v>
      </c>
      <c r="G183">
        <f>IF(ISBLANK(Operations[[#This Row],[Date]]), "",MONTH(F183))</f>
        <v>11</v>
      </c>
      <c r="H183">
        <f>IF(ISBLANK(Operations[[#This Row],[Date]]), "",YEAR(F183))</f>
        <v>2024</v>
      </c>
    </row>
    <row r="184" spans="1:8" x14ac:dyDescent="0.25">
      <c r="A184" s="18">
        <v>400</v>
      </c>
      <c r="B184" s="15" t="s">
        <v>29</v>
      </c>
      <c r="C184" s="15" t="s">
        <v>28</v>
      </c>
      <c r="D184" s="15" t="s">
        <v>18</v>
      </c>
      <c r="E184" s="15" t="str">
        <f>_xlfn.XLOOKUP(D184,Dictionary[Category], Dictionary[Type],"",0,1)</f>
        <v>Income</v>
      </c>
      <c r="F184" s="16">
        <v>45625</v>
      </c>
      <c r="G184">
        <f>IF(ISBLANK(Operations[[#This Row],[Date]]), "",MONTH(F184))</f>
        <v>11</v>
      </c>
      <c r="H184">
        <f>IF(ISBLANK(Operations[[#This Row],[Date]]), "",YEAR(F184))</f>
        <v>2024</v>
      </c>
    </row>
    <row r="185" spans="1:8" x14ac:dyDescent="0.25">
      <c r="A185" s="18">
        <v>-96</v>
      </c>
      <c r="B185" s="15" t="s">
        <v>22</v>
      </c>
      <c r="C185" s="15" t="s">
        <v>24</v>
      </c>
      <c r="D185" s="15" t="s">
        <v>2</v>
      </c>
      <c r="E185" s="15" t="str">
        <f>_xlfn.XLOOKUP(D185,Dictionary[Category], Dictionary[Type],"",0,1)</f>
        <v>Expenses</v>
      </c>
      <c r="F185" s="16">
        <v>45626</v>
      </c>
      <c r="G185">
        <f>IF(ISBLANK(Operations[[#This Row],[Date]]), "",MONTH(F185))</f>
        <v>11</v>
      </c>
      <c r="H185">
        <f>IF(ISBLANK(Operations[[#This Row],[Date]]), "",YEAR(F185))</f>
        <v>2024</v>
      </c>
    </row>
    <row r="186" spans="1:8" x14ac:dyDescent="0.25">
      <c r="A186" s="18">
        <v>-50</v>
      </c>
      <c r="B186" s="15" t="s">
        <v>22</v>
      </c>
      <c r="C186" s="15" t="s">
        <v>24</v>
      </c>
      <c r="D186" s="15" t="s">
        <v>2</v>
      </c>
      <c r="E186" s="15" t="str">
        <f>_xlfn.XLOOKUP(D186,Dictionary[Category], Dictionary[Type],"",0,1)</f>
        <v>Expenses</v>
      </c>
      <c r="F186" s="16">
        <v>45627</v>
      </c>
      <c r="G186">
        <f>IF(ISBLANK(Operations[[#This Row],[Date]]), "",MONTH(F186))</f>
        <v>12</v>
      </c>
      <c r="H186">
        <f>IF(ISBLANK(Operations[[#This Row],[Date]]), "",YEAR(F186))</f>
        <v>2024</v>
      </c>
    </row>
    <row r="187" spans="1:8" x14ac:dyDescent="0.25">
      <c r="A187" s="18">
        <v>-50</v>
      </c>
      <c r="B187" s="15" t="s">
        <v>22</v>
      </c>
      <c r="C187" s="15" t="s">
        <v>24</v>
      </c>
      <c r="D187" s="15" t="s">
        <v>2</v>
      </c>
      <c r="E187" s="15" t="str">
        <f>_xlfn.XLOOKUP(D187,Dictionary[Category], Dictionary[Type],"",0,1)</f>
        <v>Expenses</v>
      </c>
      <c r="F187" s="16">
        <v>45627</v>
      </c>
      <c r="G187">
        <f>IF(ISBLANK(Operations[[#This Row],[Date]]), "",MONTH(F187))</f>
        <v>12</v>
      </c>
      <c r="H187">
        <f>IF(ISBLANK(Operations[[#This Row],[Date]]), "",YEAR(F187))</f>
        <v>2024</v>
      </c>
    </row>
    <row r="188" spans="1:8" x14ac:dyDescent="0.25">
      <c r="A188" s="18">
        <v>-5</v>
      </c>
      <c r="B188" s="15" t="s">
        <v>22</v>
      </c>
      <c r="C188" s="15" t="s">
        <v>24</v>
      </c>
      <c r="D188" s="15" t="s">
        <v>7</v>
      </c>
      <c r="E188" s="15" t="str">
        <f>_xlfn.XLOOKUP(D188,Dictionary[Category], Dictionary[Type],"",0,1)</f>
        <v>Expenses</v>
      </c>
      <c r="F188" s="16">
        <v>45628</v>
      </c>
      <c r="G188">
        <f>IF(ISBLANK(Operations[[#This Row],[Date]]), "",MONTH(F188))</f>
        <v>12</v>
      </c>
      <c r="H188">
        <f>IF(ISBLANK(Operations[[#This Row],[Date]]), "",YEAR(F188))</f>
        <v>2024</v>
      </c>
    </row>
    <row r="189" spans="1:8" x14ac:dyDescent="0.25">
      <c r="A189" s="18">
        <v>-100</v>
      </c>
      <c r="B189" s="15" t="s">
        <v>22</v>
      </c>
      <c r="C189" s="15" t="s">
        <v>24</v>
      </c>
      <c r="D189" s="15" t="s">
        <v>12</v>
      </c>
      <c r="E189" s="15" t="str">
        <f>_xlfn.XLOOKUP(D189,Dictionary[Category], Dictionary[Type],"",0,1)</f>
        <v>Expenses</v>
      </c>
      <c r="F189" s="16">
        <v>45628</v>
      </c>
      <c r="G189">
        <f>IF(ISBLANK(Operations[[#This Row],[Date]]), "",MONTH(F189))</f>
        <v>12</v>
      </c>
      <c r="H189">
        <f>IF(ISBLANK(Operations[[#This Row],[Date]]), "",YEAR(F189))</f>
        <v>2024</v>
      </c>
    </row>
    <row r="190" spans="1:8" x14ac:dyDescent="0.25">
      <c r="A190" s="18">
        <v>-60</v>
      </c>
      <c r="B190" s="15" t="s">
        <v>22</v>
      </c>
      <c r="C190" s="15" t="s">
        <v>24</v>
      </c>
      <c r="D190" s="15" t="s">
        <v>5</v>
      </c>
      <c r="E190" s="15" t="str">
        <f>_xlfn.XLOOKUP(D190,Dictionary[Category], Dictionary[Type],"",0,1)</f>
        <v>Expenses</v>
      </c>
      <c r="F190" s="16">
        <v>45628</v>
      </c>
      <c r="G190">
        <f>IF(ISBLANK(Operations[[#This Row],[Date]]), "",MONTH(F190))</f>
        <v>12</v>
      </c>
      <c r="H190">
        <f>IF(ISBLANK(Operations[[#This Row],[Date]]), "",YEAR(F190))</f>
        <v>2024</v>
      </c>
    </row>
    <row r="191" spans="1:8" x14ac:dyDescent="0.25">
      <c r="A191" s="18">
        <v>-5</v>
      </c>
      <c r="B191" s="15" t="s">
        <v>22</v>
      </c>
      <c r="C191" s="15" t="s">
        <v>24</v>
      </c>
      <c r="D191" s="15" t="s">
        <v>7</v>
      </c>
      <c r="E191" s="15" t="str">
        <f>_xlfn.XLOOKUP(D191,Dictionary[Category], Dictionary[Type],"",0,1)</f>
        <v>Expenses</v>
      </c>
      <c r="F191" s="16">
        <v>45628</v>
      </c>
      <c r="G191">
        <f>IF(ISBLANK(Operations[[#This Row],[Date]]), "",MONTH(F191))</f>
        <v>12</v>
      </c>
      <c r="H191">
        <f>IF(ISBLANK(Operations[[#This Row],[Date]]), "",YEAR(F191))</f>
        <v>2024</v>
      </c>
    </row>
    <row r="192" spans="1:8" x14ac:dyDescent="0.25">
      <c r="A192" s="18">
        <v>-100</v>
      </c>
      <c r="B192" s="15" t="s">
        <v>22</v>
      </c>
      <c r="C192" s="15" t="s">
        <v>24</v>
      </c>
      <c r="D192" s="15" t="s">
        <v>12</v>
      </c>
      <c r="E192" s="15" t="str">
        <f>_xlfn.XLOOKUP(D192,Dictionary[Category], Dictionary[Type],"",0,1)</f>
        <v>Expenses</v>
      </c>
      <c r="F192" s="16">
        <v>45628</v>
      </c>
      <c r="G192">
        <f>IF(ISBLANK(Operations[[#This Row],[Date]]), "",MONTH(F192))</f>
        <v>12</v>
      </c>
      <c r="H192">
        <f>IF(ISBLANK(Operations[[#This Row],[Date]]), "",YEAR(F192))</f>
        <v>2024</v>
      </c>
    </row>
    <row r="193" spans="1:8" x14ac:dyDescent="0.25">
      <c r="A193" s="18">
        <v>-60</v>
      </c>
      <c r="B193" s="15" t="s">
        <v>22</v>
      </c>
      <c r="C193" s="15" t="s">
        <v>24</v>
      </c>
      <c r="D193" s="15" t="s">
        <v>5</v>
      </c>
      <c r="E193" s="15" t="str">
        <f>_xlfn.XLOOKUP(D193,Dictionary[Category], Dictionary[Type],"",0,1)</f>
        <v>Expenses</v>
      </c>
      <c r="F193" s="16">
        <v>45628</v>
      </c>
      <c r="G193">
        <f>IF(ISBLANK(Operations[[#This Row],[Date]]), "",MONTH(F193))</f>
        <v>12</v>
      </c>
      <c r="H193">
        <f>IF(ISBLANK(Operations[[#This Row],[Date]]), "",YEAR(F193))</f>
        <v>2024</v>
      </c>
    </row>
    <row r="194" spans="1:8" x14ac:dyDescent="0.25">
      <c r="A194" s="18">
        <v>-150</v>
      </c>
      <c r="B194" s="15" t="s">
        <v>22</v>
      </c>
      <c r="C194" s="15" t="s">
        <v>24</v>
      </c>
      <c r="D194" s="15" t="s">
        <v>3</v>
      </c>
      <c r="E194" s="15" t="str">
        <f>_xlfn.XLOOKUP(D194,Dictionary[Category], Dictionary[Type],"",0,1)</f>
        <v>Expenses</v>
      </c>
      <c r="F194" s="16">
        <v>45629</v>
      </c>
      <c r="G194">
        <f>IF(ISBLANK(Operations[[#This Row],[Date]]), "",MONTH(F194))</f>
        <v>12</v>
      </c>
      <c r="H194">
        <f>IF(ISBLANK(Operations[[#This Row],[Date]]), "",YEAR(F194))</f>
        <v>2024</v>
      </c>
    </row>
    <row r="195" spans="1:8" x14ac:dyDescent="0.25">
      <c r="A195" s="18">
        <v>-150</v>
      </c>
      <c r="B195" s="15" t="s">
        <v>22</v>
      </c>
      <c r="C195" s="15" t="s">
        <v>24</v>
      </c>
      <c r="D195" s="15" t="s">
        <v>3</v>
      </c>
      <c r="E195" s="15" t="str">
        <f>_xlfn.XLOOKUP(D195,Dictionary[Category], Dictionary[Type],"",0,1)</f>
        <v>Expenses</v>
      </c>
      <c r="F195" s="16">
        <v>45629</v>
      </c>
      <c r="G195">
        <f>IF(ISBLANK(Operations[[#This Row],[Date]]), "",MONTH(F195))</f>
        <v>12</v>
      </c>
      <c r="H195">
        <f>IF(ISBLANK(Operations[[#This Row],[Date]]), "",YEAR(F195))</f>
        <v>2024</v>
      </c>
    </row>
    <row r="196" spans="1:8" x14ac:dyDescent="0.25">
      <c r="A196" s="18">
        <v>-100</v>
      </c>
      <c r="B196" s="15" t="s">
        <v>22</v>
      </c>
      <c r="C196" s="15" t="s">
        <v>24</v>
      </c>
      <c r="D196" s="15" t="s">
        <v>2</v>
      </c>
      <c r="E196" s="15" t="str">
        <f>_xlfn.XLOOKUP(D196,Dictionary[Category], Dictionary[Type],"",0,1)</f>
        <v>Expenses</v>
      </c>
      <c r="F196" s="16">
        <v>45632</v>
      </c>
      <c r="G196">
        <f>IF(ISBLANK(Operations[[#This Row],[Date]]), "",MONTH(F196))</f>
        <v>12</v>
      </c>
      <c r="H196">
        <f>IF(ISBLANK(Operations[[#This Row],[Date]]), "",YEAR(F196))</f>
        <v>2024</v>
      </c>
    </row>
    <row r="197" spans="1:8" x14ac:dyDescent="0.25">
      <c r="A197" s="18">
        <v>-100</v>
      </c>
      <c r="B197" s="15" t="s">
        <v>22</v>
      </c>
      <c r="C197" s="15" t="s">
        <v>24</v>
      </c>
      <c r="D197" s="15" t="s">
        <v>2</v>
      </c>
      <c r="E197" s="15" t="str">
        <f>_xlfn.XLOOKUP(D197,Dictionary[Category], Dictionary[Type],"",0,1)</f>
        <v>Expenses</v>
      </c>
      <c r="F197" s="16">
        <v>45632</v>
      </c>
      <c r="G197">
        <f>IF(ISBLANK(Operations[[#This Row],[Date]]), "",MONTH(F197))</f>
        <v>12</v>
      </c>
      <c r="H197">
        <f>IF(ISBLANK(Operations[[#This Row],[Date]]), "",YEAR(F197))</f>
        <v>2024</v>
      </c>
    </row>
    <row r="198" spans="1:8" x14ac:dyDescent="0.25">
      <c r="A198" s="18">
        <v>4500</v>
      </c>
      <c r="B198" s="15" t="s">
        <v>22</v>
      </c>
      <c r="C198" s="15" t="s">
        <v>24</v>
      </c>
      <c r="D198" s="15" t="s">
        <v>14</v>
      </c>
      <c r="E198" s="15" t="str">
        <f>_xlfn.XLOOKUP(D198,Dictionary[Category], Dictionary[Type],"",0,1)</f>
        <v>Income</v>
      </c>
      <c r="F198" s="16">
        <v>45636</v>
      </c>
      <c r="G198">
        <f>IF(ISBLANK(Operations[[#This Row],[Date]]), "",MONTH(F198))</f>
        <v>12</v>
      </c>
      <c r="H198">
        <f>IF(ISBLANK(Operations[[#This Row],[Date]]), "",YEAR(F198))</f>
        <v>2024</v>
      </c>
    </row>
    <row r="199" spans="1:8" x14ac:dyDescent="0.25">
      <c r="A199" s="18">
        <v>-2000</v>
      </c>
      <c r="B199" s="15" t="s">
        <v>22</v>
      </c>
      <c r="C199" s="15" t="s">
        <v>24</v>
      </c>
      <c r="D199" s="15" t="s">
        <v>46</v>
      </c>
      <c r="E199" s="15" t="str">
        <f>_xlfn.XLOOKUP(D199,Dictionary[Category], Dictionary[Type],"",0,1)</f>
        <v>Expenses</v>
      </c>
      <c r="F199" s="16">
        <v>45637</v>
      </c>
      <c r="G199">
        <f>IF(ISBLANK(Operations[[#This Row],[Date]]), "",MONTH(F199))</f>
        <v>12</v>
      </c>
      <c r="H199">
        <f>IF(ISBLANK(Operations[[#This Row],[Date]]), "",YEAR(F199))</f>
        <v>2024</v>
      </c>
    </row>
    <row r="200" spans="1:8" x14ac:dyDescent="0.25">
      <c r="A200" s="18">
        <v>-50</v>
      </c>
      <c r="B200" s="15" t="s">
        <v>22</v>
      </c>
      <c r="C200" s="15" t="s">
        <v>24</v>
      </c>
      <c r="D200" s="15" t="s">
        <v>3</v>
      </c>
      <c r="E200" s="15" t="str">
        <f>_xlfn.XLOOKUP(D200,Dictionary[Category], Dictionary[Type],"",0,1)</f>
        <v>Expenses</v>
      </c>
      <c r="F200" s="16">
        <v>45640</v>
      </c>
      <c r="G200">
        <f>IF(ISBLANK(Operations[[#This Row],[Date]]), "",MONTH(F200))</f>
        <v>12</v>
      </c>
      <c r="H200">
        <f>IF(ISBLANK(Operations[[#This Row],[Date]]), "",YEAR(F200))</f>
        <v>2024</v>
      </c>
    </row>
    <row r="201" spans="1:8" x14ac:dyDescent="0.25">
      <c r="A201" s="18">
        <v>-100</v>
      </c>
      <c r="B201" s="15" t="s">
        <v>22</v>
      </c>
      <c r="C201" s="15" t="s">
        <v>24</v>
      </c>
      <c r="D201" s="15" t="s">
        <v>9</v>
      </c>
      <c r="E201" s="15" t="str">
        <f>_xlfn.XLOOKUP(D201,Dictionary[Category], Dictionary[Type],"",0,1)</f>
        <v>Expenses</v>
      </c>
      <c r="F201" s="16">
        <v>45641</v>
      </c>
      <c r="G201">
        <f>IF(ISBLANK(Operations[[#This Row],[Date]]), "",MONTH(F201))</f>
        <v>12</v>
      </c>
      <c r="H201">
        <f>IF(ISBLANK(Operations[[#This Row],[Date]]), "",YEAR(F201))</f>
        <v>2024</v>
      </c>
    </row>
    <row r="202" spans="1:8" x14ac:dyDescent="0.25">
      <c r="A202" s="18">
        <v>-100</v>
      </c>
      <c r="B202" s="15" t="s">
        <v>22</v>
      </c>
      <c r="C202" s="15" t="s">
        <v>24</v>
      </c>
      <c r="D202" s="15" t="s">
        <v>2</v>
      </c>
      <c r="E202" s="15" t="str">
        <f>_xlfn.XLOOKUP(D202,Dictionary[Category], Dictionary[Type],"",0,1)</f>
        <v>Expenses</v>
      </c>
      <c r="F202" s="16">
        <v>45644</v>
      </c>
      <c r="G202">
        <f>IF(ISBLANK(Operations[[#This Row],[Date]]), "",MONTH(F202))</f>
        <v>12</v>
      </c>
      <c r="H202">
        <f>IF(ISBLANK(Operations[[#This Row],[Date]]), "",YEAR(F202))</f>
        <v>2024</v>
      </c>
    </row>
    <row r="203" spans="1:8" x14ac:dyDescent="0.25">
      <c r="A203" s="18">
        <v>500</v>
      </c>
      <c r="B203" s="15" t="s">
        <v>29</v>
      </c>
      <c r="C203" s="15" t="s">
        <v>28</v>
      </c>
      <c r="D203" s="15" t="s">
        <v>18</v>
      </c>
      <c r="E203" s="15" t="str">
        <f>_xlfn.XLOOKUP(D203,Dictionary[Category], Dictionary[Type],"",0,1)</f>
        <v>Income</v>
      </c>
      <c r="F203" s="16">
        <v>45648</v>
      </c>
      <c r="G203">
        <f>IF(ISBLANK(Operations[[#This Row],[Date]]), "",MONTH(F203))</f>
        <v>12</v>
      </c>
      <c r="H203">
        <f>IF(ISBLANK(Operations[[#This Row],[Date]]), "",YEAR(F203))</f>
        <v>2024</v>
      </c>
    </row>
    <row r="204" spans="1:8" x14ac:dyDescent="0.25">
      <c r="A204" s="18">
        <v>-100</v>
      </c>
      <c r="B204" s="15" t="s">
        <v>29</v>
      </c>
      <c r="C204" s="15" t="s">
        <v>28</v>
      </c>
      <c r="D204" s="15" t="s">
        <v>3</v>
      </c>
      <c r="E204" s="15" t="str">
        <f>_xlfn.XLOOKUP(D204,Dictionary[Category], Dictionary[Type],"",0,1)</f>
        <v>Expenses</v>
      </c>
      <c r="F204" s="16">
        <v>45649</v>
      </c>
      <c r="G204">
        <f>IF(ISBLANK(Operations[[#This Row],[Date]]), "",MONTH(F204))</f>
        <v>12</v>
      </c>
      <c r="H204">
        <f>IF(ISBLANK(Operations[[#This Row],[Date]]), "",YEAR(F204))</f>
        <v>2024</v>
      </c>
    </row>
    <row r="205" spans="1:8" x14ac:dyDescent="0.25">
      <c r="A205" s="18">
        <v>1500</v>
      </c>
      <c r="B205" s="15" t="s">
        <v>29</v>
      </c>
      <c r="C205" s="15" t="s">
        <v>28</v>
      </c>
      <c r="D205" s="15" t="s">
        <v>18</v>
      </c>
      <c r="E205" s="15" t="str">
        <f>_xlfn.XLOOKUP(D205,Dictionary[Category], Dictionary[Type],"",0,1)</f>
        <v>Income</v>
      </c>
      <c r="F205" s="16">
        <v>45650</v>
      </c>
      <c r="G205">
        <f>IF(ISBLANK(Operations[[#This Row],[Date]]), "",MONTH(F205))</f>
        <v>12</v>
      </c>
      <c r="H205">
        <f>IF(ISBLANK(Operations[[#This Row],[Date]]), "",YEAR(F205))</f>
        <v>2024</v>
      </c>
    </row>
    <row r="206" spans="1:8" x14ac:dyDescent="0.25">
      <c r="A206" s="18">
        <v>-500</v>
      </c>
      <c r="B206" s="15" t="s">
        <v>29</v>
      </c>
      <c r="C206" s="15" t="s">
        <v>28</v>
      </c>
      <c r="D206" s="15" t="s">
        <v>12</v>
      </c>
      <c r="E206" s="15" t="str">
        <f>_xlfn.XLOOKUP(D206,Dictionary[Category], Dictionary[Type],"",0,1)</f>
        <v>Expenses</v>
      </c>
      <c r="F206" s="16">
        <v>45654</v>
      </c>
      <c r="G206">
        <f>IF(ISBLANK(Operations[[#This Row],[Date]]), "",MONTH(F206))</f>
        <v>12</v>
      </c>
      <c r="H206">
        <f>IF(ISBLANK(Operations[[#This Row],[Date]]), "",YEAR(F206))</f>
        <v>2024</v>
      </c>
    </row>
    <row r="207" spans="1:8" x14ac:dyDescent="0.25">
      <c r="A207" s="18">
        <v>-300</v>
      </c>
      <c r="B207" s="15" t="s">
        <v>29</v>
      </c>
      <c r="C207" s="15" t="s">
        <v>28</v>
      </c>
      <c r="D207" s="15" t="s">
        <v>2</v>
      </c>
      <c r="E207" s="15" t="str">
        <f>_xlfn.XLOOKUP(D207,Dictionary[Category], Dictionary[Type],"",0,1)</f>
        <v>Expenses</v>
      </c>
      <c r="F207" s="16">
        <v>45656</v>
      </c>
      <c r="G207">
        <f>IF(ISBLANK(Operations[[#This Row],[Date]]), "",MONTH(F207))</f>
        <v>12</v>
      </c>
      <c r="H207">
        <f>IF(ISBLANK(Operations[[#This Row],[Date]]), "",YEAR(F207))</f>
        <v>2024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E526598-38AD-4AF5-BCA7-A402053489AA}">
          <x14:formula1>
            <xm:f>Dictionary!$C$1:$E$1</xm:f>
          </x14:formula1>
          <xm:sqref>B2:B207</xm:sqref>
        </x14:dataValidation>
        <x14:dataValidation type="list" allowBlank="1" showInputMessage="1" showErrorMessage="1" xr:uid="{DB303C09-59BC-42CC-BA49-7EDCD557B3DD}">
          <x14:formula1>
            <xm:f>Dictionary!$A$2:$A$21</xm:f>
          </x14:formula1>
          <xm:sqref>D2:D207</xm:sqref>
        </x14:dataValidation>
        <x14:dataValidation type="list" allowBlank="1" showInputMessage="1" showErrorMessage="1" xr:uid="{19721EA1-23BE-4B2C-AA1F-6D44B254094A}">
          <x14:formula1>
            <xm:f>CHOOSE(MATCH(B2,Dictionary!$C$1:$E$1,0),Dictionary!$C$2:$C$4,Dictionary!C2:C3,Dictionary!$E$2:$E$4)</xm:f>
          </x14:formula1>
          <xm:sqref>C2:C10</xm:sqref>
        </x14:dataValidation>
        <x14:dataValidation type="list" allowBlank="1" showInputMessage="1" showErrorMessage="1" xr:uid="{F50DB57D-5FC5-4FB1-9F26-5D7A8F82A8A1}">
          <x14:formula1>
            <xm:f>CHOOSE(MATCH(B13,Dictionary!$C$1:$E$1,0),Dictionary!$C$2:$C$4,Dictionary!C12:C13,Dictionary!$E$2:$E$4)</xm:f>
          </x14:formula1>
          <xm:sqref>C13:C207</xm:sqref>
        </x14:dataValidation>
        <x14:dataValidation type="list" allowBlank="1" showInputMessage="1" showErrorMessage="1" xr:uid="{63693F63-1BAA-438D-99DD-9B0EE50551BC}">
          <x14:formula1>
            <xm:f>CHOOSE(MATCH(B11,Dictionary!$C$1:$E$1,0),Dictionary!$C$2:$C$4,Dictionary!C11:C11,Dictionary!$E$2:$E$4)</xm:f>
          </x14:formula1>
          <xm:sqref>C11:C12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6AB1-24BB-4956-85ED-BC25314CC0AA}">
  <dimension ref="A1:H21"/>
  <sheetViews>
    <sheetView tabSelected="1" zoomScale="160" zoomScaleNormal="160" workbookViewId="0"/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.7109375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v>2000</v>
      </c>
      <c r="D2" s="17">
        <f>SUMIFS(Operations[Amount], Operations[Bank],January_Balance[[#This Row],[Bank]],Operations[Product],January_Balance[[#This Row],[Product]],Operations[Month],$B$12)</f>
        <v>1100</v>
      </c>
      <c r="E2" s="17">
        <f>January_Balance[[#This Row],[Opening balance]]+January_Balance[[#This Row],[Operations]]</f>
        <v>3100</v>
      </c>
      <c r="G2" s="17" t="s">
        <v>2</v>
      </c>
      <c r="H2" s="17">
        <f>SUMIFS(Operations[Amount],Operations[Month],$B$12,Operations[Category],G2)</f>
        <v>-1715</v>
      </c>
    </row>
    <row r="3" spans="1:8" x14ac:dyDescent="0.25">
      <c r="A3" t="s">
        <v>22</v>
      </c>
      <c r="B3" t="s">
        <v>25</v>
      </c>
      <c r="C3" s="17">
        <v>0</v>
      </c>
      <c r="D3" s="17">
        <f>SUMIFS(Operations[Amount], Operations[Bank],January_Balance[[#This Row],[Bank]],Operations[Product],January_Balance[[#This Row],[Product]],Operations[Month],$B$12)</f>
        <v>-175</v>
      </c>
      <c r="E3" s="17">
        <f>January_Balance[[#This Row],[Opening balance]]+January_Balance[[#This Row],[Operations]]</f>
        <v>-175</v>
      </c>
      <c r="G3" s="17" t="s">
        <v>3</v>
      </c>
      <c r="H3" s="17">
        <f>SUMIFS(Operations[Amount],Operations[Month],$B$12,Operations[Category],G3)</f>
        <v>-85</v>
      </c>
    </row>
    <row r="4" spans="1:8" x14ac:dyDescent="0.25">
      <c r="A4" t="s">
        <v>22</v>
      </c>
      <c r="B4" t="s">
        <v>26</v>
      </c>
      <c r="C4" s="17">
        <v>2000</v>
      </c>
      <c r="D4" s="17">
        <f>SUMIFS(Operations[Amount], Operations[Bank],January_Balance[[#This Row],[Bank]],Operations[Product],January_Balance[[#This Row],[Product]],Operations[Month],$B$12)</f>
        <v>-400</v>
      </c>
      <c r="E4" s="17">
        <f>January_Balance[[#This Row],[Opening balance]]+January_Balance[[#This Row],[Operations]]</f>
        <v>1600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v>100</v>
      </c>
      <c r="D5" s="17">
        <f>SUMIFS(Operations[Amount], Operations[Bank],January_Balance[[#This Row],[Bank]],Operations[Product],January_Balance[[#This Row],[Product]],Operations[Month],$B$12)</f>
        <v>-35</v>
      </c>
      <c r="E5" s="17">
        <f>January_Balance[[#This Row],[Opening balance]]+January_Balance[[#This Row],[Operations]]</f>
        <v>65</v>
      </c>
      <c r="G5" s="17" t="s">
        <v>5</v>
      </c>
      <c r="H5" s="17">
        <f>SUMIFS(Operations[Amount],Operations[Month],$B$12,Operations[Category],G5)</f>
        <v>-80</v>
      </c>
    </row>
    <row r="6" spans="1:8" x14ac:dyDescent="0.25">
      <c r="A6" t="s">
        <v>23</v>
      </c>
      <c r="B6" t="s">
        <v>27</v>
      </c>
      <c r="C6" s="17">
        <v>10.5</v>
      </c>
      <c r="D6" s="17">
        <f>SUMIFS(Operations[Amount], Operations[Bank],January_Balance[[#This Row],[Bank]],Operations[Product],January_Balance[[#This Row],[Product]],Operations[Month],$B$12)</f>
        <v>255.5</v>
      </c>
      <c r="E6" s="17">
        <f>January_Balance[[#This Row],[Opening balance]]+January_Balance[[#This Row],[Operations]]</f>
        <v>266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v>30</v>
      </c>
      <c r="D7" s="17">
        <f>SUMIFS(Operations[Amount], Operations[Bank],January_Balance[[#This Row],[Bank]],Operations[Product],January_Balance[[#This Row],[Product]],Operations[Month],$B$12)</f>
        <v>150</v>
      </c>
      <c r="E7" s="17">
        <f>January_Balance[[#This Row],[Opening balance]]+January_Balance[[#This Row],[Operations]]</f>
        <v>180</v>
      </c>
      <c r="G7" s="17" t="s">
        <v>7</v>
      </c>
      <c r="H7" s="17">
        <f>SUMIFS(Operations[Amount],Operations[Month],$B$12,Operations[Category],G7)</f>
        <v>-100</v>
      </c>
    </row>
    <row r="8" spans="1:8" x14ac:dyDescent="0.25">
      <c r="A8" t="s">
        <v>29</v>
      </c>
      <c r="B8" t="s">
        <v>30</v>
      </c>
      <c r="C8" s="17">
        <v>50</v>
      </c>
      <c r="D8" s="17">
        <f>SUMIFS(Operations[Amount], Operations[Bank],January_Balance[[#This Row],[Bank]],Operations[Product],January_Balance[[#This Row],[Product]],Operations[Month],$B$12)</f>
        <v>-50</v>
      </c>
      <c r="E8" s="17">
        <f>January_Balance[[#This Row],[Opening balance]]+January_Balance[[#This Row],[Operations]]</f>
        <v>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SUBTOTAL(109,January_Balance[Opening balance])</f>
        <v>4190.5</v>
      </c>
      <c r="D9" s="19">
        <f>SUBTOTAL(109,January_Balance[Operations])</f>
        <v>845.5</v>
      </c>
      <c r="E9" s="19">
        <f>SUBTOTAL(109,January_Balance[Closing Balance])</f>
        <v>5036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1</v>
      </c>
      <c r="G12" s="17" t="s">
        <v>12</v>
      </c>
      <c r="H12" s="17">
        <f>SUMIFS(Operations[Amount],Operations[Month],$B$12,Operations[Category],G12)</f>
        <v>-500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5655.5</v>
      </c>
      <c r="G14" s="17" t="s">
        <v>15</v>
      </c>
      <c r="H14" s="17">
        <f>SUMIFS(Operations[Amount],Operations[Month],$B$12,Operations[Category],G14)</f>
        <v>250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105.5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800</v>
      </c>
    </row>
    <row r="21" spans="7:8" x14ac:dyDescent="0.25">
      <c r="G21" s="19" t="s">
        <v>42</v>
      </c>
      <c r="H21" s="19">
        <f>SUBTOTAL(109,January_Categories[Sum])</f>
        <v>2845.5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CF1-EAE8-4103-A804-021C253ADF5B}">
  <dimension ref="A1:H21"/>
  <sheetViews>
    <sheetView zoomScale="160" zoomScaleNormal="160" workbookViewId="0">
      <selection activeCell="G2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January_Balance[[#This Row],[Closing Balance]]</f>
        <v>3100</v>
      </c>
      <c r="D2" s="17">
        <f>SUMIFS(Operations[Amount], Operations[Bank],Febuary_Balance[[#This Row],[Bank]],Operations[Product],Febuary_Balance[[#This Row],[Product]],Operations[Month],$B$12)</f>
        <v>2039.5</v>
      </c>
      <c r="E2" s="17">
        <f>Febuary_Balance[[#This Row],[Opening balance]]+Febuary_Balance[[#This Row],[Operations]]</f>
        <v>5139.5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January_Balance[[#This Row],[Closing Balance]]</f>
        <v>-175</v>
      </c>
      <c r="D3" s="17">
        <f>SUMIFS(Operations[Amount], Operations[Bank],Febuary_Balance[[#This Row],[Bank]],Operations[Product],Febuary_Balance[[#This Row],[Product]],Operations[Month],$B$12)</f>
        <v>175</v>
      </c>
      <c r="E3" s="17">
        <f>Febuary_Balance[[#This Row],[Opening balance]]+Febuary_Balance[[#This Row],[Operations]]</f>
        <v>0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January_Balance[[#This Row],[Closing Balance]]</f>
        <v>1600</v>
      </c>
      <c r="D4" s="17">
        <f>SUMIFS(Operations[Amount], Operations[Bank],Febuary_Balance[[#This Row],[Bank]],Operations[Product],Febuary_Balance[[#This Row],[Product]],Operations[Month],$B$12)</f>
        <v>-400</v>
      </c>
      <c r="E4" s="17">
        <f>Febuary_Balance[[#This Row],[Opening balance]]+Febuary_Balance[[#This Row],[Operations]]</f>
        <v>1200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January_Balance[[#This Row],[Closing Balance]]</f>
        <v>65</v>
      </c>
      <c r="D5" s="17">
        <f>SUMIFS(Operations[Amount], Operations[Bank],Febuary_Balance[[#This Row],[Bank]],Operations[Product],Febuary_Balance[[#This Row],[Product]],Operations[Month],$B$12)</f>
        <v>35</v>
      </c>
      <c r="E5" s="17">
        <f>Febuary_Balance[[#This Row],[Opening balance]]+Febuary_Balance[[#This Row],[Operations]]</f>
        <v>100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January_Balance[[#This Row],[Closing Balance]]</f>
        <v>266</v>
      </c>
      <c r="D6" s="17">
        <f>SUMIFS(Operations[Amount], Operations[Bank],Febuary_Balance[[#This Row],[Bank]],Operations[Product],Febuary_Balance[[#This Row],[Product]],Operations[Month],$B$12)</f>
        <v>15</v>
      </c>
      <c r="E6" s="17">
        <f>Febuary_Balance[[#This Row],[Opening balance]]+Febuary_Balance[[#This Row],[Operations]]</f>
        <v>281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January_Balance[[#This Row],[Closing Balance]]</f>
        <v>180</v>
      </c>
      <c r="D7" s="17">
        <f>SUMIFS(Operations[Amount], Operations[Bank],Febuary_Balance[[#This Row],[Bank]],Operations[Product],Febuary_Balance[[#This Row],[Product]],Operations[Month],$B$12)</f>
        <v>500</v>
      </c>
      <c r="E7" s="17">
        <f>Febuary_Balance[[#This Row],[Opening balance]]+Febuary_Balance[[#This Row],[Operations]]</f>
        <v>680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January_Balance[[#This Row],[Closing Balance]]</f>
        <v>0</v>
      </c>
      <c r="D8" s="17">
        <f>SUMIFS(Operations[Amount], Operations[Bank],Febuary_Balance[[#This Row],[Bank]],Operations[Product],Febuary_Balance[[#This Row],[Product]],Operations[Month],$B$12)</f>
        <v>100</v>
      </c>
      <c r="E8" s="17">
        <f>Febuary_Balance[[#This Row],[Opening balance]]+Febuary_Balance[[#This Row],[Operations]]</f>
        <v>100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SUBTOTAL(109,Febuary_Balance[Opening balance])</f>
        <v>5036</v>
      </c>
      <c r="D9" s="19">
        <f>SUBTOTAL(109,Febuary_Balance[Operations])</f>
        <v>2464.5</v>
      </c>
      <c r="E9" s="19">
        <f>SUBTOTAL(109,Febuary_Balance[Closing Balance])</f>
        <v>7500.5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SUBTOTAL(109,Febuary_Categories[Sum])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68F9-6A69-41E3-A15E-F3A250847F5C}">
  <dimension ref="A1:H21"/>
  <sheetViews>
    <sheetView zoomScale="160" zoomScaleNormal="160" workbookViewId="0">
      <selection activeCell="C2" sqref="C2:E9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9.42578125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9">
        <f>Febuary_Balance[[#This Row],[Closing Balance]]</f>
        <v>5139.5</v>
      </c>
      <c r="D2" s="19">
        <f>SUMIFS(Operations[Amount], Operations[Bank],March_Balance[[#This Row],[Bank]],Operations[Product],March_Balance[[#This Row],[Product]],Operations[Month],$B$12)</f>
        <v>2039.5</v>
      </c>
      <c r="E2" s="19">
        <f>March_Balance[[#This Row],[Opening balance]]+March_Balance[[#This Row],[Operations]]</f>
        <v>7179</v>
      </c>
      <c r="G2" s="19" t="s">
        <v>2</v>
      </c>
      <c r="H2" s="19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9">
        <f>Febuary_Balance[[#This Row],[Closing Balance]]</f>
        <v>0</v>
      </c>
      <c r="D3" s="19">
        <f>SUMIFS(Operations[Amount], Operations[Bank],March_Balance[[#This Row],[Bank]],Operations[Product],March_Balance[[#This Row],[Product]],Operations[Month],$B$12)</f>
        <v>175</v>
      </c>
      <c r="E3" s="19">
        <f>March_Balance[[#This Row],[Opening balance]]+March_Balance[[#This Row],[Operations]]</f>
        <v>175</v>
      </c>
      <c r="G3" s="19" t="s">
        <v>3</v>
      </c>
      <c r="H3" s="19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9">
        <f>Febuary_Balance[[#This Row],[Closing Balance]]</f>
        <v>1200</v>
      </c>
      <c r="D4" s="19">
        <f>SUMIFS(Operations[Amount], Operations[Bank],March_Balance[[#This Row],[Bank]],Operations[Product],March_Balance[[#This Row],[Product]],Operations[Month],$B$12)</f>
        <v>-400</v>
      </c>
      <c r="E4" s="19">
        <f>March_Balance[[#This Row],[Opening balance]]+March_Balance[[#This Row],[Operations]]</f>
        <v>800</v>
      </c>
      <c r="G4" s="19" t="s">
        <v>4</v>
      </c>
      <c r="H4" s="19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9">
        <f>Febuary_Balance[[#This Row],[Closing Balance]]</f>
        <v>100</v>
      </c>
      <c r="D5" s="19">
        <f>SUMIFS(Operations[Amount], Operations[Bank],March_Balance[[#This Row],[Bank]],Operations[Product],March_Balance[[#This Row],[Product]],Operations[Month],$B$12)</f>
        <v>35</v>
      </c>
      <c r="E5" s="19">
        <f>March_Balance[[#This Row],[Opening balance]]+March_Balance[[#This Row],[Operations]]</f>
        <v>135</v>
      </c>
      <c r="G5" s="19" t="s">
        <v>5</v>
      </c>
      <c r="H5" s="19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9">
        <f>Febuary_Balance[[#This Row],[Closing Balance]]</f>
        <v>281</v>
      </c>
      <c r="D6" s="19">
        <f>SUMIFS(Operations[Amount], Operations[Bank],March_Balance[[#This Row],[Bank]],Operations[Product],March_Balance[[#This Row],[Product]],Operations[Month],$B$12)</f>
        <v>15</v>
      </c>
      <c r="E6" s="19">
        <f>March_Balance[[#This Row],[Opening balance]]+March_Balance[[#This Row],[Operations]]</f>
        <v>296</v>
      </c>
      <c r="G6" s="19" t="s">
        <v>6</v>
      </c>
      <c r="H6" s="19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9">
        <f>Febuary_Balance[[#This Row],[Closing Balance]]</f>
        <v>680</v>
      </c>
      <c r="D7" s="19">
        <f>SUMIFS(Operations[Amount], Operations[Bank],March_Balance[[#This Row],[Bank]],Operations[Product],March_Balance[[#This Row],[Product]],Operations[Month],$B$12)</f>
        <v>500</v>
      </c>
      <c r="E7" s="19">
        <f>March_Balance[[#This Row],[Opening balance]]+March_Balance[[#This Row],[Operations]]</f>
        <v>1180</v>
      </c>
      <c r="G7" s="19" t="s">
        <v>7</v>
      </c>
      <c r="H7" s="19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9">
        <f>Febuary_Balance[[#This Row],[Closing Balance]]</f>
        <v>100</v>
      </c>
      <c r="D8" s="19">
        <f>SUMIFS(Operations[Amount], Operations[Bank],March_Balance[[#This Row],[Bank]],Operations[Product],March_Balance[[#This Row],[Product]],Operations[Month],$B$12)</f>
        <v>100</v>
      </c>
      <c r="E8" s="19">
        <f>March_Balance[[#This Row],[Opening balance]]+March_Balance[[#This Row],[Operations]]</f>
        <v>200</v>
      </c>
      <c r="G8" s="19" t="s">
        <v>8</v>
      </c>
      <c r="H8" s="19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SUBTOTAL(109,March_Balance[Opening balance])</f>
        <v>7500.5</v>
      </c>
      <c r="D9" s="19">
        <f>SUBTOTAL(109,March_Balance[Operations])</f>
        <v>2464.5</v>
      </c>
      <c r="E9" s="19">
        <f>SUBTOTAL(109,March_Balance[Closing Balance])</f>
        <v>9965</v>
      </c>
      <c r="G9" s="19" t="s">
        <v>9</v>
      </c>
      <c r="H9" s="19">
        <f>SUMIFS(Operations[Amount],Operations[Month],$B$12,Operations[Category],G9)</f>
        <v>-100</v>
      </c>
    </row>
    <row r="10" spans="1:8" x14ac:dyDescent="0.25">
      <c r="G10" s="19" t="s">
        <v>10</v>
      </c>
      <c r="H10" s="19">
        <f>SUMIFS(Operations[Amount],Operations[Month],$B$12,Operations[Category],G10)</f>
        <v>0</v>
      </c>
    </row>
    <row r="11" spans="1:8" x14ac:dyDescent="0.25">
      <c r="G11" s="19" t="s">
        <v>11</v>
      </c>
      <c r="H11" s="19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9" t="s">
        <v>12</v>
      </c>
      <c r="H12" s="19">
        <f>SUMIFS(Operations[Amount],Operations[Month],$B$12,Operations[Category],G12)</f>
        <v>-765</v>
      </c>
    </row>
    <row r="13" spans="1:8" x14ac:dyDescent="0.25">
      <c r="G13" s="19" t="s">
        <v>14</v>
      </c>
      <c r="H13" s="19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9" t="s">
        <v>15</v>
      </c>
      <c r="H14" s="19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9" t="s">
        <v>16</v>
      </c>
      <c r="H15" s="19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9" t="s">
        <v>17</v>
      </c>
      <c r="H16" s="19">
        <f>SUMIFS(Operations[Amount],Operations[Month],$B$12,Operations[Category],G16)</f>
        <v>0</v>
      </c>
    </row>
    <row r="17" spans="7:8" x14ac:dyDescent="0.25">
      <c r="G17" s="19" t="s">
        <v>18</v>
      </c>
      <c r="H17" s="19">
        <f>SUMIFS(Operations[Amount],Operations[Month],$B$12,Operations[Category],G17)</f>
        <v>0</v>
      </c>
    </row>
    <row r="18" spans="7:8" x14ac:dyDescent="0.25">
      <c r="G18" s="19" t="s">
        <v>20</v>
      </c>
      <c r="H18" s="19">
        <f>SUMIFS(Operations[Amount],Operations[Month],$B$12,Operations[Category],G18)</f>
        <v>0</v>
      </c>
    </row>
    <row r="19" spans="7:8" x14ac:dyDescent="0.25">
      <c r="G19" s="19" t="s">
        <v>38</v>
      </c>
      <c r="H19" s="19">
        <f>SUMIFS(Operations[Amount],Operations[Month],$B$12,Operations[Category],G19)</f>
        <v>0</v>
      </c>
    </row>
    <row r="20" spans="7:8" x14ac:dyDescent="0.25">
      <c r="G20" s="19" t="s">
        <v>19</v>
      </c>
      <c r="H20" s="19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SUBTOTAL(109,March_Categories[Sum])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305-11F3-4919-BA33-174D75E5572E}">
  <dimension ref="A1:H21"/>
  <sheetViews>
    <sheetView zoomScale="160" zoomScaleNormal="160" workbookViewId="0">
      <selection activeCell="G2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t="s">
        <v>39</v>
      </c>
      <c r="D1" t="s">
        <v>40</v>
      </c>
      <c r="E1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March_Balance[[#This Row],[Closing Balance]]</f>
        <v>7179</v>
      </c>
      <c r="D2" s="17">
        <f>SUMIFS(Operations[Amount], Operations[Bank],April_Balance[[#This Row],[Bank]],Operations[Product],April_Balance[[#This Row],[Product]],Operations[Month],$B$12)</f>
        <v>2039.5</v>
      </c>
      <c r="E2" s="17">
        <f>April_Balance[[#This Row],[Opening balance]]+April_Balance[[#This Row],[Operations]]</f>
        <v>9218.5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March_Balance[[#This Row],[Closing Balance]]</f>
        <v>175</v>
      </c>
      <c r="D3" s="17">
        <f>SUMIFS(Operations[Amount], Operations[Bank],April_Balance[[#This Row],[Bank]],Operations[Product],April_Balance[[#This Row],[Product]],Operations[Month],$B$12)</f>
        <v>175</v>
      </c>
      <c r="E3" s="17">
        <f>April_Balance[[#This Row],[Opening balance]]+April_Balance[[#This Row],[Operations]]</f>
        <v>350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March_Balance[[#This Row],[Closing Balance]]</f>
        <v>800</v>
      </c>
      <c r="D4" s="17">
        <f>SUMIFS(Operations[Amount], Operations[Bank],April_Balance[[#This Row],[Bank]],Operations[Product],April_Balance[[#This Row],[Product]],Operations[Month],$B$12)</f>
        <v>-400</v>
      </c>
      <c r="E4" s="17">
        <f>April_Balance[[#This Row],[Opening balance]]+April_Balance[[#This Row],[Operations]]</f>
        <v>400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March_Balance[[#This Row],[Closing Balance]]</f>
        <v>135</v>
      </c>
      <c r="D5" s="17">
        <f>SUMIFS(Operations[Amount], Operations[Bank],April_Balance[[#This Row],[Bank]],Operations[Product],April_Balance[[#This Row],[Product]],Operations[Month],$B$12)</f>
        <v>35</v>
      </c>
      <c r="E5" s="17">
        <f>April_Balance[[#This Row],[Opening balance]]+April_Balance[[#This Row],[Operations]]</f>
        <v>170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March_Balance[[#This Row],[Closing Balance]]</f>
        <v>296</v>
      </c>
      <c r="D6" s="17">
        <f>SUMIFS(Operations[Amount], Operations[Bank],April_Balance[[#This Row],[Bank]],Operations[Product],April_Balance[[#This Row],[Product]],Operations[Month],$B$12)</f>
        <v>15</v>
      </c>
      <c r="E6" s="17">
        <f>April_Balance[[#This Row],[Opening balance]]+April_Balance[[#This Row],[Operations]]</f>
        <v>311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March_Balance[[#This Row],[Closing Balance]]</f>
        <v>1180</v>
      </c>
      <c r="D7" s="17">
        <f>SUMIFS(Operations[Amount], Operations[Bank],April_Balance[[#This Row],[Bank]],Operations[Product],April_Balance[[#This Row],[Product]],Operations[Month],$B$12)</f>
        <v>500</v>
      </c>
      <c r="E7" s="17">
        <f>April_Balance[[#This Row],[Opening balance]]+April_Balance[[#This Row],[Operations]]</f>
        <v>1680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March_Balance[[#This Row],[Closing Balance]]</f>
        <v>200</v>
      </c>
      <c r="D8" s="17">
        <f>SUMIFS(Operations[Amount], Operations[Bank],April_Balance[[#This Row],[Bank]],Operations[Product],April_Balance[[#This Row],[Product]],Operations[Month],$B$12)</f>
        <v>100</v>
      </c>
      <c r="E8" s="17">
        <f>April_Balance[[#This Row],[Opening balance]]+April_Balance[[#This Row],[Operations]]</f>
        <v>300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>
        <f>SUBTOTAL(109,April_Balance[Opening balance])</f>
        <v>9965</v>
      </c>
      <c r="D9">
        <f>SUBTOTAL(109,April_Balance[Operations])</f>
        <v>2464.5</v>
      </c>
      <c r="E9">
        <f>SUBTOTAL(109,April_Balance[Closing Balance])</f>
        <v>12429.5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SUBTOTAL(109,April_Categories[Sum])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E277-3746-4583-93E2-3DFA66EBA131}">
  <dimension ref="A1:H21"/>
  <sheetViews>
    <sheetView zoomScale="160" zoomScaleNormal="160" workbookViewId="0">
      <selection activeCell="C2" sqref="C2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t="s">
        <v>39</v>
      </c>
      <c r="D1" t="s">
        <v>40</v>
      </c>
      <c r="E1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April_Balance[[#This Row],[Closing Balance]]</f>
        <v>9218.5</v>
      </c>
      <c r="D2" s="17">
        <f>SUMIFS(Operations[Amount], Operations[Bank],May_Balance[[#This Row],[Bank]],Operations[Product],May_Balance[[#This Row],[Product]],Operations[Month],$B$12)</f>
        <v>2039.5</v>
      </c>
      <c r="E2" s="17">
        <f>May_Balance[[#This Row],[Opening balance]]+May_Balance[[#This Row],[Operations]]</f>
        <v>11258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Febuary_Balance[[#This Row],[Closing Balance]]</f>
        <v>0</v>
      </c>
      <c r="D3" s="17">
        <f>SUMIFS(Operations[Amount], Operations[Bank],May_Balance[[#This Row],[Bank]],Operations[Product],May_Balance[[#This Row],[Product]],Operations[Month],$B$12)</f>
        <v>175</v>
      </c>
      <c r="E3" s="17">
        <f>May_Balance[[#This Row],[Opening balance]]+May_Balance[[#This Row],[Operations]]</f>
        <v>175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Febuary_Balance[[#This Row],[Closing Balance]]</f>
        <v>1200</v>
      </c>
      <c r="D4" s="17">
        <f>SUMIFS(Operations[Amount], Operations[Bank],May_Balance[[#This Row],[Bank]],Operations[Product],May_Balance[[#This Row],[Product]],Operations[Month],$B$12)</f>
        <v>-400</v>
      </c>
      <c r="E4" s="17">
        <f>May_Balance[[#This Row],[Opening balance]]+May_Balance[[#This Row],[Operations]]</f>
        <v>800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Febuary_Balance[[#This Row],[Closing Balance]]</f>
        <v>100</v>
      </c>
      <c r="D5" s="17">
        <f>SUMIFS(Operations[Amount], Operations[Bank],May_Balance[[#This Row],[Bank]],Operations[Product],May_Balance[[#This Row],[Product]],Operations[Month],$B$12)</f>
        <v>35</v>
      </c>
      <c r="E5" s="17">
        <f>May_Balance[[#This Row],[Opening balance]]+May_Balance[[#This Row],[Operations]]</f>
        <v>135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Febuary_Balance[[#This Row],[Closing Balance]]</f>
        <v>281</v>
      </c>
      <c r="D6" s="17">
        <f>SUMIFS(Operations[Amount], Operations[Bank],May_Balance[[#This Row],[Bank]],Operations[Product],May_Balance[[#This Row],[Product]],Operations[Month],$B$12)</f>
        <v>15</v>
      </c>
      <c r="E6" s="17">
        <f>May_Balance[[#This Row],[Opening balance]]+May_Balance[[#This Row],[Operations]]</f>
        <v>296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Febuary_Balance[[#This Row],[Closing Balance]]</f>
        <v>680</v>
      </c>
      <c r="D7" s="17">
        <f>SUMIFS(Operations[Amount], Operations[Bank],May_Balance[[#This Row],[Bank]],Operations[Product],May_Balance[[#This Row],[Product]],Operations[Month],$B$12)</f>
        <v>500</v>
      </c>
      <c r="E7" s="17">
        <f>May_Balance[[#This Row],[Opening balance]]+May_Balance[[#This Row],[Operations]]</f>
        <v>1180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Febuary_Balance[[#This Row],[Closing Balance]]</f>
        <v>100</v>
      </c>
      <c r="D8" s="17">
        <f>SUMIFS(Operations[Amount], Operations[Bank],May_Balance[[#This Row],[Bank]],Operations[Product],May_Balance[[#This Row],[Product]],Operations[Month],$B$12)</f>
        <v>100</v>
      </c>
      <c r="E8" s="17">
        <f>May_Balance[[#This Row],[Opening balance]]+May_Balance[[#This Row],[Operations]]</f>
        <v>200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>
        <f>SUBTOTAL(109,May_Balance[Opening balance])</f>
        <v>11579.5</v>
      </c>
      <c r="D9">
        <f>SUBTOTAL(109,May_Balance[Operations])</f>
        <v>2464.5</v>
      </c>
      <c r="E9">
        <f>SUBTOTAL(109,May_Balance[Closing Balance])</f>
        <v>14044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SUBTOTAL(109,May_Categories[Sum])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2C0C-1456-4AC9-86A6-2B81422B5176}">
  <dimension ref="A1:H21"/>
  <sheetViews>
    <sheetView zoomScale="160" zoomScaleNormal="160" workbookViewId="0">
      <selection activeCell="H20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May_Balance[[#This Row],[Closing Balance]]</f>
        <v>11258</v>
      </c>
      <c r="D2" s="17">
        <f>SUMIFS(Operations[Amount], Operations[Bank],June_Balance[[#This Row],[Bank]],Operations[Product],June_Balance[[#This Row],[Product]],Operations[Month],$B$12)</f>
        <v>2039.5</v>
      </c>
      <c r="E2" s="17">
        <f>June_Balance[[#This Row],[Opening balance]]+June_Balance[[#This Row],[Operations]]</f>
        <v>13297.5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May_Balance[[#This Row],[Closing Balance]]</f>
        <v>175</v>
      </c>
      <c r="D3" s="17">
        <f>SUMIFS(Operations[Amount], Operations[Bank],June_Balance[[#This Row],[Bank]],Operations[Product],June_Balance[[#This Row],[Product]],Operations[Month],$B$12)</f>
        <v>175</v>
      </c>
      <c r="E3" s="17">
        <f>June_Balance[[#This Row],[Opening balance]]+June_Balance[[#This Row],[Operations]]</f>
        <v>350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May_Balance[[#This Row],[Closing Balance]]</f>
        <v>800</v>
      </c>
      <c r="D4" s="17">
        <f>SUMIFS(Operations[Amount], Operations[Bank],June_Balance[[#This Row],[Bank]],Operations[Product],June_Balance[[#This Row],[Product]],Operations[Month],$B$12)</f>
        <v>-400</v>
      </c>
      <c r="E4" s="17">
        <f>June_Balance[[#This Row],[Opening balance]]+June_Balance[[#This Row],[Operations]]</f>
        <v>400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May_Balance[[#This Row],[Closing Balance]]</f>
        <v>135</v>
      </c>
      <c r="D5" s="17">
        <f>SUMIFS(Operations[Amount], Operations[Bank],June_Balance[[#This Row],[Bank]],Operations[Product],June_Balance[[#This Row],[Product]],Operations[Month],$B$12)</f>
        <v>35</v>
      </c>
      <c r="E5" s="17">
        <f>June_Balance[[#This Row],[Opening balance]]+June_Balance[[#This Row],[Operations]]</f>
        <v>170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May_Balance[[#This Row],[Closing Balance]]</f>
        <v>296</v>
      </c>
      <c r="D6" s="17">
        <f>SUMIFS(Operations[Amount], Operations[Bank],June_Balance[[#This Row],[Bank]],Operations[Product],June_Balance[[#This Row],[Product]],Operations[Month],$B$12)</f>
        <v>15</v>
      </c>
      <c r="E6" s="17">
        <f>June_Balance[[#This Row],[Opening balance]]+June_Balance[[#This Row],[Operations]]</f>
        <v>311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May_Balance[[#This Row],[Closing Balance]]</f>
        <v>1180</v>
      </c>
      <c r="D7" s="17">
        <f>SUMIFS(Operations[Amount], Operations[Bank],June_Balance[[#This Row],[Bank]],Operations[Product],June_Balance[[#This Row],[Product]],Operations[Month],$B$12)</f>
        <v>500</v>
      </c>
      <c r="E7" s="17">
        <f>June_Balance[[#This Row],[Opening balance]]+June_Balance[[#This Row],[Operations]]</f>
        <v>1680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May_Balance[[#This Row],[Closing Balance]]</f>
        <v>200</v>
      </c>
      <c r="D8" s="17">
        <f>SUMIFS(Operations[Amount], Operations[Bank],June_Balance[[#This Row],[Bank]],Operations[Product],June_Balance[[#This Row],[Product]],Operations[Month],$B$12)</f>
        <v>100</v>
      </c>
      <c r="E8" s="17">
        <f>June_Balance[[#This Row],[Opening balance]]+June_Balance[[#This Row],[Operations]]</f>
        <v>300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SUBTOTAL(109,June_Balance[Opening balance])</f>
        <v>14044</v>
      </c>
      <c r="D9" s="19">
        <f>SUBTOTAL(109,June_Balance[Operations])</f>
        <v>2464.5</v>
      </c>
      <c r="E9" s="19">
        <f>SUBTOTAL(109,June_Balance[Closing Balance])</f>
        <v>16508.5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SUBTOTAL(109,June_Categories[Sum])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C171-DC61-448E-B6CF-E78D38928932}">
  <dimension ref="A1:H21"/>
  <sheetViews>
    <sheetView zoomScale="160" zoomScaleNormal="160" workbookViewId="0">
      <selection activeCell="G2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June_Balance[[#This Row],[Closing Balance]]</f>
        <v>13297.5</v>
      </c>
      <c r="D2" s="17">
        <f>SUMIFS(Operations[Amount], Operations[Bank],July_Balance[[#This Row],[Bank]],Operations[Product],July_Balance[[#This Row],[Product]],Operations[Month],$B$12)</f>
        <v>2039.5</v>
      </c>
      <c r="E2" s="17">
        <f>July_Balance[[#This Row],[Opening balance]]+July_Balance[[#This Row],[Operations]]</f>
        <v>15337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June_Balance[[#This Row],[Closing Balance]]</f>
        <v>350</v>
      </c>
      <c r="D3" s="17">
        <f>SUMIFS(Operations[Amount], Operations[Bank],July_Balance[[#This Row],[Bank]],Operations[Product],July_Balance[[#This Row],[Product]],Operations[Month],$B$12)</f>
        <v>175</v>
      </c>
      <c r="E3" s="17">
        <f>July_Balance[[#This Row],[Opening balance]]+July_Balance[[#This Row],[Operations]]</f>
        <v>525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June_Balance[[#This Row],[Closing Balance]]</f>
        <v>400</v>
      </c>
      <c r="D4" s="17">
        <f>SUMIFS(Operations[Amount], Operations[Bank],July_Balance[[#This Row],[Bank]],Operations[Product],July_Balance[[#This Row],[Product]],Operations[Month],$B$12)</f>
        <v>-400</v>
      </c>
      <c r="E4" s="17">
        <f>July_Balance[[#This Row],[Opening balance]]+July_Balance[[#This Row],[Operations]]</f>
        <v>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June_Balance[[#This Row],[Closing Balance]]</f>
        <v>170</v>
      </c>
      <c r="D5" s="17">
        <f>SUMIFS(Operations[Amount], Operations[Bank],July_Balance[[#This Row],[Bank]],Operations[Product],July_Balance[[#This Row],[Product]],Operations[Month],$B$12)</f>
        <v>35</v>
      </c>
      <c r="E5" s="17">
        <f>July_Balance[[#This Row],[Opening balance]]+July_Balance[[#This Row],[Operations]]</f>
        <v>205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June_Balance[[#This Row],[Closing Balance]]</f>
        <v>311</v>
      </c>
      <c r="D6" s="17">
        <f>SUMIFS(Operations[Amount], Operations[Bank],July_Balance[[#This Row],[Bank]],Operations[Product],July_Balance[[#This Row],[Product]],Operations[Month],$B$12)</f>
        <v>15</v>
      </c>
      <c r="E6" s="17">
        <f>July_Balance[[#This Row],[Opening balance]]+July_Balance[[#This Row],[Operations]]</f>
        <v>326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June_Balance[[#This Row],[Closing Balance]]</f>
        <v>1680</v>
      </c>
      <c r="D7" s="17">
        <f>SUMIFS(Operations[Amount], Operations[Bank],July_Balance[[#This Row],[Bank]],Operations[Product],July_Balance[[#This Row],[Product]],Operations[Month],$B$12)</f>
        <v>500</v>
      </c>
      <c r="E7" s="17">
        <f>July_Balance[[#This Row],[Opening balance]]+July_Balance[[#This Row],[Operations]]</f>
        <v>2180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June_Balance[[#This Row],[Closing Balance]]</f>
        <v>300</v>
      </c>
      <c r="D8" s="17">
        <f>SUMIFS(Operations[Amount], Operations[Bank],July_Balance[[#This Row],[Bank]],Operations[Product],July_Balance[[#This Row],[Product]],Operations[Month],$B$12)</f>
        <v>100</v>
      </c>
      <c r="E8" s="17">
        <f>July_Balance[[#This Row],[Opening balance]]+July_Balance[[#This Row],[Operations]]</f>
        <v>400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SUBTOTAL(109,July_Balance[Opening balance])</f>
        <v>16508.5</v>
      </c>
      <c r="D9" s="19">
        <f>SUBTOTAL(109,July_Balance[Operations])</f>
        <v>2464.5</v>
      </c>
      <c r="E9" s="19">
        <f>SUBTOTAL(109,July_Balance[Closing Balance])</f>
        <v>18973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SUBTOTAL(109,July_Categories[Sum])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5E42-D622-4FE2-9E0D-80A04CF42755}">
  <dimension ref="A1:H21"/>
  <sheetViews>
    <sheetView zoomScale="160" zoomScaleNormal="160" workbookViewId="0">
      <selection activeCell="D4" sqref="D4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July_Balance[[#This Row],[Closing Balance]]</f>
        <v>15337</v>
      </c>
      <c r="D2" s="17">
        <f>SUMIFS(Operations[Amount], Operations[Bank],August_Balance[[#This Row],[Bank]],Operations[Product],August_Balance[[#This Row],[Product]],Operations[Month],$B$12)</f>
        <v>2039.5</v>
      </c>
      <c r="E2" s="17">
        <f>August_Balance[[#This Row],[Opening balance]]+August_Balance[[#This Row],[Operations]]</f>
        <v>17376.5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July_Balance[[#This Row],[Closing Balance]]</f>
        <v>525</v>
      </c>
      <c r="D3" s="17">
        <f>SUMIFS(Operations[Amount], Operations[Bank],August_Balance[[#This Row],[Bank]],Operations[Product],August_Balance[[#This Row],[Product]],Operations[Month],$B$12)</f>
        <v>175</v>
      </c>
      <c r="E3" s="17">
        <f>August_Balance[[#This Row],[Opening balance]]+August_Balance[[#This Row],[Operations]]</f>
        <v>700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July_Balance[[#This Row],[Closing Balance]]</f>
        <v>0</v>
      </c>
      <c r="D4" s="17">
        <f>SUMIFS(Operations[Amount], Operations[Bank],August_Balance[[#This Row],[Bank]],Operations[Product],August_Balance[[#This Row],[Product]],Operations[Month],$B$12)</f>
        <v>-400</v>
      </c>
      <c r="E4" s="17">
        <f>August_Balance[[#This Row],[Opening balance]]+August_Balance[[#This Row],[Operations]]</f>
        <v>-400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July_Balance[[#This Row],[Closing Balance]]</f>
        <v>205</v>
      </c>
      <c r="D5" s="17">
        <f>SUMIFS(Operations[Amount], Operations[Bank],August_Balance[[#This Row],[Bank]],Operations[Product],August_Balance[[#This Row],[Product]],Operations[Month],$B$12)</f>
        <v>35</v>
      </c>
      <c r="E5" s="17">
        <f>August_Balance[[#This Row],[Opening balance]]+August_Balance[[#This Row],[Operations]]</f>
        <v>240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July_Balance[[#This Row],[Closing Balance]]</f>
        <v>326</v>
      </c>
      <c r="D6" s="17">
        <f>SUMIFS(Operations[Amount], Operations[Bank],August_Balance[[#This Row],[Bank]],Operations[Product],August_Balance[[#This Row],[Product]],Operations[Month],$B$12)</f>
        <v>15</v>
      </c>
      <c r="E6" s="17">
        <f>August_Balance[[#This Row],[Opening balance]]+August_Balance[[#This Row],[Operations]]</f>
        <v>341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July_Balance[[#This Row],[Closing Balance]]</f>
        <v>2180</v>
      </c>
      <c r="D7" s="17">
        <f>SUMIFS(Operations[Amount], Operations[Bank],August_Balance[[#This Row],[Bank]],Operations[Product],August_Balance[[#This Row],[Product]],Operations[Month],$B$12)</f>
        <v>500</v>
      </c>
      <c r="E7" s="17">
        <f>August_Balance[[#This Row],[Opening balance]]+August_Balance[[#This Row],[Operations]]</f>
        <v>2680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July_Balance[[#This Row],[Closing Balance]]</f>
        <v>400</v>
      </c>
      <c r="D8" s="17">
        <f>SUMIFS(Operations[Amount], Operations[Bank],August_Balance[[#This Row],[Bank]],Operations[Product],August_Balance[[#This Row],[Product]],Operations[Month],$B$12)</f>
        <v>100</v>
      </c>
      <c r="E8" s="17">
        <f>August_Balance[[#This Row],[Opening balance]]+August_Balance[[#This Row],[Operations]]</f>
        <v>500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SUBTOTAL(109,August_Balance[Opening balance])</f>
        <v>18973</v>
      </c>
      <c r="D9" s="19">
        <f>SUBTOTAL(109,August_Balance[Operations])</f>
        <v>2464.5</v>
      </c>
      <c r="E9" s="19">
        <f>SUBTOTAL(109,August_Balance[Closing Balance])</f>
        <v>21437.5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SUBTOTAL(109,August_Categories[Sum])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3254-5AC7-4743-848F-48D64E6EC76D}">
  <dimension ref="A1:H21"/>
  <sheetViews>
    <sheetView zoomScale="160" zoomScaleNormal="160" workbookViewId="0">
      <selection activeCell="G2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August_Balance[[#This Row],[Closing Balance]]</f>
        <v>17376.5</v>
      </c>
      <c r="D2" s="17">
        <f>SUMIFS(Operations[Amount], Operations[Bank],September_Balance[[#This Row],[Bank]],Operations[Product],September_Balance[[#This Row],[Product]],Operations[Month],$B$12)</f>
        <v>2039.5</v>
      </c>
      <c r="E2" s="17">
        <f>September_Balance[[#This Row],[Opening balance]]+September_Balance[[#This Row],[Operations]]</f>
        <v>19416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August_Balance[[#This Row],[Closing Balance]]</f>
        <v>700</v>
      </c>
      <c r="D3" s="17">
        <f>SUMIFS(Operations[Amount], Operations[Bank],September_Balance[[#This Row],[Bank]],Operations[Product],September_Balance[[#This Row],[Product]],Operations[Month],$B$12)</f>
        <v>175</v>
      </c>
      <c r="E3" s="17">
        <f>September_Balance[[#This Row],[Opening balance]]+September_Balance[[#This Row],[Operations]]</f>
        <v>875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August_Balance[[#This Row],[Closing Balance]]</f>
        <v>-400</v>
      </c>
      <c r="D4" s="17">
        <f>SUMIFS(Operations[Amount], Operations[Bank],September_Balance[[#This Row],[Bank]],Operations[Product],September_Balance[[#This Row],[Product]],Operations[Month],$B$12)</f>
        <v>-400</v>
      </c>
      <c r="E4" s="17">
        <f>September_Balance[[#This Row],[Opening balance]]+September_Balance[[#This Row],[Operations]]</f>
        <v>-800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August_Balance[[#This Row],[Closing Balance]]</f>
        <v>240</v>
      </c>
      <c r="D5" s="17">
        <f>SUMIFS(Operations[Amount], Operations[Bank],September_Balance[[#This Row],[Bank]],Operations[Product],September_Balance[[#This Row],[Product]],Operations[Month],$B$12)</f>
        <v>35</v>
      </c>
      <c r="E5" s="17">
        <f>September_Balance[[#This Row],[Opening balance]]+September_Balance[[#This Row],[Operations]]</f>
        <v>275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August_Balance[[#This Row],[Closing Balance]]</f>
        <v>341</v>
      </c>
      <c r="D6" s="17">
        <f>SUMIFS(Operations[Amount], Operations[Bank],September_Balance[[#This Row],[Bank]],Operations[Product],September_Balance[[#This Row],[Product]],Operations[Month],$B$12)</f>
        <v>15</v>
      </c>
      <c r="E6" s="17">
        <f>September_Balance[[#This Row],[Opening balance]]+September_Balance[[#This Row],[Operations]]</f>
        <v>356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August_Balance[[#This Row],[Closing Balance]]</f>
        <v>2680</v>
      </c>
      <c r="D7" s="17">
        <f>SUMIFS(Operations[Amount], Operations[Bank],September_Balance[[#This Row],[Bank]],Operations[Product],September_Balance[[#This Row],[Product]],Operations[Month],$B$12)</f>
        <v>500</v>
      </c>
      <c r="E7" s="17">
        <f>September_Balance[[#This Row],[Opening balance]]+September_Balance[[#This Row],[Operations]]</f>
        <v>3180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August_Balance[[#This Row],[Closing Balance]]</f>
        <v>500</v>
      </c>
      <c r="D8" s="17">
        <f>SUMIFS(Operations[Amount], Operations[Bank],September_Balance[[#This Row],[Bank]],Operations[Product],September_Balance[[#This Row],[Product]],Operations[Month],$B$12)</f>
        <v>100</v>
      </c>
      <c r="E8" s="17">
        <f>September_Balance[[#This Row],[Opening balance]]+September_Balance[[#This Row],[Operations]]</f>
        <v>600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SUBTOTAL(109,September_Balance[Opening balance])</f>
        <v>21437.5</v>
      </c>
      <c r="D9" s="19">
        <f>SUBTOTAL(109,September_Balance[Operations])</f>
        <v>2464.5</v>
      </c>
      <c r="E9" s="19">
        <f>SUBTOTAL(109,September_Balance[Closing Balance])</f>
        <v>23902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SUBTOTAL(109,September_Categories[Sum])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00FD-4A92-4AB0-BFD9-0D5730885A07}">
  <dimension ref="A1:H21"/>
  <sheetViews>
    <sheetView zoomScale="160" zoomScaleNormal="160" workbookViewId="0">
      <selection activeCell="G2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September_Balance[[#This Row],[Closing Balance]]</f>
        <v>19416</v>
      </c>
      <c r="D2" s="17">
        <f>SUMIFS(Operations[Amount], Operations[Bank],October_Balance[[#This Row],[Bank]],Operations[Product],October_Balance[[#This Row],[Product]],Operations[Month],$B$12)</f>
        <v>2039.5</v>
      </c>
      <c r="E2" s="17">
        <f>October_Balance[[#This Row],[Opening balance]]+October_Balance[[#This Row],[Operations]]</f>
        <v>21455.5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September_Balance[[#This Row],[Closing Balance]]</f>
        <v>875</v>
      </c>
      <c r="D3" s="17">
        <f>SUMIFS(Operations[Amount], Operations[Bank],October_Balance[[#This Row],[Bank]],Operations[Product],October_Balance[[#This Row],[Product]],Operations[Month],$B$12)</f>
        <v>175</v>
      </c>
      <c r="E3" s="17">
        <f>October_Balance[[#This Row],[Opening balance]]+October_Balance[[#This Row],[Operations]]</f>
        <v>1050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September_Balance[[#This Row],[Closing Balance]]</f>
        <v>-800</v>
      </c>
      <c r="D4" s="17">
        <f>SUMIFS(Operations[Amount], Operations[Bank],October_Balance[[#This Row],[Bank]],Operations[Product],October_Balance[[#This Row],[Product]],Operations[Month],$B$12)</f>
        <v>-400</v>
      </c>
      <c r="E4" s="17">
        <f>October_Balance[[#This Row],[Opening balance]]+October_Balance[[#This Row],[Operations]]</f>
        <v>-1200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September_Balance[[#This Row],[Closing Balance]]</f>
        <v>275</v>
      </c>
      <c r="D5" s="17">
        <f>SUMIFS(Operations[Amount], Operations[Bank],October_Balance[[#This Row],[Bank]],Operations[Product],October_Balance[[#This Row],[Product]],Operations[Month],$B$12)</f>
        <v>35</v>
      </c>
      <c r="E5" s="17">
        <f>October_Balance[[#This Row],[Opening balance]]+October_Balance[[#This Row],[Operations]]</f>
        <v>310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September_Balance[[#This Row],[Closing Balance]]</f>
        <v>356</v>
      </c>
      <c r="D6" s="17">
        <f>SUMIFS(Operations[Amount], Operations[Bank],October_Balance[[#This Row],[Bank]],Operations[Product],October_Balance[[#This Row],[Product]],Operations[Month],$B$12)</f>
        <v>15</v>
      </c>
      <c r="E6" s="17">
        <f>October_Balance[[#This Row],[Opening balance]]+October_Balance[[#This Row],[Operations]]</f>
        <v>371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September_Balance[[#This Row],[Closing Balance]]</f>
        <v>3180</v>
      </c>
      <c r="D7" s="17">
        <f>SUMIFS(Operations[Amount], Operations[Bank],October_Balance[[#This Row],[Bank]],Operations[Product],October_Balance[[#This Row],[Product]],Operations[Month],$B$12)</f>
        <v>500</v>
      </c>
      <c r="E7" s="17">
        <f>October_Balance[[#This Row],[Opening balance]]+October_Balance[[#This Row],[Operations]]</f>
        <v>3680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September_Balance[[#This Row],[Closing Balance]]</f>
        <v>600</v>
      </c>
      <c r="D8" s="17">
        <f>SUMIFS(Operations[Amount], Operations[Bank],October_Balance[[#This Row],[Bank]],Operations[Product],October_Balance[[#This Row],[Product]],Operations[Month],$B$12)</f>
        <v>100</v>
      </c>
      <c r="E8" s="17">
        <f>October_Balance[[#This Row],[Opening balance]]+October_Balance[[#This Row],[Operations]]</f>
        <v>700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SUBTOTAL(109,October_Balance[Opening balance])</f>
        <v>23902</v>
      </c>
      <c r="D9" s="19">
        <f>SUBTOTAL(109,October_Balance[Operations])</f>
        <v>2464.5</v>
      </c>
      <c r="E9" s="19">
        <f>SUBTOTAL(109,October_Balance[Closing Balance])</f>
        <v>26366.5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SUBTOTAL(109,October_Categories[Sum])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D6D3-BED8-4FF6-B1C1-E2651D97302D}">
  <dimension ref="A1:H21"/>
  <sheetViews>
    <sheetView zoomScale="160" zoomScaleNormal="160" workbookViewId="0">
      <selection activeCell="H20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October_Balance[[#This Row],[Closing Balance]]</f>
        <v>21455.5</v>
      </c>
      <c r="D2" s="17">
        <f>SUMIFS(Operations[Amount], Operations[Bank],November_Balance[[#This Row],[Bank]],Operations[Product],November_Balance[[#This Row],[Product]],Operations[Month],$B$12)</f>
        <v>2039.5</v>
      </c>
      <c r="E2" s="17">
        <f>November_Balance[[#This Row],[Opening balance]]+November_Balance[[#This Row],[Operations]]</f>
        <v>23495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October_Balance[[#This Row],[Closing Balance]]</f>
        <v>1050</v>
      </c>
      <c r="D3" s="17">
        <f>SUMIFS(Operations[Amount], Operations[Bank],November_Balance[[#This Row],[Bank]],Operations[Product],November_Balance[[#This Row],[Product]],Operations[Month],$B$12)</f>
        <v>175</v>
      </c>
      <c r="E3" s="17">
        <f>November_Balance[[#This Row],[Opening balance]]+November_Balance[[#This Row],[Operations]]</f>
        <v>1225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October_Balance[[#This Row],[Closing Balance]]</f>
        <v>-1200</v>
      </c>
      <c r="D4" s="17">
        <f>SUMIFS(Operations[Amount], Operations[Bank],November_Balance[[#This Row],[Bank]],Operations[Product],November_Balance[[#This Row],[Product]],Operations[Month],$B$12)</f>
        <v>-400</v>
      </c>
      <c r="E4" s="17">
        <f>November_Balance[[#This Row],[Opening balance]]+November_Balance[[#This Row],[Operations]]</f>
        <v>-1600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October_Balance[[#This Row],[Closing Balance]]</f>
        <v>310</v>
      </c>
      <c r="D5" s="17">
        <f>SUMIFS(Operations[Amount], Operations[Bank],November_Balance[[#This Row],[Bank]],Operations[Product],November_Balance[[#This Row],[Product]],Operations[Month],$B$12)</f>
        <v>35</v>
      </c>
      <c r="E5" s="17">
        <f>November_Balance[[#This Row],[Opening balance]]+November_Balance[[#This Row],[Operations]]</f>
        <v>345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October_Balance[[#This Row],[Closing Balance]]</f>
        <v>371</v>
      </c>
      <c r="D6" s="17">
        <f>SUMIFS(Operations[Amount], Operations[Bank],November_Balance[[#This Row],[Bank]],Operations[Product],November_Balance[[#This Row],[Product]],Operations[Month],$B$12)</f>
        <v>15</v>
      </c>
      <c r="E6" s="17">
        <f>November_Balance[[#This Row],[Opening balance]]+November_Balance[[#This Row],[Operations]]</f>
        <v>386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October_Balance[[#This Row],[Closing Balance]]</f>
        <v>3680</v>
      </c>
      <c r="D7" s="17">
        <f>SUMIFS(Operations[Amount], Operations[Bank],November_Balance[[#This Row],[Bank]],Operations[Product],November_Balance[[#This Row],[Product]],Operations[Month],$B$12)</f>
        <v>500</v>
      </c>
      <c r="E7" s="17">
        <f>November_Balance[[#This Row],[Opening balance]]+November_Balance[[#This Row],[Operations]]</f>
        <v>4180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October_Balance[[#This Row],[Closing Balance]]</f>
        <v>700</v>
      </c>
      <c r="D8" s="17">
        <f>SUMIFS(Operations[Amount], Operations[Bank],November_Balance[[#This Row],[Bank]],Operations[Product],November_Balance[[#This Row],[Product]],Operations[Month],$B$12)</f>
        <v>100</v>
      </c>
      <c r="E8" s="17">
        <f>November_Balance[[#This Row],[Opening balance]]+November_Balance[[#This Row],[Operations]]</f>
        <v>800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SUBTOTAL(109,November_Balance[Opening balance])</f>
        <v>26366.5</v>
      </c>
      <c r="D9" s="19">
        <f>SUBTOTAL(109,November_Balance[Operations])</f>
        <v>2464.5</v>
      </c>
      <c r="E9" s="19">
        <f>SUBTOTAL(109,November_Balance[Closing Balance])</f>
        <v>28831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SUBTOTAL(109,November_Categories[Sum])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0C94-F2D6-4306-937A-93DE5733F386}">
  <dimension ref="A1:H21"/>
  <sheetViews>
    <sheetView zoomScale="160" zoomScaleNormal="160" workbookViewId="0">
      <selection activeCell="G2" sqref="G2:H20"/>
    </sheetView>
  </sheetViews>
  <sheetFormatPr defaultRowHeight="15" x14ac:dyDescent="0.25"/>
  <cols>
    <col min="1" max="1" width="11" customWidth="1"/>
    <col min="2" max="2" width="18.42578125" bestFit="1" customWidth="1"/>
    <col min="3" max="3" width="16" bestFit="1" customWidth="1"/>
    <col min="4" max="4" width="11" customWidth="1"/>
    <col min="5" max="5" width="14.85546875" bestFit="1" customWidth="1"/>
    <col min="7" max="7" width="15.140625" bestFit="1" customWidth="1"/>
    <col min="8" max="8" width="10" bestFit="1" customWidth="1"/>
  </cols>
  <sheetData>
    <row r="1" spans="1:8" x14ac:dyDescent="0.25">
      <c r="A1" t="s">
        <v>33</v>
      </c>
      <c r="B1" t="s">
        <v>34</v>
      </c>
      <c r="C1" s="19" t="s">
        <v>39</v>
      </c>
      <c r="D1" s="19" t="s">
        <v>40</v>
      </c>
      <c r="E1" s="19" t="s">
        <v>41</v>
      </c>
      <c r="G1" s="19" t="s">
        <v>0</v>
      </c>
      <c r="H1" s="19" t="s">
        <v>45</v>
      </c>
    </row>
    <row r="2" spans="1:8" x14ac:dyDescent="0.25">
      <c r="A2" t="s">
        <v>22</v>
      </c>
      <c r="B2" t="s">
        <v>24</v>
      </c>
      <c r="C2" s="17">
        <f>November_Balance[[#This Row],[Closing Balance]]</f>
        <v>23495</v>
      </c>
      <c r="D2" s="17">
        <f>SUMIFS(Operations[Amount], Operations[Bank],December_Balance[[#This Row],[Bank]],Operations[Product],December_Balance[[#This Row],[Product]],Operations[Month],$B$12)</f>
        <v>2039.5</v>
      </c>
      <c r="E2" s="17">
        <f>December_Balance[[#This Row],[Opening balance]]+December_Balance[[#This Row],[Operations]]</f>
        <v>25534.5</v>
      </c>
      <c r="G2" s="17" t="s">
        <v>2</v>
      </c>
      <c r="H2" s="17">
        <f>SUMIFS(Operations[Amount],Operations[Month],$B$12,Operations[Category],G2)</f>
        <v>-405.5</v>
      </c>
    </row>
    <row r="3" spans="1:8" x14ac:dyDescent="0.25">
      <c r="A3" t="s">
        <v>22</v>
      </c>
      <c r="B3" t="s">
        <v>25</v>
      </c>
      <c r="C3" s="17">
        <f>November_Balance[[#This Row],[Closing Balance]]</f>
        <v>1225</v>
      </c>
      <c r="D3" s="17">
        <f>SUMIFS(Operations[Amount], Operations[Bank],December_Balance[[#This Row],[Bank]],Operations[Product],December_Balance[[#This Row],[Product]],Operations[Month],$B$12)</f>
        <v>175</v>
      </c>
      <c r="E3" s="17">
        <f>December_Balance[[#This Row],[Opening balance]]+December_Balance[[#This Row],[Operations]]</f>
        <v>1400</v>
      </c>
      <c r="G3" s="17" t="s">
        <v>3</v>
      </c>
      <c r="H3" s="17">
        <f>SUMIFS(Operations[Amount],Operations[Month],$B$12,Operations[Category],G3)</f>
        <v>-350</v>
      </c>
    </row>
    <row r="4" spans="1:8" x14ac:dyDescent="0.25">
      <c r="A4" t="s">
        <v>22</v>
      </c>
      <c r="B4" t="s">
        <v>26</v>
      </c>
      <c r="C4" s="17">
        <f>November_Balance[[#This Row],[Closing Balance]]</f>
        <v>-1600</v>
      </c>
      <c r="D4" s="17">
        <f>SUMIFS(Operations[Amount], Operations[Bank],December_Balance[[#This Row],[Bank]],Operations[Product],December_Balance[[#This Row],[Product]],Operations[Month],$B$12)</f>
        <v>-400</v>
      </c>
      <c r="E4" s="17">
        <f>December_Balance[[#This Row],[Opening balance]]+December_Balance[[#This Row],[Operations]]</f>
        <v>-2000</v>
      </c>
      <c r="G4" s="17" t="s">
        <v>4</v>
      </c>
      <c r="H4" s="17">
        <f>SUMIFS(Operations[Amount],Operations[Month],$B$12,Operations[Category],G4)</f>
        <v>0</v>
      </c>
    </row>
    <row r="5" spans="1:8" x14ac:dyDescent="0.25">
      <c r="A5" t="s">
        <v>23</v>
      </c>
      <c r="B5" t="s">
        <v>24</v>
      </c>
      <c r="C5" s="17">
        <f>November_Balance[[#This Row],[Closing Balance]]</f>
        <v>345</v>
      </c>
      <c r="D5" s="17">
        <f>SUMIFS(Operations[Amount], Operations[Bank],December_Balance[[#This Row],[Bank]],Operations[Product],December_Balance[[#This Row],[Product]],Operations[Month],$B$12)</f>
        <v>35</v>
      </c>
      <c r="E5" s="17">
        <f>December_Balance[[#This Row],[Opening balance]]+December_Balance[[#This Row],[Operations]]</f>
        <v>380</v>
      </c>
      <c r="G5" s="17" t="s">
        <v>5</v>
      </c>
      <c r="H5" s="17">
        <f>SUMIFS(Operations[Amount],Operations[Month],$B$12,Operations[Category],G5)</f>
        <v>0</v>
      </c>
    </row>
    <row r="6" spans="1:8" x14ac:dyDescent="0.25">
      <c r="A6" t="s">
        <v>23</v>
      </c>
      <c r="B6" t="s">
        <v>27</v>
      </c>
      <c r="C6" s="17">
        <f>November_Balance[[#This Row],[Closing Balance]]</f>
        <v>386</v>
      </c>
      <c r="D6" s="17">
        <f>SUMIFS(Operations[Amount], Operations[Bank],December_Balance[[#This Row],[Bank]],Operations[Product],December_Balance[[#This Row],[Product]],Operations[Month],$B$12)</f>
        <v>15</v>
      </c>
      <c r="E6" s="17">
        <f>December_Balance[[#This Row],[Opening balance]]+December_Balance[[#This Row],[Operations]]</f>
        <v>401</v>
      </c>
      <c r="G6" s="17" t="s">
        <v>6</v>
      </c>
      <c r="H6" s="17">
        <f>SUMIFS(Operations[Amount],Operations[Month],$B$12,Operations[Category],G6)</f>
        <v>-80</v>
      </c>
    </row>
    <row r="7" spans="1:8" x14ac:dyDescent="0.25">
      <c r="A7" t="s">
        <v>29</v>
      </c>
      <c r="B7" t="s">
        <v>28</v>
      </c>
      <c r="C7" s="17">
        <f>November_Balance[[#This Row],[Closing Balance]]</f>
        <v>4180</v>
      </c>
      <c r="D7" s="17">
        <f>SUMIFS(Operations[Amount], Operations[Bank],December_Balance[[#This Row],[Bank]],Operations[Product],December_Balance[[#This Row],[Product]],Operations[Month],$B$12)</f>
        <v>500</v>
      </c>
      <c r="E7" s="17">
        <f>December_Balance[[#This Row],[Opening balance]]+December_Balance[[#This Row],[Operations]]</f>
        <v>4680</v>
      </c>
      <c r="G7" s="17" t="s">
        <v>7</v>
      </c>
      <c r="H7" s="17">
        <f>SUMIFS(Operations[Amount],Operations[Month],$B$12,Operations[Category],G7)</f>
        <v>-250</v>
      </c>
    </row>
    <row r="8" spans="1:8" x14ac:dyDescent="0.25">
      <c r="A8" t="s">
        <v>29</v>
      </c>
      <c r="B8" t="s">
        <v>30</v>
      </c>
      <c r="C8" s="17">
        <f>November_Balance[[#This Row],[Closing Balance]]</f>
        <v>800</v>
      </c>
      <c r="D8" s="17">
        <f>SUMIFS(Operations[Amount], Operations[Bank],December_Balance[[#This Row],[Bank]],Operations[Product],December_Balance[[#This Row],[Product]],Operations[Month],$B$12)</f>
        <v>100</v>
      </c>
      <c r="E8" s="17">
        <f>December_Balance[[#This Row],[Opening balance]]+December_Balance[[#This Row],[Operations]]</f>
        <v>900</v>
      </c>
      <c r="G8" s="17" t="s">
        <v>8</v>
      </c>
      <c r="H8" s="17">
        <f>SUMIFS(Operations[Amount],Operations[Month],$B$12,Operations[Category],G8)</f>
        <v>-150</v>
      </c>
    </row>
    <row r="9" spans="1:8" x14ac:dyDescent="0.25">
      <c r="A9" t="s">
        <v>42</v>
      </c>
      <c r="C9" s="19">
        <f>SUBTOTAL(109,December_Balance[Opening balance])</f>
        <v>28831</v>
      </c>
      <c r="D9" s="19">
        <f>SUBTOTAL(109,December_Balance[Operations])</f>
        <v>2464.5</v>
      </c>
      <c r="E9" s="19">
        <f>SUBTOTAL(109,December_Balance[Closing Balance])</f>
        <v>31295.5</v>
      </c>
      <c r="G9" s="17" t="s">
        <v>9</v>
      </c>
      <c r="H9" s="17">
        <f>SUMIFS(Operations[Amount],Operations[Month],$B$12,Operations[Category],G9)</f>
        <v>-100</v>
      </c>
    </row>
    <row r="10" spans="1:8" x14ac:dyDescent="0.25">
      <c r="G10" s="17" t="s">
        <v>10</v>
      </c>
      <c r="H10" s="17">
        <f>SUMIFS(Operations[Amount],Operations[Month],$B$12,Operations[Category],G10)</f>
        <v>0</v>
      </c>
    </row>
    <row r="11" spans="1:8" x14ac:dyDescent="0.25">
      <c r="G11" s="17" t="s">
        <v>11</v>
      </c>
      <c r="H11" s="17">
        <f>SUMIFS(Operations[Amount],Operations[Month],$B$12,Operations[Category],G11)</f>
        <v>0</v>
      </c>
    </row>
    <row r="12" spans="1:8" x14ac:dyDescent="0.25">
      <c r="A12" t="s">
        <v>36</v>
      </c>
      <c r="B12">
        <v>2</v>
      </c>
      <c r="G12" s="17" t="s">
        <v>12</v>
      </c>
      <c r="H12" s="17">
        <f>SUMIFS(Operations[Amount],Operations[Month],$B$12,Operations[Category],G12)</f>
        <v>-765</v>
      </c>
    </row>
    <row r="13" spans="1:8" x14ac:dyDescent="0.25">
      <c r="G13" s="17" t="s">
        <v>14</v>
      </c>
      <c r="H13" s="17">
        <f>SUMIFS(Operations[Amount],Operations[Month],$B$12,Operations[Category],G13)</f>
        <v>4500</v>
      </c>
    </row>
    <row r="14" spans="1:8" x14ac:dyDescent="0.25">
      <c r="A14" t="str" cm="1">
        <f t="array" ref="A14:A16">_xlfn.UNIQUE(Dictionary[Type])</f>
        <v>Expenses</v>
      </c>
      <c r="B14">
        <f>SUMIFS(Operations[Amount],Operations[Month],$B$12,Operations[Type],A15)</f>
        <v>6565</v>
      </c>
      <c r="G14" s="17" t="s">
        <v>15</v>
      </c>
      <c r="H14" s="17">
        <f>SUMIFS(Operations[Amount],Operations[Month],$B$12,Operations[Category],G14)</f>
        <v>0</v>
      </c>
    </row>
    <row r="15" spans="1:8" x14ac:dyDescent="0.25">
      <c r="A15" t="str">
        <v>Income</v>
      </c>
      <c r="B15">
        <f>SUMIFS(Operations[Amount],Operations[Month],$B$12,Operations[Type],A16)</f>
        <v>0</v>
      </c>
      <c r="G15" s="17" t="s">
        <v>16</v>
      </c>
      <c r="H15" s="17">
        <f>SUMIFS(Operations[Amount],Operations[Month],$B$12,Operations[Category],G15)</f>
        <v>115</v>
      </c>
    </row>
    <row r="16" spans="1:8" x14ac:dyDescent="0.25">
      <c r="A16" t="str">
        <v>Transaction</v>
      </c>
      <c r="B16">
        <f>SUMIFS(Operations[Amount],Operations[Month],$B$12,Operations[Type],A17)</f>
        <v>0</v>
      </c>
      <c r="G16" s="17" t="s">
        <v>17</v>
      </c>
      <c r="H16" s="17">
        <f>SUMIFS(Operations[Amount],Operations[Month],$B$12,Operations[Category],G16)</f>
        <v>0</v>
      </c>
    </row>
    <row r="17" spans="7:8" x14ac:dyDescent="0.25">
      <c r="G17" s="17" t="s">
        <v>18</v>
      </c>
      <c r="H17" s="17">
        <f>SUMIFS(Operations[Amount],Operations[Month],$B$12,Operations[Category],G17)</f>
        <v>0</v>
      </c>
    </row>
    <row r="18" spans="7:8" x14ac:dyDescent="0.25">
      <c r="G18" s="17" t="s">
        <v>20</v>
      </c>
      <c r="H18" s="17">
        <f>SUMIFS(Operations[Amount],Operations[Month],$B$12,Operations[Category],G18)</f>
        <v>0</v>
      </c>
    </row>
    <row r="19" spans="7:8" x14ac:dyDescent="0.25">
      <c r="G19" s="17" t="s">
        <v>38</v>
      </c>
      <c r="H19" s="17">
        <f>SUMIFS(Operations[Amount],Operations[Month],$B$12,Operations[Category],G19)</f>
        <v>0</v>
      </c>
    </row>
    <row r="20" spans="7:8" x14ac:dyDescent="0.25">
      <c r="G20" s="17" t="s">
        <v>19</v>
      </c>
      <c r="H20" s="17">
        <f>SUMIFS(Operations[Amount],Operations[Month],$B$12,Operations[Category],G20)</f>
        <v>1950</v>
      </c>
    </row>
    <row r="21" spans="7:8" x14ac:dyDescent="0.25">
      <c r="G21" s="19" t="s">
        <v>42</v>
      </c>
      <c r="H21" s="19">
        <f>SUBTOTAL(109,December_Categories[Sum])</f>
        <v>4464.5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Dictionary</vt:lpstr>
      <vt:lpstr>Operations</vt:lpstr>
      <vt:lpstr>January</vt:lpstr>
      <vt:lpstr>Febuary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en-A013-09</dc:creator>
  <cp:lastModifiedBy>en-A013-04</cp:lastModifiedBy>
  <dcterms:created xsi:type="dcterms:W3CDTF">2015-06-05T18:17:20Z</dcterms:created>
  <dcterms:modified xsi:type="dcterms:W3CDTF">2024-12-18T17:18:28Z</dcterms:modified>
</cp:coreProperties>
</file>