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239289\People\238878\"/>
    </mc:Choice>
  </mc:AlternateContent>
  <xr:revisionPtr revIDLastSave="0" documentId="13_ncr:1_{C117FB52-79CF-40E9-B238-B26F646F1348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Dictionary" sheetId="1" r:id="rId1"/>
    <sheet name="Operations" sheetId="2" r:id="rId2"/>
    <sheet name="Balance" sheetId="17" r:id="rId3"/>
    <sheet name="January" sheetId="3" r:id="rId4"/>
    <sheet name="February" sheetId="4" r:id="rId5"/>
    <sheet name="March" sheetId="5" r:id="rId6"/>
    <sheet name="April" sheetId="7" r:id="rId7"/>
    <sheet name="May" sheetId="8" r:id="rId8"/>
    <sheet name="June" sheetId="10" r:id="rId9"/>
    <sheet name="July" sheetId="11" r:id="rId10"/>
    <sheet name="August" sheetId="12" r:id="rId11"/>
    <sheet name="September" sheetId="13" r:id="rId12"/>
    <sheet name="October" sheetId="14" r:id="rId13"/>
    <sheet name="November" sheetId="15" r:id="rId14"/>
    <sheet name="December" sheetId="16" r:id="rId15"/>
  </sheets>
  <definedNames>
    <definedName name="Category">Dictionary!$A$2:$A$21</definedName>
    <definedName name="Type">Dictionary!$B$2:$B$21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7" l="1" a="1"/>
  <c r="B12" i="17" s="1"/>
  <c r="E125" i="2"/>
  <c r="G125" i="2"/>
  <c r="H125" i="2"/>
  <c r="E209" i="2"/>
  <c r="G209" i="2"/>
  <c r="H209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A15" i="16" a="1"/>
  <c r="A15" i="15" a="1"/>
  <c r="A15" i="14" a="1"/>
  <c r="A15" i="13" a="1"/>
  <c r="A15" i="13" s="1"/>
  <c r="A15" i="12" a="1"/>
  <c r="A15" i="11" a="1"/>
  <c r="A15" i="10" a="1"/>
  <c r="A15" i="8" a="1"/>
  <c r="A15" i="7" a="1"/>
  <c r="A15" i="5" a="1"/>
  <c r="A15" i="4" a="1"/>
  <c r="A15" i="3" a="1"/>
  <c r="A15" i="3" s="1"/>
  <c r="C9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D14" i="17" a="1"/>
  <c r="F14" i="17" a="1"/>
  <c r="H14" i="17" a="1"/>
  <c r="J14" i="17" a="1"/>
  <c r="L14" i="17" a="1"/>
  <c r="N14" i="17" a="1"/>
  <c r="G14" i="17" a="1"/>
  <c r="I14" i="17" a="1"/>
  <c r="K14" i="17" a="1"/>
  <c r="M14" i="17" a="1"/>
  <c r="E14" i="17" a="1"/>
  <c r="C14" i="17" a="1"/>
  <c r="D13" i="17" a="1"/>
  <c r="F13" i="17" a="1"/>
  <c r="H13" i="17" a="1"/>
  <c r="J13" i="17" a="1"/>
  <c r="L13" i="17" a="1"/>
  <c r="N13" i="17" a="1"/>
  <c r="G13" i="17" a="1"/>
  <c r="I13" i="17" a="1"/>
  <c r="K13" i="17" a="1"/>
  <c r="M13" i="17" a="1"/>
  <c r="E13" i="17" a="1"/>
  <c r="C13" i="17" a="1"/>
  <c r="D12" i="17" a="1"/>
  <c r="F12" i="17" a="1"/>
  <c r="H12" i="17" a="1"/>
  <c r="J12" i="17" a="1"/>
  <c r="L12" i="17" a="1"/>
  <c r="N12" i="17" a="1"/>
  <c r="E12" i="17" a="1"/>
  <c r="G12" i="17" a="1"/>
  <c r="I12" i="17" a="1"/>
  <c r="K12" i="17" a="1"/>
  <c r="M12" i="17" a="1"/>
  <c r="C12" i="17" a="1"/>
  <c r="E14" i="17" l="1"/>
  <c r="M14" i="17"/>
  <c r="K14" i="17"/>
  <c r="I14" i="17"/>
  <c r="G14" i="17"/>
  <c r="N14" i="17"/>
  <c r="L14" i="17"/>
  <c r="J14" i="17"/>
  <c r="H14" i="17"/>
  <c r="F14" i="17"/>
  <c r="D14" i="17"/>
  <c r="C14" i="17"/>
  <c r="E13" i="17"/>
  <c r="M13" i="17"/>
  <c r="K13" i="17"/>
  <c r="I13" i="17"/>
  <c r="G13" i="17"/>
  <c r="N13" i="17"/>
  <c r="L13" i="17"/>
  <c r="J13" i="17"/>
  <c r="H13" i="17"/>
  <c r="F13" i="17"/>
  <c r="D13" i="17"/>
  <c r="C13" i="17"/>
  <c r="M12" i="17"/>
  <c r="K12" i="17"/>
  <c r="I12" i="17"/>
  <c r="G12" i="17"/>
  <c r="G15" i="17" s="1"/>
  <c r="E12" i="17"/>
  <c r="E15" i="17" s="1"/>
  <c r="N12" i="17"/>
  <c r="N15" i="17" s="1"/>
  <c r="L12" i="17"/>
  <c r="L15" i="17" s="1"/>
  <c r="J12" i="17"/>
  <c r="J15" i="17" s="1"/>
  <c r="H12" i="17"/>
  <c r="H15" i="17" s="1"/>
  <c r="F12" i="17"/>
  <c r="F15" i="17" s="1"/>
  <c r="D12" i="17"/>
  <c r="D15" i="17" s="1"/>
  <c r="C12" i="17"/>
  <c r="C15" i="17" s="1"/>
  <c r="D8" i="15"/>
  <c r="D6" i="5"/>
  <c r="D3" i="16"/>
  <c r="D4" i="15"/>
  <c r="D5" i="14"/>
  <c r="D7" i="16"/>
  <c r="D2" i="5"/>
  <c r="D8" i="3"/>
  <c r="E8" i="3" s="1"/>
  <c r="D4" i="3"/>
  <c r="E4" i="3" s="1"/>
  <c r="D7" i="4"/>
  <c r="D3" i="4"/>
  <c r="D6" i="7"/>
  <c r="D2" i="7"/>
  <c r="D5" i="8"/>
  <c r="D8" i="10"/>
  <c r="D4" i="10"/>
  <c r="D7" i="11"/>
  <c r="D3" i="11"/>
  <c r="D6" i="12"/>
  <c r="D2" i="12"/>
  <c r="D5" i="13"/>
  <c r="D8" i="14"/>
  <c r="D4" i="14"/>
  <c r="D7" i="15"/>
  <c r="D3" i="15"/>
  <c r="D6" i="16"/>
  <c r="D2" i="16"/>
  <c r="D5" i="5"/>
  <c r="D7" i="3"/>
  <c r="E7" i="3" s="1"/>
  <c r="D3" i="3"/>
  <c r="D6" i="4"/>
  <c r="D2" i="4"/>
  <c r="D5" i="7"/>
  <c r="D8" i="8"/>
  <c r="D4" i="8"/>
  <c r="D7" i="10"/>
  <c r="D3" i="10"/>
  <c r="D6" i="11"/>
  <c r="D2" i="11"/>
  <c r="D5" i="12"/>
  <c r="D8" i="13"/>
  <c r="D4" i="13"/>
  <c r="D7" i="14"/>
  <c r="D3" i="14"/>
  <c r="D6" i="15"/>
  <c r="D2" i="15"/>
  <c r="D5" i="16"/>
  <c r="D8" i="5"/>
  <c r="D4" i="5"/>
  <c r="D6" i="3"/>
  <c r="D2" i="3"/>
  <c r="E2" i="3" s="1"/>
  <c r="D5" i="4"/>
  <c r="D8" i="7"/>
  <c r="D4" i="7"/>
  <c r="D7" i="8"/>
  <c r="D3" i="8"/>
  <c r="D6" i="10"/>
  <c r="D2" i="10"/>
  <c r="D5" i="11"/>
  <c r="D8" i="12"/>
  <c r="D4" i="12"/>
  <c r="D7" i="13"/>
  <c r="D3" i="13"/>
  <c r="D6" i="14"/>
  <c r="D2" i="14"/>
  <c r="D5" i="15"/>
  <c r="D8" i="16"/>
  <c r="D4" i="16"/>
  <c r="D7" i="5"/>
  <c r="D3" i="5"/>
  <c r="D5" i="3"/>
  <c r="E5" i="3" s="1"/>
  <c r="D8" i="4"/>
  <c r="D4" i="4"/>
  <c r="D7" i="7"/>
  <c r="D3" i="7"/>
  <c r="D6" i="8"/>
  <c r="D2" i="8"/>
  <c r="D5" i="10"/>
  <c r="D8" i="11"/>
  <c r="D4" i="11"/>
  <c r="D7" i="12"/>
  <c r="D3" i="12"/>
  <c r="D6" i="13"/>
  <c r="D2" i="13"/>
  <c r="H10" i="4"/>
  <c r="H17" i="3"/>
  <c r="H11" i="3"/>
  <c r="H4" i="4"/>
  <c r="H11" i="13"/>
  <c r="H19" i="3"/>
  <c r="H17" i="4"/>
  <c r="H17" i="5"/>
  <c r="H19" i="8"/>
  <c r="H4" i="5"/>
  <c r="H4" i="8"/>
  <c r="H13" i="11"/>
  <c r="H12" i="11"/>
  <c r="H10" i="3"/>
  <c r="H10" i="5"/>
  <c r="H10" i="7"/>
  <c r="H11" i="8"/>
  <c r="H11" i="12"/>
  <c r="H19" i="13"/>
  <c r="H4" i="3"/>
  <c r="H11" i="4"/>
  <c r="H19" i="4"/>
  <c r="H11" i="5"/>
  <c r="H4" i="7"/>
  <c r="H19" i="7"/>
  <c r="H12" i="8"/>
  <c r="H11" i="10"/>
  <c r="H19" i="11"/>
  <c r="H12" i="13"/>
  <c r="H11" i="14"/>
  <c r="H12" i="15"/>
  <c r="H19" i="16"/>
  <c r="H7" i="14"/>
  <c r="H16" i="5"/>
  <c r="H9" i="7"/>
  <c r="H15" i="16"/>
  <c r="H8" i="12"/>
  <c r="H12" i="3"/>
  <c r="H12" i="4"/>
  <c r="H12" i="10"/>
  <c r="H11" i="11"/>
  <c r="H19" i="12"/>
  <c r="H12" i="14"/>
  <c r="H12" i="7"/>
  <c r="H19" i="10"/>
  <c r="H12" i="12"/>
  <c r="H14" i="10"/>
  <c r="H6" i="5"/>
  <c r="H3" i="11"/>
  <c r="H20" i="3"/>
  <c r="H5" i="5"/>
  <c r="H13" i="7"/>
  <c r="H13" i="4"/>
  <c r="H4" i="10"/>
  <c r="H4" i="11"/>
  <c r="H4" i="12"/>
  <c r="H4" i="13"/>
  <c r="H4" i="14"/>
  <c r="H4" i="15"/>
  <c r="H4" i="16"/>
  <c r="H18" i="7"/>
  <c r="H9" i="11"/>
  <c r="H6" i="12"/>
  <c r="H20" i="11"/>
  <c r="H12" i="5"/>
  <c r="H19" i="5"/>
  <c r="H11" i="7"/>
  <c r="H17" i="7"/>
  <c r="H10" i="8"/>
  <c r="H17" i="8"/>
  <c r="H10" i="10"/>
  <c r="H17" i="10"/>
  <c r="H10" i="11"/>
  <c r="H17" i="11"/>
  <c r="H10" i="12"/>
  <c r="H17" i="12"/>
  <c r="H10" i="13"/>
  <c r="H17" i="13"/>
  <c r="H10" i="14"/>
  <c r="H17" i="14"/>
  <c r="H10" i="15"/>
  <c r="H17" i="15"/>
  <c r="H12" i="16"/>
  <c r="H13" i="5"/>
  <c r="H19" i="14"/>
  <c r="H11" i="15"/>
  <c r="H19" i="15"/>
  <c r="H16" i="13"/>
  <c r="H16" i="15"/>
  <c r="H16" i="14"/>
  <c r="H16" i="12"/>
  <c r="H16" i="10"/>
  <c r="H16" i="8"/>
  <c r="H3" i="16"/>
  <c r="H3" i="12"/>
  <c r="H3" i="10"/>
  <c r="H3" i="8"/>
  <c r="H3" i="4"/>
  <c r="H14" i="15"/>
  <c r="H14" i="11"/>
  <c r="H14" i="7"/>
  <c r="H14" i="4"/>
  <c r="B15" i="3"/>
  <c r="H13" i="3"/>
  <c r="H9" i="3"/>
  <c r="H5" i="3"/>
  <c r="H8" i="4"/>
  <c r="H16" i="4"/>
  <c r="H20" i="4"/>
  <c r="H3" i="5"/>
  <c r="H8" i="5"/>
  <c r="H15" i="5"/>
  <c r="H20" i="5"/>
  <c r="H3" i="7"/>
  <c r="H6" i="7"/>
  <c r="H8" i="7"/>
  <c r="H16" i="7"/>
  <c r="H20" i="7"/>
  <c r="H6" i="8"/>
  <c r="H8" i="8"/>
  <c r="H14" i="8"/>
  <c r="H18" i="8"/>
  <c r="H2" i="11"/>
  <c r="H18" i="11"/>
  <c r="H2" i="12"/>
  <c r="H14" i="12"/>
  <c r="H15" i="13"/>
  <c r="H3" i="14"/>
  <c r="H15" i="14"/>
  <c r="H6" i="15"/>
  <c r="H8" i="11"/>
  <c r="H8" i="15"/>
  <c r="B17" i="8"/>
  <c r="H8" i="10"/>
  <c r="H6" i="11"/>
  <c r="B17" i="11"/>
  <c r="H7" i="13"/>
  <c r="B17" i="13"/>
  <c r="H20" i="13"/>
  <c r="H2" i="15"/>
  <c r="B17" i="15"/>
  <c r="H6" i="16"/>
  <c r="H5" i="13"/>
  <c r="H5" i="11"/>
  <c r="H5" i="15"/>
  <c r="H5" i="12"/>
  <c r="H5" i="10"/>
  <c r="H5" i="8"/>
  <c r="H5" i="4"/>
  <c r="H15" i="11"/>
  <c r="H15" i="15"/>
  <c r="H18" i="16"/>
  <c r="H11" i="16"/>
  <c r="H2" i="16"/>
  <c r="H2" i="13"/>
  <c r="H17" i="16"/>
  <c r="H14" i="16"/>
  <c r="H10" i="16"/>
  <c r="H7" i="16"/>
  <c r="H5" i="16"/>
  <c r="H20" i="15"/>
  <c r="H20" i="16"/>
  <c r="H16" i="16"/>
  <c r="H13" i="16"/>
  <c r="H2" i="7"/>
  <c r="H2" i="5"/>
  <c r="H16" i="3"/>
  <c r="H8" i="3"/>
  <c r="H6" i="4"/>
  <c r="H9" i="4"/>
  <c r="H9" i="5"/>
  <c r="H13" i="13"/>
  <c r="H13" i="15"/>
  <c r="H13" i="14"/>
  <c r="H13" i="12"/>
  <c r="H13" i="10"/>
  <c r="H13" i="8"/>
  <c r="H7" i="15"/>
  <c r="H7" i="11"/>
  <c r="H7" i="7"/>
  <c r="H7" i="4"/>
  <c r="E3" i="3"/>
  <c r="H15" i="3"/>
  <c r="H7" i="3"/>
  <c r="H3" i="3"/>
  <c r="H2" i="4"/>
  <c r="B17" i="4"/>
  <c r="H18" i="4"/>
  <c r="H14" i="5"/>
  <c r="B17" i="7"/>
  <c r="H2" i="8"/>
  <c r="H7" i="8"/>
  <c r="H15" i="8"/>
  <c r="H6" i="10"/>
  <c r="H16" i="11"/>
  <c r="H15" i="12"/>
  <c r="H8" i="13"/>
  <c r="H14" i="13"/>
  <c r="H5" i="14"/>
  <c r="H8" i="14"/>
  <c r="H14" i="14"/>
  <c r="H3" i="15"/>
  <c r="H8" i="16"/>
  <c r="H18" i="14"/>
  <c r="H18" i="12"/>
  <c r="H18" i="10"/>
  <c r="H18" i="5"/>
  <c r="H9" i="13"/>
  <c r="H9" i="15"/>
  <c r="H9" i="16"/>
  <c r="H9" i="14"/>
  <c r="H9" i="12"/>
  <c r="H9" i="10"/>
  <c r="H9" i="8"/>
  <c r="H6" i="14"/>
  <c r="H6" i="13"/>
  <c r="H20" i="14"/>
  <c r="H20" i="12"/>
  <c r="H20" i="10"/>
  <c r="H20" i="8"/>
  <c r="E6" i="3"/>
  <c r="H18" i="3"/>
  <c r="H14" i="3"/>
  <c r="H6" i="3"/>
  <c r="H2" i="3"/>
  <c r="H15" i="4"/>
  <c r="H7" i="5"/>
  <c r="H5" i="7"/>
  <c r="H15" i="7"/>
  <c r="H2" i="10"/>
  <c r="H7" i="10"/>
  <c r="H15" i="10"/>
  <c r="H7" i="12"/>
  <c r="H3" i="13"/>
  <c r="H18" i="13"/>
  <c r="H2" i="14"/>
  <c r="H18" i="15"/>
  <c r="B17" i="5"/>
  <c r="B15" i="13"/>
  <c r="B17" i="10"/>
  <c r="B17" i="12"/>
  <c r="B17" i="14"/>
  <c r="B17" i="16"/>
  <c r="A15" i="16"/>
  <c r="B15" i="16" s="1"/>
  <c r="B16" i="16"/>
  <c r="B16" i="15"/>
  <c r="A15" i="15"/>
  <c r="B15" i="15" s="1"/>
  <c r="B16" i="14"/>
  <c r="A15" i="14"/>
  <c r="B15" i="14" s="1"/>
  <c r="B16" i="13"/>
  <c r="B16" i="12"/>
  <c r="A15" i="12"/>
  <c r="B15" i="12" s="1"/>
  <c r="B16" i="11"/>
  <c r="A15" i="11"/>
  <c r="B15" i="11" s="1"/>
  <c r="B16" i="10"/>
  <c r="A15" i="10"/>
  <c r="B15" i="10" s="1"/>
  <c r="B16" i="8"/>
  <c r="A15" i="8"/>
  <c r="B15" i="8" s="1"/>
  <c r="B16" i="7"/>
  <c r="A15" i="7"/>
  <c r="B15" i="7" s="1"/>
  <c r="B16" i="5"/>
  <c r="A15" i="5"/>
  <c r="B15" i="5" s="1"/>
  <c r="B16" i="4"/>
  <c r="A15" i="4"/>
  <c r="B15" i="4" s="1"/>
  <c r="B17" i="3"/>
  <c r="B16" i="3"/>
  <c r="C3" i="17" a="1"/>
  <c r="C8" i="17" a="1"/>
  <c r="C4" i="17" a="1"/>
  <c r="C7" i="17" a="1"/>
  <c r="C6" i="17" a="1"/>
  <c r="C2" i="17" a="1"/>
  <c r="C5" i="17" a="1"/>
  <c r="M15" i="17" l="1"/>
  <c r="I15" i="17"/>
  <c r="O15" i="17" s="1"/>
  <c r="K15" i="17"/>
  <c r="C5" i="17"/>
  <c r="C2" i="17"/>
  <c r="C6" i="17"/>
  <c r="C7" i="17"/>
  <c r="C4" i="17"/>
  <c r="C8" i="17"/>
  <c r="C3" i="17"/>
  <c r="C5" i="4"/>
  <c r="E5" i="4" s="1"/>
  <c r="C2" i="4"/>
  <c r="E2" i="4" s="1"/>
  <c r="C6" i="4"/>
  <c r="E6" i="4" s="1"/>
  <c r="C7" i="4"/>
  <c r="E7" i="4" s="1"/>
  <c r="C4" i="4"/>
  <c r="E4" i="4" s="1"/>
  <c r="C8" i="4"/>
  <c r="C3" i="4"/>
  <c r="D9" i="14"/>
  <c r="D9" i="10"/>
  <c r="D9" i="8"/>
  <c r="D9" i="16"/>
  <c r="D9" i="3"/>
  <c r="E9" i="3"/>
  <c r="H21" i="7"/>
  <c r="H21" i="4"/>
  <c r="H21" i="12"/>
  <c r="H21" i="5"/>
  <c r="H21" i="14"/>
  <c r="D9" i="13"/>
  <c r="D9" i="5"/>
  <c r="D9" i="4"/>
  <c r="H21" i="8"/>
  <c r="D9" i="7"/>
  <c r="D9" i="12"/>
  <c r="D9" i="15"/>
  <c r="D9" i="11"/>
  <c r="H21" i="16"/>
  <c r="H21" i="10"/>
  <c r="H21" i="11"/>
  <c r="H21" i="15"/>
  <c r="E8" i="4"/>
  <c r="H21" i="3"/>
  <c r="E3" i="4"/>
  <c r="H21" i="13"/>
  <c r="D4" i="17" a="1"/>
  <c r="D7" i="17" a="1"/>
  <c r="D3" i="17" a="1"/>
  <c r="D6" i="17" a="1"/>
  <c r="D8" i="17" a="1"/>
  <c r="D5" i="17" a="1"/>
  <c r="D2" i="17" a="1"/>
  <c r="C9" i="4" l="1"/>
  <c r="C9" i="17"/>
  <c r="D2" i="17"/>
  <c r="D5" i="17"/>
  <c r="D8" i="17"/>
  <c r="D6" i="17"/>
  <c r="D3" i="17"/>
  <c r="D7" i="17"/>
  <c r="D4" i="17"/>
  <c r="C2" i="5"/>
  <c r="E2" i="5" s="1"/>
  <c r="C5" i="5"/>
  <c r="E5" i="5" s="1"/>
  <c r="C8" i="5"/>
  <c r="E8" i="5" s="1"/>
  <c r="C6" i="5"/>
  <c r="E6" i="5" s="1"/>
  <c r="C7" i="5"/>
  <c r="E7" i="5" s="1"/>
  <c r="C4" i="5"/>
  <c r="E4" i="5" s="1"/>
  <c r="C3" i="5"/>
  <c r="E9" i="4"/>
  <c r="E5" i="17" a="1"/>
  <c r="E4" i="17" a="1"/>
  <c r="E8" i="17" a="1"/>
  <c r="E6" i="17" a="1"/>
  <c r="E2" i="17" a="1"/>
  <c r="E7" i="17" a="1"/>
  <c r="E7" i="17" l="1"/>
  <c r="E2" i="17"/>
  <c r="E6" i="17"/>
  <c r="E8" i="17"/>
  <c r="E4" i="17"/>
  <c r="E5" i="17"/>
  <c r="C7" i="7"/>
  <c r="E7" i="7" s="1"/>
  <c r="C2" i="7"/>
  <c r="E2" i="7" s="1"/>
  <c r="C2" i="8" s="1"/>
  <c r="C6" i="7"/>
  <c r="E6" i="7" s="1"/>
  <c r="C8" i="7"/>
  <c r="E8" i="7" s="1"/>
  <c r="C4" i="7"/>
  <c r="E4" i="7" s="1"/>
  <c r="C5" i="7"/>
  <c r="E5" i="7" s="1"/>
  <c r="D9" i="17"/>
  <c r="E3" i="5"/>
  <c r="C9" i="5"/>
  <c r="F6" i="17" a="1"/>
  <c r="F8" i="17" a="1"/>
  <c r="F7" i="17" a="1"/>
  <c r="F4" i="17" a="1"/>
  <c r="E3" i="17" a="1"/>
  <c r="F2" i="17" a="1"/>
  <c r="F5" i="17" a="1"/>
  <c r="F5" i="17" l="1"/>
  <c r="F2" i="17"/>
  <c r="E3" i="17"/>
  <c r="E9" i="17" s="1"/>
  <c r="F4" i="17"/>
  <c r="F7" i="17"/>
  <c r="F8" i="17"/>
  <c r="F6" i="17"/>
  <c r="C5" i="8"/>
  <c r="E5" i="8" s="1"/>
  <c r="C4" i="8"/>
  <c r="E4" i="8" s="1"/>
  <c r="C7" i="8"/>
  <c r="E7" i="8" s="1"/>
  <c r="C8" i="8"/>
  <c r="E8" i="8" s="1"/>
  <c r="C6" i="8"/>
  <c r="E6" i="8" s="1"/>
  <c r="C3" i="7"/>
  <c r="E9" i="5"/>
  <c r="E2" i="8"/>
  <c r="G4" i="17" a="1"/>
  <c r="G6" i="17" a="1"/>
  <c r="G7" i="17" a="1"/>
  <c r="G5" i="17" a="1"/>
  <c r="G2" i="17" a="1"/>
  <c r="G8" i="17" a="1"/>
  <c r="G8" i="17" l="1"/>
  <c r="G2" i="17"/>
  <c r="G5" i="17"/>
  <c r="G7" i="17"/>
  <c r="G6" i="17"/>
  <c r="G4" i="17"/>
  <c r="C8" i="10"/>
  <c r="E8" i="10" s="1"/>
  <c r="C5" i="10"/>
  <c r="E5" i="10" s="1"/>
  <c r="C7" i="10"/>
  <c r="E7" i="10" s="1"/>
  <c r="C6" i="10"/>
  <c r="E6" i="10" s="1"/>
  <c r="C4" i="10"/>
  <c r="E4" i="10" s="1"/>
  <c r="C2" i="10"/>
  <c r="E3" i="7"/>
  <c r="C9" i="7"/>
  <c r="H5" i="17" a="1"/>
  <c r="H7" i="17" a="1"/>
  <c r="F3" i="17" a="1"/>
  <c r="H8" i="17" a="1"/>
  <c r="H6" i="17" a="1"/>
  <c r="H4" i="17" a="1"/>
  <c r="H4" i="17" l="1"/>
  <c r="H6" i="17"/>
  <c r="H8" i="17"/>
  <c r="F3" i="17"/>
  <c r="F9" i="17" s="1"/>
  <c r="H7" i="17"/>
  <c r="H5" i="17"/>
  <c r="C4" i="11"/>
  <c r="E4" i="11" s="1"/>
  <c r="C6" i="11"/>
  <c r="E6" i="11" s="1"/>
  <c r="C8" i="11"/>
  <c r="E8" i="11" s="1"/>
  <c r="C7" i="11"/>
  <c r="E7" i="11" s="1"/>
  <c r="C5" i="11"/>
  <c r="E5" i="11" s="1"/>
  <c r="C3" i="8"/>
  <c r="E9" i="7"/>
  <c r="E2" i="10"/>
  <c r="I8" i="17" a="1"/>
  <c r="I4" i="17" a="1"/>
  <c r="H2" i="17" a="1"/>
  <c r="I7" i="17" a="1"/>
  <c r="I6" i="17" a="1"/>
  <c r="I5" i="17" a="1"/>
  <c r="I5" i="17" l="1"/>
  <c r="I6" i="17"/>
  <c r="I7" i="17"/>
  <c r="H2" i="17"/>
  <c r="I4" i="17"/>
  <c r="I8" i="17"/>
  <c r="C5" i="12"/>
  <c r="E5" i="12" s="1"/>
  <c r="C6" i="12"/>
  <c r="E6" i="12" s="1"/>
  <c r="C7" i="12"/>
  <c r="E7" i="12" s="1"/>
  <c r="C4" i="12"/>
  <c r="E4" i="12" s="1"/>
  <c r="C8" i="12"/>
  <c r="E8" i="12" s="1"/>
  <c r="C2" i="11"/>
  <c r="E3" i="8"/>
  <c r="C9" i="8"/>
  <c r="J7" i="17" a="1"/>
  <c r="G3" i="17" a="1"/>
  <c r="J4" i="17" a="1"/>
  <c r="J5" i="17" a="1"/>
  <c r="J8" i="17" a="1"/>
  <c r="J6" i="17" a="1"/>
  <c r="J6" i="17" l="1"/>
  <c r="J8" i="17"/>
  <c r="J5" i="17"/>
  <c r="J4" i="17"/>
  <c r="G3" i="17"/>
  <c r="G9" i="17" s="1"/>
  <c r="J7" i="17"/>
  <c r="C6" i="13"/>
  <c r="E6" i="13" s="1"/>
  <c r="C8" i="13"/>
  <c r="E8" i="13" s="1"/>
  <c r="C5" i="13"/>
  <c r="E5" i="13" s="1"/>
  <c r="C4" i="13"/>
  <c r="E4" i="13" s="1"/>
  <c r="C7" i="13"/>
  <c r="E7" i="13" s="1"/>
  <c r="C3" i="10"/>
  <c r="E9" i="8"/>
  <c r="E2" i="11"/>
  <c r="K8" i="17" a="1"/>
  <c r="I2" i="17" a="1"/>
  <c r="K7" i="17" a="1"/>
  <c r="K5" i="17" a="1"/>
  <c r="K6" i="17" a="1"/>
  <c r="K4" i="17" a="1"/>
  <c r="K4" i="17" l="1"/>
  <c r="K6" i="17"/>
  <c r="K5" i="17"/>
  <c r="K7" i="17"/>
  <c r="I2" i="17"/>
  <c r="K8" i="17"/>
  <c r="C4" i="14"/>
  <c r="E4" i="14" s="1"/>
  <c r="C6" i="14"/>
  <c r="E6" i="14" s="1"/>
  <c r="C5" i="14"/>
  <c r="E5" i="14" s="1"/>
  <c r="C7" i="14"/>
  <c r="E7" i="14" s="1"/>
  <c r="C8" i="14"/>
  <c r="E8" i="14" s="1"/>
  <c r="C2" i="12"/>
  <c r="E3" i="10"/>
  <c r="C9" i="10"/>
  <c r="L5" i="17" a="1"/>
  <c r="H3" i="17" a="1"/>
  <c r="L7" i="17" a="1"/>
  <c r="L4" i="17" a="1"/>
  <c r="L8" i="17" a="1"/>
  <c r="L6" i="17" a="1"/>
  <c r="L6" i="17" l="1"/>
  <c r="L8" i="17"/>
  <c r="L4" i="17"/>
  <c r="L7" i="17"/>
  <c r="H3" i="17"/>
  <c r="H9" i="17" s="1"/>
  <c r="L5" i="17"/>
  <c r="C6" i="15"/>
  <c r="E6" i="15" s="1"/>
  <c r="C8" i="15"/>
  <c r="E8" i="15" s="1"/>
  <c r="C4" i="15"/>
  <c r="E4" i="15" s="1"/>
  <c r="C7" i="15"/>
  <c r="E7" i="15" s="1"/>
  <c r="C5" i="15"/>
  <c r="E5" i="15" s="1"/>
  <c r="C3" i="11"/>
  <c r="E9" i="10"/>
  <c r="E2" i="12"/>
  <c r="M4" i="17" a="1"/>
  <c r="M8" i="17" a="1"/>
  <c r="M7" i="17" a="1"/>
  <c r="M6" i="17" a="1"/>
  <c r="M5" i="17" a="1"/>
  <c r="J2" i="17" a="1"/>
  <c r="J2" i="17" l="1"/>
  <c r="M5" i="17"/>
  <c r="M6" i="17"/>
  <c r="M7" i="17"/>
  <c r="M8" i="17"/>
  <c r="M4" i="17"/>
  <c r="C5" i="16"/>
  <c r="E5" i="16" s="1"/>
  <c r="C6" i="16"/>
  <c r="E6" i="16" s="1"/>
  <c r="C7" i="16"/>
  <c r="E7" i="16" s="1"/>
  <c r="C8" i="16"/>
  <c r="E8" i="16" s="1"/>
  <c r="C4" i="16"/>
  <c r="E4" i="16" s="1"/>
  <c r="C2" i="13"/>
  <c r="E2" i="13" s="1"/>
  <c r="E3" i="11"/>
  <c r="C9" i="11"/>
  <c r="N7" i="17" a="1"/>
  <c r="I3" i="17" a="1"/>
  <c r="N5" i="17" a="1"/>
  <c r="N6" i="17" a="1"/>
  <c r="N8" i="17" a="1"/>
  <c r="N4" i="17" a="1"/>
  <c r="K2" i="17" a="1"/>
  <c r="K2" i="17" l="1"/>
  <c r="N4" i="17"/>
  <c r="N8" i="17"/>
  <c r="N6" i="17"/>
  <c r="N5" i="17"/>
  <c r="I3" i="17"/>
  <c r="I9" i="17" s="1"/>
  <c r="N7" i="17"/>
  <c r="C2" i="14"/>
  <c r="C3" i="12"/>
  <c r="E9" i="11"/>
  <c r="E3" i="12" l="1"/>
  <c r="C9" i="12"/>
  <c r="E2" i="14"/>
  <c r="J3" i="17" a="1"/>
  <c r="L2" i="17" a="1"/>
  <c r="L2" i="17" l="1"/>
  <c r="J3" i="17"/>
  <c r="J9" i="17" s="1"/>
  <c r="C2" i="15"/>
  <c r="C3" i="13"/>
  <c r="E9" i="12"/>
  <c r="C9" i="13" l="1"/>
  <c r="E3" i="13"/>
  <c r="E2" i="15"/>
  <c r="K3" i="17" a="1"/>
  <c r="M2" i="17" a="1"/>
  <c r="M2" i="17" l="1"/>
  <c r="K3" i="17"/>
  <c r="K9" i="17" s="1"/>
  <c r="C2" i="16"/>
  <c r="E2" i="16" s="1"/>
  <c r="C3" i="14"/>
  <c r="E9" i="13"/>
  <c r="N2" i="17" a="1"/>
  <c r="N2" i="17" l="1"/>
  <c r="E3" i="14"/>
  <c r="C9" i="14"/>
  <c r="L3" i="17" a="1"/>
  <c r="L3" i="17" l="1"/>
  <c r="L9" i="17" s="1"/>
  <c r="C3" i="15"/>
  <c r="E9" i="14"/>
  <c r="E3" i="15" l="1"/>
  <c r="C9" i="15"/>
  <c r="M3" i="17" a="1"/>
  <c r="M3" i="17" l="1"/>
  <c r="M9" i="17" s="1"/>
  <c r="C3" i="16"/>
  <c r="E9" i="15"/>
  <c r="C9" i="16" l="1"/>
  <c r="E3" i="16"/>
  <c r="N3" i="17" a="1"/>
  <c r="N3" i="17" l="1"/>
  <c r="N9" i="17" s="1"/>
  <c r="E9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<sst xmlns="http://schemas.openxmlformats.org/spreadsheetml/2006/main" count="1258" uniqueCount="60">
  <si>
    <t>Category</t>
  </si>
  <si>
    <t>Type</t>
  </si>
  <si>
    <t>Food</t>
  </si>
  <si>
    <t>Entertainment</t>
  </si>
  <si>
    <t>Clothes</t>
  </si>
  <si>
    <t>Transport</t>
  </si>
  <si>
    <t>Health&amp;Beauty</t>
  </si>
  <si>
    <t>Subscriptions</t>
  </si>
  <si>
    <t>Education</t>
  </si>
  <si>
    <t>Pets</t>
  </si>
  <si>
    <t>Donations</t>
  </si>
  <si>
    <t>Other expenses</t>
  </si>
  <si>
    <t>Expenses</t>
  </si>
  <si>
    <t>Salary</t>
  </si>
  <si>
    <t>Investment</t>
  </si>
  <si>
    <t>Gambling</t>
  </si>
  <si>
    <t>Gifts</t>
  </si>
  <si>
    <t>Other income</t>
  </si>
  <si>
    <t>Benefits</t>
  </si>
  <si>
    <t>Income</t>
  </si>
  <si>
    <t>PKO BP</t>
  </si>
  <si>
    <t>PEKAO S.A</t>
  </si>
  <si>
    <t>Account</t>
  </si>
  <si>
    <t>Credit Card</t>
  </si>
  <si>
    <t>Fixed-term Deposit</t>
  </si>
  <si>
    <t>Piggy Bank</t>
  </si>
  <si>
    <t>Wallet</t>
  </si>
  <si>
    <t>Cash</t>
  </si>
  <si>
    <t>Scholarship</t>
  </si>
  <si>
    <t>Allowance</t>
  </si>
  <si>
    <t>Gift Cards</t>
  </si>
  <si>
    <t>Amount</t>
  </si>
  <si>
    <t>Bank</t>
  </si>
  <si>
    <t>Product</t>
  </si>
  <si>
    <t>Date</t>
  </si>
  <si>
    <t>Month</t>
  </si>
  <si>
    <t>Opening balance</t>
  </si>
  <si>
    <t>Operations</t>
  </si>
  <si>
    <t>Closing Balance</t>
  </si>
  <si>
    <t>Transfer</t>
  </si>
  <si>
    <t>Transaction</t>
  </si>
  <si>
    <t>Year</t>
  </si>
  <si>
    <t>Total</t>
  </si>
  <si>
    <t>Sum</t>
  </si>
  <si>
    <t>Accomodation</t>
  </si>
  <si>
    <t>Credit card</t>
  </si>
  <si>
    <t>Fixed-term deposit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</si>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</sst>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8" fontId="0" fillId="0" borderId="0" xfId="0" applyNumberFormat="1"/>
    <xf numFmtId="164" fontId="0" fillId="0" borderId="0" xfId="0" applyNumberFormat="1"/>
    <xf numFmtId="8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0" fillId="0" borderId="7" xfId="0" applyBorder="1"/>
    <xf numFmtId="8" fontId="0" fillId="0" borderId="7" xfId="0" applyNumberFormat="1" applyBorder="1"/>
    <xf numFmtId="0" fontId="5" fillId="0" borderId="7" xfId="0" applyFont="1" applyBorder="1"/>
  </cellXfs>
  <cellStyles count="1">
    <cellStyle name="Normal" xfId="0" builtinId="0"/>
  </cellStyles>
  <dxfs count="88">
    <dxf>
      <font>
        <color rgb="FF600000"/>
      </font>
      <fill>
        <patternFill>
          <bgColor rgb="FFF97373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2" formatCode="&quot;$&quot;#,##0.00_);[Red]\(&quot;$&quot;#,##0.00\)"/>
    </dxf>
    <dxf>
      <numFmt numFmtId="0" formatCode="General"/>
    </dxf>
    <dxf>
      <numFmt numFmtId="0" formatCode="General"/>
    </dxf>
    <dxf>
      <numFmt numFmtId="0" formatCode="General"/>
    </dxf>
    <dxf>
      <numFmt numFmtId="12" formatCode="&quot;$&quot;#,##0.00_);[Red]\(&quot;$&quot;#,##0.00\)"/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1C2C12"/>
      <color rgb="FF93FFA0"/>
      <color rgb="FF600000"/>
      <color rgb="FF960000"/>
      <color rgb="FFF9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1876F-7319-4D96-B449-A04787AAE0CC}" name="Categories" displayName="Categories" ref="A1:B21" totalsRowShown="0" headerRowDxfId="87" headerRowBorderDxfId="86" tableBorderDxfId="85" totalsRowBorderDxfId="84">
  <autoFilter ref="A1:B21" xr:uid="{5E91876F-7319-4D96-B449-A04787AAE0CC}"/>
  <tableColumns count="2">
    <tableColumn id="1" xr3:uid="{B1E09824-60E8-41BD-BFE0-5BF6340F6890}" name="Category" dataDxfId="83"/>
    <tableColumn id="2" xr3:uid="{3B567AFB-E41B-46AB-92C7-F88EFC64AA64}" name="Type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47DF2D6-DC30-4AE8-B5D7-BE126C18ECE9}" name="Table27" displayName="Table27" ref="H1:I8" totalsRowShown="0">
  <autoFilter ref="H1:I8" xr:uid="{E47DF2D6-DC30-4AE8-B5D7-BE126C18ECE9}"/>
  <tableColumns count="2">
    <tableColumn id="1" xr3:uid="{9BD1C9C4-0C94-4CFB-B1CE-9F862A05A1C0}" name="Bank"/>
    <tableColumn id="2" xr3:uid="{BDC3ABA6-0F5B-4381-B7C4-4BBC126DCA8A}" name="Product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008085-6E7E-4DCD-8B79-BEA5B972B50C}" name="Operations" displayName="Operations" ref="A1:H209" totalsRowShown="0">
  <autoFilter ref="A1:H209" xr:uid="{53008085-6E7E-4DCD-8B79-BEA5B972B50C}"/>
  <tableColumns count="8">
    <tableColumn id="1" xr3:uid="{E190804D-1272-494E-8A06-586D5C875388}" name="Amount" dataDxfId="81"/>
    <tableColumn id="2" xr3:uid="{C159BEA3-B7F7-4FE5-92D8-642B570F075D}" name="Bank"/>
    <tableColumn id="3" xr3:uid="{F46C1486-AD83-41BB-8213-A164B35519A5}" name="Product"/>
    <tableColumn id="4" xr3:uid="{2402B6F7-24E1-4070-A0C4-FC0DC1FE4A7A}" name="Category"/>
    <tableColumn id="5" xr3:uid="{DB63A2A5-D213-43F6-A26C-0C5DAA4C5C71}" name="Type" dataDxfId="80">
      <calculatedColumnFormula>_xlfn.XLOOKUP(D2,Categories[Category],Categories[Type],"",0,1)</calculatedColumnFormula>
    </tableColumn>
    <tableColumn id="6" xr3:uid="{A3F96FA8-9446-456F-90B0-A44026E26B8B}" name="Date"/>
    <tableColumn id="7" xr3:uid="{E249438E-6565-40A7-908D-BCD2688913E5}" name="Month" dataDxfId="79">
      <calculatedColumnFormula>IF(ISBLANK(Operations[[#This Row],[Date]]),"",MONTH(F2))</calculatedColumnFormula>
    </tableColumn>
    <tableColumn id="8" xr3:uid="{15D9A189-09D9-4851-9ADD-F1CFF18C142C}" name="Year" dataDxfId="78">
      <calculatedColumnFormula>IF(ISBLANK(Operations[[#This Row],[Date]]),"",YEAR(F2))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6759A79-520D-43BC-B415-B880E725A4C3}" name="Table28" displayName="Table28" ref="A1:N9" totalsRowCount="1">
  <autoFilter ref="A1:N8" xr:uid="{D6759A79-520D-43BC-B415-B880E725A4C3}"/>
  <tableColumns count="14">
    <tableColumn id="1" xr3:uid="{54B2A79E-32A5-475D-AA17-D5A76AB907AD}" name="Bank" totalsRowLabel="Total"/>
    <tableColumn id="2" xr3:uid="{22E71BEE-F67E-4530-BE41-EA761C00A624}" name="Product"/>
    <tableColumn id="3" xr3:uid="{9E28C454-83E5-4727-A3BA-B4B54D66BB91}" name="January" totalsRowFunction="sum" dataDxfId="30" totalsRowDxfId="18">
      <calculatedColumnFormula array="1">INDIRECT(Table28[[#Headers],[January]]&amp;"_Balance[@[Closing Balance]]")</calculatedColumnFormula>
    </tableColumn>
    <tableColumn id="4" xr3:uid="{8801692C-F1F6-4F78-944F-DC09A3556C0C}" name="February" totalsRowFunction="sum" dataDxfId="29" totalsRowDxfId="17">
      <calculatedColumnFormula array="1">INDIRECT(Table28[[#Headers],[February]]&amp;"_Balance[@[Closing Balance]]")</calculatedColumnFormula>
    </tableColumn>
    <tableColumn id="5" xr3:uid="{CDF8EACA-E9AE-4B13-B538-4F168CF7447F}" name="March" totalsRowFunction="sum" dataDxfId="28" totalsRowDxfId="16">
      <calculatedColumnFormula array="1">INDIRECT(Table28[[#Headers],[March]]&amp;"_Balance[@[Closing Balance]]")</calculatedColumnFormula>
    </tableColumn>
    <tableColumn id="6" xr3:uid="{036BB8FC-59C2-4539-B063-929CE316DB85}" name="April" totalsRowFunction="sum" dataDxfId="27" totalsRowDxfId="15">
      <calculatedColumnFormula array="1">INDIRECT(Table28[[#Headers],[April]]&amp;"_Balance[@[Closing Balance]]")</calculatedColumnFormula>
    </tableColumn>
    <tableColumn id="7" xr3:uid="{926FAC5A-CD75-4EA4-9B7E-63345E2E0258}" name="May" totalsRowFunction="sum" dataDxfId="26" totalsRowDxfId="14">
      <calculatedColumnFormula array="1">INDIRECT(Table28[[#Headers],[May]]&amp;"_Balance[@[Closing Balance]]")</calculatedColumnFormula>
    </tableColumn>
    <tableColumn id="8" xr3:uid="{3120B494-483C-4379-95C1-DC7081FA5B4A}" name="June" totalsRowFunction="sum" dataDxfId="25" totalsRowDxfId="13">
      <calculatedColumnFormula array="1">INDIRECT(Table28[[#Headers],[June]]&amp;"_Balance[@[Closing Balance]]")</calculatedColumnFormula>
    </tableColumn>
    <tableColumn id="9" xr3:uid="{388FD198-2759-4E38-953E-DA5917BCE303}" name="July" totalsRowFunction="sum" dataDxfId="24" totalsRowDxfId="12">
      <calculatedColumnFormula array="1">INDIRECT(Table28[[#Headers],[July]]&amp;"_Balance[@[Closing Balance]]")</calculatedColumnFormula>
    </tableColumn>
    <tableColumn id="10" xr3:uid="{BA46D260-88ED-4E24-9260-F751CC209C19}" name="August" totalsRowFunction="sum" dataDxfId="23" totalsRowDxfId="11">
      <calculatedColumnFormula array="1">INDIRECT(Table28[[#Headers],[August]]&amp;"_Balance[@[Closing Balance]]")</calculatedColumnFormula>
    </tableColumn>
    <tableColumn id="11" xr3:uid="{25ABFCA7-3777-428C-8D30-70EB80EABC69}" name="September" totalsRowFunction="sum" dataDxfId="22" totalsRowDxfId="10">
      <calculatedColumnFormula array="1">INDIRECT(Table28[[#Headers],[September]]&amp;"_Balance[@[Closing Balance]]")</calculatedColumnFormula>
    </tableColumn>
    <tableColumn id="12" xr3:uid="{D0B77270-FF85-4C75-AB03-2B5FCE4E314B}" name="October" totalsRowFunction="sum" dataDxfId="21" totalsRowDxfId="9">
      <calculatedColumnFormula array="1">INDIRECT(Table28[[#Headers],[October]]&amp;"_Balance[@[Closing Balance]]")</calculatedColumnFormula>
    </tableColumn>
    <tableColumn id="13" xr3:uid="{BCA1EEAD-5C7F-4761-B95F-251F15740DFA}" name="November" totalsRowFunction="sum" dataDxfId="20" totalsRowDxfId="8">
      <calculatedColumnFormula array="1">INDIRECT(Table28[[#Headers],[November]]&amp;"_Balance[@[Closing Balance]]")</calculatedColumnFormula>
    </tableColumn>
    <tableColumn id="14" xr3:uid="{1672A58D-8FC3-4D28-B1C5-4BCF37E1AA68}" name="December" totalsRowFunction="sum" dataDxfId="19" totalsRowDxfId="7">
      <calculatedColumnFormula array="1">INDIRECT(Table28[[#Headers],[December]]&amp;"_Balance[@[Closing Balance]]")</calculatedColumnFormula>
    </tableColumn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F2CC6A-E4ED-4014-8831-866C48D3A641}" name="January_Balance" displayName="January_Balance" ref="A1:E9" totalsRowCount="1">
  <autoFilter ref="A1:E8" xr:uid="{C5F2CC6A-E4ED-4014-8831-866C48D3A641}"/>
  <tableColumns count="5">
    <tableColumn id="1" xr3:uid="{25184DD0-BBB5-413C-A4F5-68C471D00E3C}" name="Bank" totalsRowLabel="Total"/>
    <tableColumn id="2" xr3:uid="{44E651FD-F72A-41F3-8B98-D1D01D284783}" name="Product"/>
    <tableColumn id="3" xr3:uid="{8C08B500-08CB-412D-A85E-A9FC75C361C2}" name="Opening balance" totalsRowFunction="sum" dataDxfId="77" totalsRowDxfId="76"/>
    <tableColumn id="4" xr3:uid="{5C3CB0BA-C4D9-4D89-AFBE-7021D4347042}" name="Operations" totalsRowFunction="sum" dataDxfId="75" totalsRowDxfId="74">
      <calculatedColumnFormula>SUMIFS(Operations[Amount], Operations[Bank],January_Balance[[#This Row],[Bank]],Operations[Product],January_Balance[[#This Row],[Product]],Operations[Month],$B$12)</calculatedColumnFormula>
    </tableColumn>
    <tableColumn id="5" xr3:uid="{1F69EB05-B810-4F26-B0C7-C7BB6399BE07}" name="Closing Balance" totalsRowFunction="sum" dataDxfId="73" totalsRowDxfId="72">
      <calculatedColumnFormula>January_Balance[[#This Row],[Opening balance]]+January_Balance[[#This Row],[Operations]]</calculatedColumnFormula>
    </tableColumn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8B6599-7394-470C-8F9C-A092BA8FB83C}" name="January_Categories" displayName="January_Categories" ref="G1:H21" totalsRowCount="1">
  <autoFilter ref="G1:H20" xr:uid="{F28B6599-7394-470C-8F9C-A092BA8FB83C}"/>
  <tableColumns count="2">
    <tableColumn id="1" xr3:uid="{F33148D8-4851-41E9-99CA-3586A68F9BA7}" name="Category" totalsRowLabel="Total"/>
    <tableColumn id="2" xr3:uid="{2DAD4D9E-9866-43DF-934D-7EFF2A311E99}" name="Sum" totalsRowFunction="sum" dataDxfId="71" totalsRowDxfId="70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BED6BE-7560-4B4E-91A0-F55D00092B3B}" name="February_Balance" displayName="February_Balance" ref="A1:E9" totalsRowCount="1">
  <autoFilter ref="A1:E8" xr:uid="{C5F2CC6A-E4ED-4014-8831-866C48D3A641}"/>
  <tableColumns count="5">
    <tableColumn id="1" xr3:uid="{AB0F5D57-DDF9-408C-9FED-DA7F00BE831D}" name="Bank" totalsRowLabel="Total"/>
    <tableColumn id="2" xr3:uid="{61806DFE-D14C-419F-8F3A-A63762BFA9A0}" name="Product"/>
    <tableColumn id="3" xr3:uid="{3E5DF858-3974-40DB-8004-9A4CC3BA58E3}" name="Opening balance" totalsRowFunction="sum" totalsRowDxfId="33">
      <calculatedColumnFormula>January_Balance[[#This Row],[Closing Balance]]</calculatedColumnFormula>
    </tableColumn>
    <tableColumn id="4" xr3:uid="{41A6E2CF-B0F7-4F0E-85B0-58197546E16D}" name="Operations" totalsRowFunction="sum" totalsRowDxfId="32">
      <calculatedColumnFormula>SUMIFS(Operations[Amount], Operations[Bank],February_Balance[[#This Row],[Bank]],Operations[Product],February_Balance[[#This Row],[Product]],Operations[Month],$B$12)</calculatedColumnFormula>
    </tableColumn>
    <tableColumn id="5" xr3:uid="{16A21A49-C033-46AC-8E2A-4B9CD6842CA1}" name="Closing Balance" totalsRowFunction="sum" totalsRowDxfId="31">
      <calculatedColumnFormula>February_Balance[[#This Row],[Opening balance]]+February_Balance[[#This Row],[Operations]]</calculatedColumnFormula>
    </tableColumn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25FA1A-12D2-4D88-BEB2-8EE68C7C21C6}" name="February_Categories" displayName="February_Categories" ref="G1:H21" totalsRowCount="1">
  <autoFilter ref="G1:H20" xr:uid="{F28B6599-7394-470C-8F9C-A092BA8FB83C}"/>
  <tableColumns count="2">
    <tableColumn id="1" xr3:uid="{BF5D3B29-18C9-4E08-9C7A-98A3CCBD8F4E}" name="Category" totalsRowLabel="Total"/>
    <tableColumn id="2" xr3:uid="{BEA25518-7B73-4497-A781-EE5612CF681C}" name="Sum" totalsRowFunction="sum" dataDxfId="69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3368D7-6B6F-417D-8D24-CD49B1253850}" name="March_Balance" displayName="March_Balance" ref="A1:E9" totalsRowCount="1">
  <autoFilter ref="A1:E8" xr:uid="{C5F2CC6A-E4ED-4014-8831-866C48D3A641}"/>
  <tableColumns count="5">
    <tableColumn id="1" xr3:uid="{A8FECFCE-354C-4F9D-A83C-C77FA691F2E8}" name="Bank" totalsRowLabel="Total"/>
    <tableColumn id="2" xr3:uid="{CDB70341-C2FF-4123-9207-16CE10CFF05A}" name="Product"/>
    <tableColumn id="3" xr3:uid="{5D7C0486-1D69-4930-B23F-6EB1929BAD37}" name="Opening balance" totalsRowFunction="sum" dataDxfId="68">
      <calculatedColumnFormula>February_Balance[[#This Row],[Closing Balance]]</calculatedColumnFormula>
    </tableColumn>
    <tableColumn id="4" xr3:uid="{E8369BEF-AE23-4F2B-B0F7-908D44A2191A}" name="Operations" totalsRowFunction="sum" dataDxfId="67">
      <calculatedColumnFormula>SUMIFS(Operations[Amount], Operations[Bank],March_Balance[[#This Row],[Bank]],Operations[Product],March_Balance[[#This Row],[Product]],Operations[Month],$B$12)</calculatedColumnFormula>
    </tableColumn>
    <tableColumn id="5" xr3:uid="{B2511B36-72B0-4B1B-8E84-B883C3827827}" name="Closing Balance" totalsRowFunction="sum" dataDxfId="66">
      <calculatedColumnFormula>March_Balance[[#This Row],[Opening balance]]+March_Balance[[#This Row],[Operations]]</calculatedColumnFormula>
    </tableColumn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E22EBB-2E04-448D-901D-45DBDCDD3B83}" name="March_Categories" displayName="March_Categories" ref="G1:H21" totalsRowCount="1">
  <autoFilter ref="G1:H20" xr:uid="{F28B6599-7394-470C-8F9C-A092BA8FB83C}"/>
  <tableColumns count="2">
    <tableColumn id="1" xr3:uid="{A30BCE66-0862-4ED8-BA4A-97ACC001722B}" name="Category" totalsRowLabel="Total"/>
    <tableColumn id="2" xr3:uid="{9E349971-4CCA-4F49-B4E6-DA0764624370}" name="Sum" totalsRowFunction="sum" dataDxfId="65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40CA09-0B8D-43C0-8030-BADC6AAE2E1B}" name="April_Balance" displayName="April_Balance" ref="A1:E9" totalsRowCount="1">
  <autoFilter ref="A1:E8" xr:uid="{C5F2CC6A-E4ED-4014-8831-866C48D3A641}"/>
  <tableColumns count="5">
    <tableColumn id="1" xr3:uid="{8ACC3A18-6270-4030-9DDD-E7320A38C49A}" name="Bank" totalsRowLabel="Total"/>
    <tableColumn id="2" xr3:uid="{91A9C2A2-ED17-448C-A2F6-71FE206DCCEF}" name="Product"/>
    <tableColumn id="3" xr3:uid="{4BE231B0-AC59-4C04-8A82-0A5F02DF0DEF}" name="Opening balance" totalsRowFunction="sum" dataDxfId="64">
      <calculatedColumnFormula>March_Balance[[#This Row],[Closing Balance]]</calculatedColumnFormula>
    </tableColumn>
    <tableColumn id="4" xr3:uid="{494EFF21-24BF-4AE7-97D9-9F95A66B0BA1}" name="Operations" totalsRowFunction="sum" dataDxfId="63">
      <calculatedColumnFormula>SUMIFS(Operations[Amount], Operations[Bank],April_Balance[[#This Row],[Bank]],Operations[Product],April_Balance[[#This Row],[Product]],Operations[Month],$B$12)</calculatedColumnFormula>
    </tableColumn>
    <tableColumn id="5" xr3:uid="{41EB00C2-175E-4D65-AE64-2474617F0122}" name="Closing Balance" totalsRowFunction="sum" dataDxfId="62">
      <calculatedColumnFormula>April_Balance[[#This Row],[Opening balance]]+April_Balance[[#This Row],[Operations]]</calculatedColumnFormula>
    </tableColumn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60B29-F942-4DD3-AE3C-CDD68FCD20E8}" name="April_Categories" displayName="April_Categories" ref="G1:H21" totalsRowCount="1">
  <autoFilter ref="G1:H20" xr:uid="{F28B6599-7394-470C-8F9C-A092BA8FB83C}"/>
  <tableColumns count="2">
    <tableColumn id="1" xr3:uid="{BD96E8D8-B27B-4172-95FB-029BD316BC02}" name="Category" totalsRowLabel="Total"/>
    <tableColumn id="2" xr3:uid="{5D513336-FBC4-4615-9711-47C0E5E78F9D}" name="Sum" totalsRowFunction="sum" dataDxfId="61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004A0F-7617-48DA-922E-F474B4143B90}" name="May_Balance" displayName="May_Balance" ref="A1:E9" totalsRowCount="1">
  <autoFilter ref="A1:E8" xr:uid="{C5F2CC6A-E4ED-4014-8831-866C48D3A641}"/>
  <tableColumns count="5">
    <tableColumn id="1" xr3:uid="{780DBC5B-EC50-45B4-B936-C3B252A0D2FC}" name="Bank" totalsRowLabel="Total"/>
    <tableColumn id="2" xr3:uid="{87AF6869-F966-408C-8E61-036748A86EC8}" name="Product"/>
    <tableColumn id="3" xr3:uid="{63EF8FA5-3A7E-4631-B6A5-2B1465F17DF1}" name="Opening balance" totalsRowFunction="sum" dataDxfId="60">
      <calculatedColumnFormula>April_Balance[[#This Row],[Closing Balance]]</calculatedColumnFormula>
    </tableColumn>
    <tableColumn id="4" xr3:uid="{F840FAE4-8F80-4C0F-81E5-F04EF36DBCD1}" name="Operations" totalsRowFunction="sum" dataDxfId="59">
      <calculatedColumnFormula>SUMIFS(Operations[Amount], Operations[Bank],May_Balance[[#This Row],[Bank]],Operations[Product],May_Balance[[#This Row],[Product]],Operations[Month],$B$12)</calculatedColumnFormula>
    </tableColumn>
    <tableColumn id="5" xr3:uid="{BBD7B37C-0DE4-4C25-88DA-557B02CBD8BD}" name="Closing Balance" totalsRowFunction="sum" dataDxfId="58">
      <calculatedColumnFormula>May_Balance[[#This Row],[Opening balance]]+May_Balance[[#This Row],[Operations]]</calculatedColumnFormula>
    </tableColumn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34DBA5-3A96-4752-B70A-5EFCEABCF86F}" name="May_Categories" displayName="May_Categories" ref="G1:H21" totalsRowCount="1">
  <autoFilter ref="G1:H20" xr:uid="{F28B6599-7394-470C-8F9C-A092BA8FB83C}"/>
  <tableColumns count="2">
    <tableColumn id="1" xr3:uid="{AED55C46-14F0-4679-845B-3BA7B70A1DAD}" name="Category" totalsRowLabel="Total"/>
    <tableColumn id="2" xr3:uid="{100E74FC-237B-4E6B-84C8-7413F2AA2F21}" name="Sum" totalsRowFunction="sum" dataDxfId="57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C7C8DC-7277-44C4-AFDD-994DC98FC5D4}" name="June_Balance" displayName="June_Balance" ref="A1:E9" totalsRowCount="1">
  <autoFilter ref="A1:E8" xr:uid="{C5F2CC6A-E4ED-4014-8831-866C48D3A641}"/>
  <tableColumns count="5">
    <tableColumn id="1" xr3:uid="{CB8228F0-A4E7-41DB-A9A3-20B9D42947C3}" name="Bank" totalsRowLabel="Total"/>
    <tableColumn id="2" xr3:uid="{0E21DFBE-E3A2-43BD-BC64-EB4CFF47C600}" name="Product"/>
    <tableColumn id="3" xr3:uid="{36B4E443-91B3-475F-8A63-4B101024785B}" name="Opening balance" totalsRowFunction="sum" dataDxfId="56">
      <calculatedColumnFormula>May_Balance[[#This Row],[Closing Balance]]</calculatedColumnFormula>
    </tableColumn>
    <tableColumn id="4" xr3:uid="{D29A56AE-16EB-4154-A3DE-1F93DD9D1AFB}" name="Operations" totalsRowFunction="sum" dataDxfId="55">
      <calculatedColumnFormula>SUMIFS(Operations[Amount], Operations[Bank],June_Balance[[#This Row],[Bank]],Operations[Product],June_Balance[[#This Row],[Product]],Operations[Month],$B$12)</calculatedColumnFormula>
    </tableColumn>
    <tableColumn id="5" xr3:uid="{3527A52F-99E5-431F-9B83-F1A83C5E5B68}" name="Closing Balance" totalsRowFunction="sum" dataDxfId="54">
      <calculatedColumnFormula>June_Balance[[#This Row],[Opening balance]]+June_Balance[[#This Row],[Operations]]</calculatedColumnFormula>
    </tableColumn>
  </tableColumns>
  <tableStyleInfo name="TableStyleMedium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980501-3F59-4907-BD99-4FD51E6A48F2}" name="June_Categories" displayName="June_Categories" ref="G1:H21" totalsRowCount="1">
  <autoFilter ref="G1:H20" xr:uid="{F28B6599-7394-470C-8F9C-A092BA8FB83C}"/>
  <tableColumns count="2">
    <tableColumn id="1" xr3:uid="{092E807D-E11A-49D2-A0C3-F098E5F96322}" name="Category" totalsRowLabel="Total"/>
    <tableColumn id="2" xr3:uid="{F9272608-CC4B-491C-B65F-35F977762E8B}" name="Sum" totalsRowFunction="sum" dataDxfId="53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84155B9-5FF7-472B-A709-17D5C63108EB}" name="July_Balance" displayName="July_Balance" ref="A1:E9" totalsRowCount="1">
  <autoFilter ref="A1:E8" xr:uid="{C5F2CC6A-E4ED-4014-8831-866C48D3A641}"/>
  <tableColumns count="5">
    <tableColumn id="1" xr3:uid="{034F84E2-36B1-4119-98BB-927913F9D569}" name="Bank" totalsRowLabel="Total"/>
    <tableColumn id="2" xr3:uid="{FA9932A6-D6C5-441D-B141-AAAED3F75DBE}" name="Product"/>
    <tableColumn id="3" xr3:uid="{FA225C0D-BBE2-49C0-A11B-D48B094E6DD5}" name="Opening balance" totalsRowFunction="sum" dataDxfId="52">
      <calculatedColumnFormula>June_Balance[[#This Row],[Closing Balance]]</calculatedColumnFormula>
    </tableColumn>
    <tableColumn id="4" xr3:uid="{CB582037-639B-48F8-ADB6-300A043B48DA}" name="Operations" totalsRowFunction="sum" dataDxfId="51">
      <calculatedColumnFormula>SUMIFS(Operations[Amount], Operations[Bank],July_Balance[[#This Row],[Bank]],Operations[Product],July_Balance[[#This Row],[Product]],Operations[Month],$B$12)</calculatedColumnFormula>
    </tableColumn>
    <tableColumn id="5" xr3:uid="{D158A8DD-CD5A-41CA-A55F-B10C63F3D6C5}" name="Closing Balance" totalsRowFunction="sum" dataDxfId="50">
      <calculatedColumnFormula>July_Balance[[#This Row],[Opening balance]]+July_Balance[[#This Row],[Operations]]</calculatedColumnFormula>
    </tableColumn>
  </tableColumns>
  <tableStyleInfo name="TableStyleMedium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4B75822-BAD2-4FFF-8C73-A0103D3AC9A8}" name="July_Categories" displayName="July_Categories" ref="G1:H21" totalsRowCount="1">
  <autoFilter ref="G1:H20" xr:uid="{F28B6599-7394-470C-8F9C-A092BA8FB83C}"/>
  <tableColumns count="2">
    <tableColumn id="1" xr3:uid="{128ACE98-7117-4257-B5C9-36E37E00343C}" name="Category" totalsRowLabel="Total"/>
    <tableColumn id="2" xr3:uid="{A7F974CA-DCCE-400A-BEDF-A51154A66E54}" name="Sum" totalsRowFunction="sum" dataDxfId="49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4B22463-4E58-4BE6-A1AA-C35BAD444EE0}" name="August_Balance" displayName="August_Balance" ref="A1:E9" totalsRowCount="1">
  <autoFilter ref="A1:E8" xr:uid="{C5F2CC6A-E4ED-4014-8831-866C48D3A641}"/>
  <tableColumns count="5">
    <tableColumn id="1" xr3:uid="{744A2C3D-A72A-4D24-B648-FE35B3E3FC36}" name="Bank" totalsRowLabel="Total"/>
    <tableColumn id="2" xr3:uid="{0D03ECEF-7EB0-42B6-B773-CD5A2A8D2C43}" name="Product"/>
    <tableColumn id="3" xr3:uid="{79739D06-D55F-4233-AE62-D3B90742A0D6}" name="Opening balance" totalsRowFunction="sum" dataDxfId="48">
      <calculatedColumnFormula>July_Balance[[#This Row],[Closing Balance]]</calculatedColumnFormula>
    </tableColumn>
    <tableColumn id="4" xr3:uid="{73FA0B81-BE38-4A81-A902-B65F9A7A494C}" name="Operations" totalsRowFunction="sum" dataDxfId="47">
      <calculatedColumnFormula>SUMIFS(Operations[Amount], Operations[Bank],August_Balance[[#This Row],[Bank]],Operations[Product],August_Balance[[#This Row],[Product]],Operations[Month],$B$12)</calculatedColumnFormula>
    </tableColumn>
    <tableColumn id="5" xr3:uid="{C220E096-5C31-4B04-A645-8F29598D1AF5}" name="Closing Balance" totalsRowFunction="sum" dataDxfId="46">
      <calculatedColumnFormula>August_Balance[[#This Row],[Opening balance]]+August_Balance[[#This Row],[Operations]]</calculatedColumnFormula>
    </tableColumn>
  </tableColumns>
  <tableStyleInfo name="TableStyleMedium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4C7E718-5822-45DC-A5BA-3305C5A7AACE}" name="August_Categories" displayName="August_Categories" ref="G1:H21" totalsRowCount="1">
  <autoFilter ref="G1:H20" xr:uid="{F28B6599-7394-470C-8F9C-A092BA8FB83C}"/>
  <tableColumns count="2">
    <tableColumn id="1" xr3:uid="{1C01CC95-D01F-40B9-A997-CC22B889A898}" name="Category" totalsRowLabel="Total"/>
    <tableColumn id="2" xr3:uid="{18B495C5-8257-48D7-92D1-68F7BC64928F}" name="Sum" totalsRowFunction="sum" dataDxfId="45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9C969C0-14F7-4307-8B2C-BE05FA2F4CED}" name="September_Balance" displayName="September_Balance" ref="A1:E9" totalsRowCount="1">
  <autoFilter ref="A1:E8" xr:uid="{C5F2CC6A-E4ED-4014-8831-866C48D3A641}"/>
  <tableColumns count="5">
    <tableColumn id="1" xr3:uid="{CD315337-9C89-4CDB-AA09-77E8C05820F2}" name="Bank" totalsRowLabel="Total"/>
    <tableColumn id="2" xr3:uid="{99EDB595-C62B-4429-A8E7-3E3AA5BB0E77}" name="Product"/>
    <tableColumn id="3" xr3:uid="{A8935035-8EA5-49E8-86A0-5EAA120524CA}" name="Opening balance" totalsRowFunction="sum" dataDxfId="44">
      <calculatedColumnFormula>August_Balance[[#This Row],[Closing Balance]]</calculatedColumnFormula>
    </tableColumn>
    <tableColumn id="4" xr3:uid="{FC999182-A129-470F-A1CE-AA4C61F18A1A}" name="Operations" totalsRowFunction="sum" dataDxfId="43">
      <calculatedColumnFormula>SUMIFS(Operations[Amount], Operations[Bank],September_Balance[[#This Row],[Bank]],Operations[Product],September_Balance[[#This Row],[Product]],Operations[Month],$B$12)</calculatedColumnFormula>
    </tableColumn>
    <tableColumn id="5" xr3:uid="{F31154A9-196E-41FF-8D2A-B36B1EC7CE61}" name="Closing Balance" totalsRowFunction="sum" dataDxfId="42">
      <calculatedColumnFormula>September_Balance[[#This Row],[Opening balance]]+September_Balance[[#This Row],[Operations]]</calculatedColumnFormula>
    </tableColumn>
  </tableColumns>
  <tableStyleInfo name="TableStyleMedium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D307383-7394-44E0-962C-51F28F6B7A4C}" name="September_Categories" displayName="September_Categories" ref="G1:H21" totalsRowCount="1">
  <autoFilter ref="G1:H20" xr:uid="{F28B6599-7394-470C-8F9C-A092BA8FB83C}"/>
  <tableColumns count="2">
    <tableColumn id="1" xr3:uid="{2F1AAF2B-89AB-4127-A715-52DD0AB48266}" name="Category" totalsRowLabel="Total"/>
    <tableColumn id="2" xr3:uid="{76CE3CA2-C73F-4DB3-AE22-FFEEE066F5C4}" name="Sum" totalsRowFunction="sum" dataDxfId="41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585FBBC-BC72-45C3-A836-1BC97703B08B}" name="October_Balance" displayName="October_Balance" ref="A1:E9" totalsRowCount="1">
  <autoFilter ref="A1:E8" xr:uid="{C5F2CC6A-E4ED-4014-8831-866C48D3A641}"/>
  <tableColumns count="5">
    <tableColumn id="1" xr3:uid="{7DD9AA02-9AF1-41A2-A194-B350C5A95393}" name="Bank" totalsRowLabel="Total"/>
    <tableColumn id="2" xr3:uid="{2E8242C0-C676-478B-BD66-81DCA15EC65B}" name="Product"/>
    <tableColumn id="3" xr3:uid="{BE343EFA-4433-4577-A91C-984D1F4407D2}" name="Opening balance" totalsRowFunction="sum" dataDxfId="40">
      <calculatedColumnFormula>September_Balance[[#This Row],[Closing Balance]]</calculatedColumnFormula>
    </tableColumn>
    <tableColumn id="4" xr3:uid="{2357A72A-E407-49DD-AA2B-E11E502671EC}" name="Operations" totalsRowFunction="sum" dataDxfId="39">
      <calculatedColumnFormula>SUMIFS(Operations[Amount], Operations[Bank],October_Balance[[#This Row],[Bank]],Operations[Product],October_Balance[[#This Row],[Product]],Operations[Month],$B$12)</calculatedColumnFormula>
    </tableColumn>
    <tableColumn id="5" xr3:uid="{895CEF9B-9FA2-4F79-9363-C3F5B2844123}" name="Closing Balance" totalsRowFunction="sum" dataDxfId="38">
      <calculatedColumnFormula>October_Balance[[#This Row],[Opening balance]]+October_Balance[[#This Row],[Operations]]</calculatedColumnFormula>
    </tableColumn>
  </tableColumns>
  <tableStyleInfo name="TableStyleMedium1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9592CEC-CB7B-43A7-9CF3-4FBE6BE0C015}" name="October_Categories" displayName="October_Categories" ref="G1:H21" totalsRowCount="1">
  <autoFilter ref="G1:H20" xr:uid="{F28B6599-7394-470C-8F9C-A092BA8FB83C}"/>
  <tableColumns count="2">
    <tableColumn id="1" xr3:uid="{FFBA9571-1058-4B07-997E-1292109CE1FE}" name="Category" totalsRowLabel="Total"/>
    <tableColumn id="2" xr3:uid="{CA35F49E-A053-4733-BE38-84207FA0F332}" name="Sum" totalsRowFunction="sum" dataDxfId="37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F77BEAC-659F-4C8E-9B9B-2FC052AB7521}" name="November_Balance" displayName="November_Balance" ref="A1:E9" totalsRowCount="1">
  <autoFilter ref="A1:E8" xr:uid="{C5F2CC6A-E4ED-4014-8831-866C48D3A641}"/>
  <tableColumns count="5">
    <tableColumn id="1" xr3:uid="{54D48A9C-30E5-4AFE-8BC5-87C2C9C68174}" name="Bank" totalsRowLabel="Total"/>
    <tableColumn id="2" xr3:uid="{7FA701DA-DE17-4EE0-9B82-86141B1BFCE6}" name="Product"/>
    <tableColumn id="3" xr3:uid="{58102588-FE27-4C81-82E5-D80BFB4B2EA2}" name="Opening balance" totalsRowFunction="sum" dataDxfId="36">
      <calculatedColumnFormula>October_Balance[[#This Row],[Closing Balance]]</calculatedColumnFormula>
    </tableColumn>
    <tableColumn id="4" xr3:uid="{E984BCB9-7DFD-4A84-9F45-BE16FA71366F}" name="Operations" totalsRowFunction="sum" dataDxfId="35">
      <calculatedColumnFormula>SUMIFS(Operations[Amount], Operations[Bank],November_Balance[[#This Row],[Bank]],Operations[Product],November_Balance[[#This Row],[Product]],Operations[Month],$B$12)</calculatedColumnFormula>
    </tableColumn>
    <tableColumn id="5" xr3:uid="{E8515D60-456B-460C-A64A-DC6CC2F8E062}" name="Closing Balance" totalsRowFunction="sum" dataDxfId="34">
      <calculatedColumnFormula>November_Balance[[#This Row],[Opening balance]]+November_Balance[[#This Row],[Operations]]</calculatedColumnFormula>
    </tableColumn>
  </tableColumns>
  <tableStyleInfo name="TableStyleMedium1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27382FF-364E-43E6-9C68-9268537AFC9E}" name="November_Categories" displayName="November_Categories" ref="G1:H21" totalsRowCount="1">
  <autoFilter ref="G1:H20" xr:uid="{F28B6599-7394-470C-8F9C-A092BA8FB83C}"/>
  <tableColumns count="2">
    <tableColumn id="1" xr3:uid="{D950BBCE-AEFD-4080-8719-D85D5664B3FD}" name="Category" totalsRowLabel="Total"/>
    <tableColumn id="2" xr3:uid="{784F02AF-DAC6-4558-A37E-8CB7A53ACA3C}" name="Sum" totalsRowFunction="sum" dataDxfId="6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EFCC360-30BC-467A-9DE4-AB7CFD8708E1}" name="December_Balance" displayName="December_Balance" ref="A1:E9" totalsRowCount="1">
  <autoFilter ref="A1:E8" xr:uid="{C5F2CC6A-E4ED-4014-8831-866C48D3A641}"/>
  <tableColumns count="5">
    <tableColumn id="1" xr3:uid="{7416834E-841F-4FAD-B8D5-202F5CA7FBB8}" name="Bank" totalsRowLabel="Total"/>
    <tableColumn id="2" xr3:uid="{FFED8986-0625-4085-AB81-7AF310C417D4}" name="Product"/>
    <tableColumn id="3" xr3:uid="{6AD65512-ED54-4B24-8071-4F944F40F9F3}" name="Opening balance" totalsRowFunction="sum" dataDxfId="5">
      <calculatedColumnFormula>November_Balance[[#This Row],[Closing Balance]]</calculatedColumnFormula>
    </tableColumn>
    <tableColumn id="4" xr3:uid="{10C6871D-14EE-4C51-BA45-50D626A6E4C7}" name="Operations" totalsRowFunction="sum" dataDxfId="4">
      <calculatedColumnFormula>SUMIFS(Operations[Amount], Operations[Bank],December_Balance[[#This Row],[Bank]],Operations[Product],December_Balance[[#This Row],[Product]],Operations[Month],$B$12)</calculatedColumnFormula>
    </tableColumn>
    <tableColumn id="5" xr3:uid="{0AA234D7-D52E-4188-9BBC-BB1C1CA0E0F0}" name="Closing Balance" totalsRowFunction="sum" dataDxfId="3">
      <calculatedColumnFormula>December_Balance[[#This Row],[Opening balance]]+December_Balance[[#This Row],[Operations]]</calculatedColumnFormula>
    </tableColumn>
  </tableColumns>
  <tableStyleInfo name="TableStyleMedium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27E71E2-17A9-4C9C-88E9-E697FBAB703F}" name="December_Categories" displayName="December_Categories" ref="G1:H21" totalsRowCount="1">
  <autoFilter ref="G1:H20" xr:uid="{F28B6599-7394-470C-8F9C-A092BA8FB83C}"/>
  <tableColumns count="2">
    <tableColumn id="1" xr3:uid="{929AA471-A38C-477D-9A1A-069D915E6755}" name="Category" totalsRowLabel="Total"/>
    <tableColumn id="2" xr3:uid="{68604B96-0344-4C15-904E-9F2FD64FD9A3}" name="Sum" totalsRowFunction="sum" dataDxfId="2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D8" sqref="D8"/>
    </sheetView>
  </sheetViews>
  <sheetFormatPr defaultRowHeight="15" x14ac:dyDescent="0.25"/>
  <cols>
    <col min="1" max="1" width="15.5703125" bestFit="1" customWidth="1"/>
    <col min="2" max="2" width="11" customWidth="1"/>
    <col min="4" max="5" width="18.42578125" bestFit="1" customWidth="1"/>
    <col min="8" max="8" width="10.28515625" bestFit="1" customWidth="1"/>
    <col min="9" max="9" width="18.42578125" bestFit="1" customWidth="1"/>
  </cols>
  <sheetData>
    <row r="1" spans="1:9" ht="15.75" thickBot="1" x14ac:dyDescent="0.3">
      <c r="A1" s="1" t="s">
        <v>0</v>
      </c>
      <c r="B1" s="2" t="s">
        <v>1</v>
      </c>
      <c r="D1" t="s">
        <v>20</v>
      </c>
      <c r="E1" t="s">
        <v>21</v>
      </c>
      <c r="F1" t="s">
        <v>26</v>
      </c>
      <c r="H1" t="s">
        <v>32</v>
      </c>
      <c r="I1" t="s">
        <v>33</v>
      </c>
    </row>
    <row r="2" spans="1:9" ht="15.75" thickTop="1" x14ac:dyDescent="0.25">
      <c r="A2" s="3" t="s">
        <v>2</v>
      </c>
      <c r="B2" s="4" t="s">
        <v>12</v>
      </c>
      <c r="D2" t="s">
        <v>22</v>
      </c>
      <c r="E2" t="s">
        <v>22</v>
      </c>
      <c r="F2" t="s">
        <v>27</v>
      </c>
      <c r="H2" t="s">
        <v>20</v>
      </c>
      <c r="I2" t="s">
        <v>22</v>
      </c>
    </row>
    <row r="3" spans="1:9" x14ac:dyDescent="0.25">
      <c r="A3" s="5" t="s">
        <v>3</v>
      </c>
      <c r="B3" s="6" t="s">
        <v>12</v>
      </c>
      <c r="D3" t="s">
        <v>23</v>
      </c>
      <c r="E3" t="s">
        <v>25</v>
      </c>
      <c r="F3" t="s">
        <v>30</v>
      </c>
      <c r="H3" t="s">
        <v>20</v>
      </c>
      <c r="I3" t="s">
        <v>23</v>
      </c>
    </row>
    <row r="4" spans="1:9" x14ac:dyDescent="0.25">
      <c r="A4" s="3" t="s">
        <v>44</v>
      </c>
      <c r="B4" s="4" t="s">
        <v>12</v>
      </c>
      <c r="D4" t="s">
        <v>24</v>
      </c>
      <c r="H4" t="s">
        <v>20</v>
      </c>
      <c r="I4" t="s">
        <v>24</v>
      </c>
    </row>
    <row r="5" spans="1:9" x14ac:dyDescent="0.25">
      <c r="A5" s="5" t="s">
        <v>4</v>
      </c>
      <c r="B5" s="6" t="s">
        <v>12</v>
      </c>
      <c r="H5" t="s">
        <v>21</v>
      </c>
      <c r="I5" t="s">
        <v>22</v>
      </c>
    </row>
    <row r="6" spans="1:9" x14ac:dyDescent="0.25">
      <c r="A6" s="3" t="s">
        <v>5</v>
      </c>
      <c r="B6" s="4" t="s">
        <v>12</v>
      </c>
      <c r="H6" t="s">
        <v>21</v>
      </c>
      <c r="I6" t="s">
        <v>25</v>
      </c>
    </row>
    <row r="7" spans="1:9" x14ac:dyDescent="0.25">
      <c r="A7" s="5" t="s">
        <v>6</v>
      </c>
      <c r="B7" s="6" t="s">
        <v>12</v>
      </c>
      <c r="H7" t="s">
        <v>26</v>
      </c>
      <c r="I7" t="s">
        <v>27</v>
      </c>
    </row>
    <row r="8" spans="1:9" x14ac:dyDescent="0.25">
      <c r="A8" s="3" t="s">
        <v>7</v>
      </c>
      <c r="B8" s="4" t="s">
        <v>12</v>
      </c>
      <c r="H8" t="s">
        <v>26</v>
      </c>
      <c r="I8" t="s">
        <v>30</v>
      </c>
    </row>
    <row r="9" spans="1:9" x14ac:dyDescent="0.25">
      <c r="A9" s="5" t="s">
        <v>8</v>
      </c>
      <c r="B9" s="6" t="s">
        <v>12</v>
      </c>
    </row>
    <row r="10" spans="1:9" x14ac:dyDescent="0.25">
      <c r="A10" s="3" t="s">
        <v>9</v>
      </c>
      <c r="B10" s="4" t="s">
        <v>12</v>
      </c>
    </row>
    <row r="11" spans="1:9" x14ac:dyDescent="0.25">
      <c r="A11" s="5" t="s">
        <v>10</v>
      </c>
      <c r="B11" s="6" t="s">
        <v>12</v>
      </c>
    </row>
    <row r="12" spans="1:9" x14ac:dyDescent="0.25">
      <c r="A12" s="3" t="s">
        <v>11</v>
      </c>
      <c r="B12" s="4" t="s">
        <v>12</v>
      </c>
    </row>
    <row r="13" spans="1:9" x14ac:dyDescent="0.25">
      <c r="A13" s="5" t="s">
        <v>28</v>
      </c>
      <c r="B13" s="6" t="s">
        <v>19</v>
      </c>
    </row>
    <row r="14" spans="1:9" x14ac:dyDescent="0.25">
      <c r="A14" s="3" t="s">
        <v>13</v>
      </c>
      <c r="B14" s="4" t="s">
        <v>19</v>
      </c>
    </row>
    <row r="15" spans="1:9" x14ac:dyDescent="0.25">
      <c r="A15" s="5" t="s">
        <v>29</v>
      </c>
      <c r="B15" s="6" t="s">
        <v>19</v>
      </c>
    </row>
    <row r="16" spans="1:9" x14ac:dyDescent="0.25">
      <c r="A16" s="3" t="s">
        <v>14</v>
      </c>
      <c r="B16" s="4" t="s">
        <v>19</v>
      </c>
    </row>
    <row r="17" spans="1:2" x14ac:dyDescent="0.25">
      <c r="A17" s="5" t="s">
        <v>15</v>
      </c>
      <c r="B17" s="6" t="s">
        <v>19</v>
      </c>
    </row>
    <row r="18" spans="1:2" x14ac:dyDescent="0.25">
      <c r="A18" s="3" t="s">
        <v>16</v>
      </c>
      <c r="B18" s="4" t="s">
        <v>19</v>
      </c>
    </row>
    <row r="19" spans="1:2" x14ac:dyDescent="0.25">
      <c r="A19" s="5" t="s">
        <v>18</v>
      </c>
      <c r="B19" s="6" t="s">
        <v>19</v>
      </c>
    </row>
    <row r="20" spans="1:2" x14ac:dyDescent="0.25">
      <c r="A20" s="7" t="s">
        <v>17</v>
      </c>
      <c r="B20" s="8" t="s">
        <v>19</v>
      </c>
    </row>
    <row r="21" spans="1:2" x14ac:dyDescent="0.25">
      <c r="A21" s="7" t="s">
        <v>39</v>
      </c>
      <c r="B21" s="8" t="s">
        <v>40</v>
      </c>
    </row>
  </sheetData>
  <conditionalFormatting sqref="A2:B1048576">
    <cfRule type="expression" dxfId="1" priority="1">
      <formula>$B2="Income"</formula>
    </cfRule>
    <cfRule type="expression" dxfId="0" priority="2">
      <formula>$B2="Expenses"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9BE9-0597-4541-9C07-92ADE5AD858E}">
  <dimension ref="A1:H209"/>
  <sheetViews>
    <sheetView topLeftCell="A187" workbookViewId="0">
      <selection activeCell="J132" sqref="J132"/>
    </sheetView>
  </sheetViews>
  <sheetFormatPr defaultRowHeight="15" x14ac:dyDescent="0.25"/>
  <cols>
    <col min="1" max="1" width="11.5703125" bestFit="1" customWidth="1"/>
    <col min="2" max="2" width="10.28515625" bestFit="1" customWidth="1"/>
    <col min="3" max="3" width="18.42578125" bestFit="1" customWidth="1"/>
    <col min="4" max="4" width="14.5703125" bestFit="1" customWidth="1"/>
    <col min="5" max="5" width="11.140625" bestFit="1" customWidth="1"/>
    <col min="6" max="6" width="11.28515625" bestFit="1" customWidth="1"/>
    <col min="9" max="9" width="10.85546875" bestFit="1" customWidth="1"/>
  </cols>
  <sheetData>
    <row r="1" spans="1:8" x14ac:dyDescent="0.25">
      <c r="A1" t="s">
        <v>31</v>
      </c>
      <c r="B1" t="s">
        <v>32</v>
      </c>
      <c r="C1" t="s">
        <v>33</v>
      </c>
      <c r="D1" t="s">
        <v>0</v>
      </c>
      <c r="E1" t="s">
        <v>1</v>
      </c>
      <c r="F1" t="s">
        <v>34</v>
      </c>
      <c r="G1" t="s">
        <v>35</v>
      </c>
      <c r="H1" t="s">
        <v>41</v>
      </c>
    </row>
    <row r="2" spans="1:8" x14ac:dyDescent="0.25">
      <c r="A2" s="12">
        <v>-1500</v>
      </c>
      <c r="B2" s="10" t="s">
        <v>20</v>
      </c>
      <c r="C2" s="10" t="s">
        <v>22</v>
      </c>
      <c r="D2" s="10" t="s">
        <v>2</v>
      </c>
      <c r="E2" s="10" t="str">
        <f>_xlfn.XLOOKUP(D2,Categories[Category],Categories[Type],"",0,1)</f>
        <v>Expenses</v>
      </c>
      <c r="F2" s="11">
        <v>45296</v>
      </c>
      <c r="G2">
        <f>IF(ISBLANK(Operations[[#This Row],[Date]]),"",MONTH(F2))</f>
        <v>1</v>
      </c>
      <c r="H2">
        <f>IF(ISBLANK(Operations[[#This Row],[Date]]),"",YEAR(F2))</f>
        <v>2024</v>
      </c>
    </row>
    <row r="3" spans="1:8" x14ac:dyDescent="0.25">
      <c r="A3" s="12">
        <v>4500</v>
      </c>
      <c r="B3" s="10" t="s">
        <v>20</v>
      </c>
      <c r="C3" s="10" t="s">
        <v>22</v>
      </c>
      <c r="D3" s="10" t="s">
        <v>13</v>
      </c>
      <c r="E3" s="10" t="str">
        <f>_xlfn.XLOOKUP(D3,Categories[Category],Categories[Type],"",0,1)</f>
        <v>Income</v>
      </c>
      <c r="F3" s="11">
        <v>45301</v>
      </c>
      <c r="G3">
        <f>IF(ISBLANK(Operations[[#This Row],[Date]]),"",MONTH(F3))</f>
        <v>1</v>
      </c>
      <c r="H3">
        <f>IF(ISBLANK(Operations[[#This Row],[Date]]),"",YEAR(F3))</f>
        <v>2024</v>
      </c>
    </row>
    <row r="4" spans="1:8" x14ac:dyDescent="0.25">
      <c r="A4" s="12">
        <v>-2000</v>
      </c>
      <c r="B4" s="10" t="s">
        <v>20</v>
      </c>
      <c r="C4" s="10" t="s">
        <v>22</v>
      </c>
      <c r="D4" s="10" t="s">
        <v>44</v>
      </c>
      <c r="E4" s="10" t="str">
        <f>_xlfn.XLOOKUP(D4,Categories[Category],Categories[Type],"",0,1)</f>
        <v>Expenses</v>
      </c>
      <c r="F4" s="11">
        <v>45302</v>
      </c>
      <c r="G4">
        <f>IF(ISBLANK(Operations[[#This Row],[Date]]),"",MONTH(F4))</f>
        <v>1</v>
      </c>
      <c r="H4">
        <f>IF(ISBLANK(Operations[[#This Row],[Date]]),"",YEAR(F4))</f>
        <v>2024</v>
      </c>
    </row>
    <row r="5" spans="1:8" x14ac:dyDescent="0.25">
      <c r="A5" s="12">
        <v>-45</v>
      </c>
      <c r="B5" s="10" t="s">
        <v>21</v>
      </c>
      <c r="C5" s="10" t="s">
        <v>22</v>
      </c>
      <c r="D5" s="10" t="s">
        <v>2</v>
      </c>
      <c r="E5" s="10" t="str">
        <f>_xlfn.XLOOKUP(D5,Categories[Category],Categories[Type],"",0,1)</f>
        <v>Expenses</v>
      </c>
      <c r="F5" s="11">
        <v>45305</v>
      </c>
      <c r="G5">
        <f>IF(ISBLANK(Operations[[#This Row],[Date]]),"",MONTH(F5))</f>
        <v>1</v>
      </c>
      <c r="H5">
        <f>IF(ISBLANK(Operations[[#This Row],[Date]]),"",YEAR(F5))</f>
        <v>2024</v>
      </c>
    </row>
    <row r="6" spans="1:8" x14ac:dyDescent="0.25">
      <c r="A6" s="12">
        <v>-150</v>
      </c>
      <c r="B6" s="10" t="s">
        <v>20</v>
      </c>
      <c r="C6" s="10" t="s">
        <v>45</v>
      </c>
      <c r="D6" s="10" t="s">
        <v>7</v>
      </c>
      <c r="E6" s="10" t="str">
        <f>_xlfn.XLOOKUP(D6,Categories[Category],Categories[Type],"",0,1)</f>
        <v>Expenses</v>
      </c>
      <c r="F6" s="11">
        <v>45306</v>
      </c>
      <c r="G6">
        <f>IF(ISBLANK(Operations[[#This Row],[Date]]),"",MONTH(F6))</f>
        <v>1</v>
      </c>
      <c r="H6">
        <f>IF(ISBLANK(Operations[[#This Row],[Date]]),"",YEAR(F6))</f>
        <v>2024</v>
      </c>
    </row>
    <row r="7" spans="1:8" x14ac:dyDescent="0.25">
      <c r="A7" s="12">
        <v>-120</v>
      </c>
      <c r="B7" s="10" t="s">
        <v>20</v>
      </c>
      <c r="C7" s="10" t="s">
        <v>22</v>
      </c>
      <c r="D7" s="10" t="s">
        <v>2</v>
      </c>
      <c r="E7" s="10" t="str">
        <f>_xlfn.XLOOKUP(D7,Categories[Category],Categories[Type],"",0,1)</f>
        <v>Expenses</v>
      </c>
      <c r="F7" s="11">
        <v>45307</v>
      </c>
      <c r="G7">
        <f>IF(ISBLANK(Operations[[#This Row],[Date]]),"",MONTH(F7))</f>
        <v>1</v>
      </c>
      <c r="H7">
        <f>IF(ISBLANK(Operations[[#This Row],[Date]]),"",YEAR(F7))</f>
        <v>2024</v>
      </c>
    </row>
    <row r="8" spans="1:8" x14ac:dyDescent="0.25">
      <c r="A8" s="12">
        <v>500</v>
      </c>
      <c r="B8" s="10" t="s">
        <v>20</v>
      </c>
      <c r="C8" s="10" t="s">
        <v>22</v>
      </c>
      <c r="D8" s="10" t="s">
        <v>17</v>
      </c>
      <c r="E8" s="10" t="str">
        <f>_xlfn.XLOOKUP(D8,Categories[Category],Categories[Type],"",0,1)</f>
        <v>Income</v>
      </c>
      <c r="F8" s="11">
        <v>45308</v>
      </c>
      <c r="G8">
        <f>IF(ISBLANK(Operations[[#This Row],[Date]]),"",MONTH(F8))</f>
        <v>1</v>
      </c>
      <c r="H8">
        <f>IF(ISBLANK(Operations[[#This Row],[Date]]),"",YEAR(F8))</f>
        <v>2024</v>
      </c>
    </row>
    <row r="9" spans="1:8" x14ac:dyDescent="0.25">
      <c r="A9" s="12">
        <v>-500</v>
      </c>
      <c r="B9" s="10" t="s">
        <v>20</v>
      </c>
      <c r="C9" s="10" t="s">
        <v>46</v>
      </c>
      <c r="D9" s="10" t="s">
        <v>11</v>
      </c>
      <c r="E9" s="10" t="str">
        <f>_xlfn.XLOOKUP(D9,Categories[Category],Categories[Type],"",0,1)</f>
        <v>Expenses</v>
      </c>
      <c r="F9" s="11">
        <v>45308</v>
      </c>
      <c r="G9">
        <f>IF(ISBLANK(Operations[[#This Row],[Date]]),"",MONTH(F9))</f>
        <v>1</v>
      </c>
      <c r="H9">
        <f>IF(ISBLANK(Operations[[#This Row],[Date]]),"",YEAR(F9))</f>
        <v>2024</v>
      </c>
    </row>
    <row r="10" spans="1:8" x14ac:dyDescent="0.25">
      <c r="A10" s="12">
        <v>250</v>
      </c>
      <c r="B10" s="10" t="s">
        <v>21</v>
      </c>
      <c r="C10" s="10" t="s">
        <v>25</v>
      </c>
      <c r="D10" s="10" t="s">
        <v>29</v>
      </c>
      <c r="E10" s="10" t="str">
        <f>_xlfn.XLOOKUP(D10,Categories[Category],Categories[Type],"",0,1)</f>
        <v>Income</v>
      </c>
      <c r="F10" s="11">
        <v>45308</v>
      </c>
      <c r="G10">
        <f>IF(ISBLANK(Operations[[#This Row],[Date]]),"",MONTH(F10))</f>
        <v>1</v>
      </c>
      <c r="H10">
        <f>IF(ISBLANK(Operations[[#This Row],[Date]]),"",YEAR(F10))</f>
        <v>2024</v>
      </c>
    </row>
    <row r="11" spans="1:8" x14ac:dyDescent="0.25">
      <c r="A11" s="12">
        <v>-25</v>
      </c>
      <c r="B11" s="10" t="s">
        <v>20</v>
      </c>
      <c r="C11" s="10" t="s">
        <v>45</v>
      </c>
      <c r="D11" s="10" t="s">
        <v>3</v>
      </c>
      <c r="E11" s="10" t="str">
        <f>_xlfn.XLOOKUP(D11,Categories[Category],Categories[Type],"",0,1)</f>
        <v>Expenses</v>
      </c>
      <c r="F11" s="11">
        <v>45310</v>
      </c>
      <c r="G11">
        <f>IF(ISBLANK(Operations[[#This Row],[Date]]),"",MONTH(F11))</f>
        <v>1</v>
      </c>
      <c r="H11">
        <f>IF(ISBLANK(Operations[[#This Row],[Date]]),"",YEAR(F11))</f>
        <v>2024</v>
      </c>
    </row>
    <row r="12" spans="1:8" x14ac:dyDescent="0.25">
      <c r="A12" s="12">
        <v>-80</v>
      </c>
      <c r="B12" s="10" t="s">
        <v>20</v>
      </c>
      <c r="C12" s="10" t="s">
        <v>22</v>
      </c>
      <c r="D12" s="10" t="s">
        <v>5</v>
      </c>
      <c r="E12" s="10" t="str">
        <f>_xlfn.XLOOKUP(D12,Categories[Category],Categories[Type],"",0,1)</f>
        <v>Expenses</v>
      </c>
      <c r="F12" s="11">
        <v>45311</v>
      </c>
      <c r="G12">
        <f>IF(ISBLANK(Operations[[#This Row],[Date]]),"",MONTH(F12))</f>
        <v>1</v>
      </c>
      <c r="H12">
        <f>IF(ISBLANK(Operations[[#This Row],[Date]]),"",YEAR(F12))</f>
        <v>2024</v>
      </c>
    </row>
    <row r="13" spans="1:8" x14ac:dyDescent="0.25">
      <c r="A13" s="12">
        <v>150</v>
      </c>
      <c r="B13" s="10" t="s">
        <v>21</v>
      </c>
      <c r="C13" s="10" t="s">
        <v>22</v>
      </c>
      <c r="D13" s="10" t="s">
        <v>17</v>
      </c>
      <c r="E13" s="10" t="str">
        <f>_xlfn.XLOOKUP(D13,Categories[Category],Categories[Type],"",0,1)</f>
        <v>Income</v>
      </c>
      <c r="F13" s="11">
        <v>45312</v>
      </c>
      <c r="G13">
        <f>IF(ISBLANK(Operations[[#This Row],[Date]]),"",MONTH(F13))</f>
        <v>1</v>
      </c>
      <c r="H13">
        <f>IF(ISBLANK(Operations[[#This Row],[Date]]),"",YEAR(F13))</f>
        <v>2024</v>
      </c>
    </row>
    <row r="14" spans="1:8" x14ac:dyDescent="0.25">
      <c r="A14" s="12">
        <v>-80</v>
      </c>
      <c r="B14" s="10" t="s">
        <v>21</v>
      </c>
      <c r="C14" s="10" t="s">
        <v>22</v>
      </c>
      <c r="D14" s="10" t="s">
        <v>4</v>
      </c>
      <c r="E14" s="10" t="str">
        <f>_xlfn.XLOOKUP(D14,Categories[Category],Categories[Type],"",0,1)</f>
        <v>Expenses</v>
      </c>
      <c r="F14" s="11">
        <v>45313</v>
      </c>
      <c r="G14">
        <f>IF(ISBLANK(Operations[[#This Row],[Date]]),"",MONTH(F14))</f>
        <v>1</v>
      </c>
      <c r="H14">
        <f>IF(ISBLANK(Operations[[#This Row],[Date]]),"",YEAR(F14))</f>
        <v>2024</v>
      </c>
    </row>
    <row r="15" spans="1:8" x14ac:dyDescent="0.25">
      <c r="A15" s="12">
        <v>-60</v>
      </c>
      <c r="B15" s="10" t="s">
        <v>21</v>
      </c>
      <c r="C15" s="10" t="s">
        <v>22</v>
      </c>
      <c r="D15" s="10" t="s">
        <v>3</v>
      </c>
      <c r="E15" s="10" t="str">
        <f>_xlfn.XLOOKUP(D15,Categories[Category],Categories[Type],"",0,1)</f>
        <v>Expenses</v>
      </c>
      <c r="F15" s="11">
        <v>45314</v>
      </c>
      <c r="G15">
        <f>IF(ISBLANK(Operations[[#This Row],[Date]]),"",MONTH(F15))</f>
        <v>1</v>
      </c>
      <c r="H15">
        <f>IF(ISBLANK(Operations[[#This Row],[Date]]),"",YEAR(F15))</f>
        <v>2024</v>
      </c>
    </row>
    <row r="16" spans="1:8" x14ac:dyDescent="0.25">
      <c r="A16" s="12">
        <v>-100</v>
      </c>
      <c r="B16" s="10" t="s">
        <v>20</v>
      </c>
      <c r="C16" s="10" t="s">
        <v>22</v>
      </c>
      <c r="D16" s="10" t="s">
        <v>8</v>
      </c>
      <c r="E16" s="10" t="str">
        <f>_xlfn.XLOOKUP(D16,Categories[Category],Categories[Type],"",0,1)</f>
        <v>Expenses</v>
      </c>
      <c r="F16" s="11">
        <v>45315</v>
      </c>
      <c r="G16">
        <f>IF(ISBLANK(Operations[[#This Row],[Date]]),"",MONTH(F16))</f>
        <v>1</v>
      </c>
      <c r="H16">
        <f>IF(ISBLANK(Operations[[#This Row],[Date]]),"",YEAR(F16))</f>
        <v>2024</v>
      </c>
    </row>
    <row r="17" spans="1:8" x14ac:dyDescent="0.25">
      <c r="A17" s="12">
        <v>-50</v>
      </c>
      <c r="B17" s="10" t="s">
        <v>26</v>
      </c>
      <c r="C17" s="10" t="s">
        <v>30</v>
      </c>
      <c r="D17" s="10" t="s">
        <v>2</v>
      </c>
      <c r="E17" s="10" t="str">
        <f>_xlfn.XLOOKUP(D17,Categories[Category],Categories[Type],"",0,1)</f>
        <v>Expenses</v>
      </c>
      <c r="F17" s="11">
        <v>45316</v>
      </c>
      <c r="G17">
        <f>IF(ISBLANK(Operations[[#This Row],[Date]]),"",MONTH(F17))</f>
        <v>1</v>
      </c>
      <c r="H17">
        <f>IF(ISBLANK(Operations[[#This Row],[Date]]),"",YEAR(F17))</f>
        <v>2024</v>
      </c>
    </row>
    <row r="18" spans="1:8" x14ac:dyDescent="0.25">
      <c r="A18" s="12">
        <v>150</v>
      </c>
      <c r="B18" s="10" t="s">
        <v>26</v>
      </c>
      <c r="C18" s="10" t="s">
        <v>27</v>
      </c>
      <c r="D18" s="10" t="s">
        <v>17</v>
      </c>
      <c r="E18" s="10" t="str">
        <f>_xlfn.XLOOKUP(D18,Categories[Category],Categories[Type],"",0,1)</f>
        <v>Income</v>
      </c>
      <c r="F18" s="11">
        <v>45316</v>
      </c>
      <c r="G18">
        <f>IF(ISBLANK(Operations[[#This Row],[Date]]),"",MONTH(F18))</f>
        <v>1</v>
      </c>
      <c r="H18">
        <f>IF(ISBLANK(Operations[[#This Row],[Date]]),"",YEAR(F18))</f>
        <v>2024</v>
      </c>
    </row>
    <row r="19" spans="1:8" x14ac:dyDescent="0.25">
      <c r="A19" s="12">
        <v>5.5</v>
      </c>
      <c r="B19" s="10" t="s">
        <v>21</v>
      </c>
      <c r="C19" s="10" t="s">
        <v>25</v>
      </c>
      <c r="D19" s="10" t="s">
        <v>14</v>
      </c>
      <c r="E19" s="10" t="str">
        <f>_xlfn.XLOOKUP(D19,Categories[Category],Categories[Type],"",0,1)</f>
        <v>Income</v>
      </c>
      <c r="F19" s="11">
        <v>45317</v>
      </c>
      <c r="G19">
        <f>IF(ISBLANK(Operations[[#This Row],[Date]]),"",MONTH(F19))</f>
        <v>1</v>
      </c>
      <c r="H19">
        <f>IF(ISBLANK(Operations[[#This Row],[Date]]),"",YEAR(F19))</f>
        <v>2024</v>
      </c>
    </row>
    <row r="20" spans="1:8" x14ac:dyDescent="0.25">
      <c r="A20" s="12">
        <v>100</v>
      </c>
      <c r="B20" s="10" t="s">
        <v>20</v>
      </c>
      <c r="C20" s="10" t="s">
        <v>46</v>
      </c>
      <c r="D20" s="10" t="s">
        <v>14</v>
      </c>
      <c r="E20" s="10" t="str">
        <f>_xlfn.XLOOKUP(D20,Categories[Category],Categories[Type],"",0,1)</f>
        <v>Income</v>
      </c>
      <c r="F20" s="11">
        <v>45318</v>
      </c>
      <c r="G20">
        <f>IF(ISBLANK(Operations[[#This Row],[Date]]),"",MONTH(F20))</f>
        <v>1</v>
      </c>
      <c r="H20">
        <f>IF(ISBLANK(Operations[[#This Row],[Date]]),"",YEAR(F20))</f>
        <v>2024</v>
      </c>
    </row>
    <row r="21" spans="1:8" x14ac:dyDescent="0.25">
      <c r="A21" s="12">
        <v>-100</v>
      </c>
      <c r="B21" s="10" t="s">
        <v>20</v>
      </c>
      <c r="C21" s="10" t="s">
        <v>22</v>
      </c>
      <c r="D21" s="10" t="s">
        <v>6</v>
      </c>
      <c r="E21" s="10" t="str">
        <f>_xlfn.XLOOKUP(D21,Categories[Category],Categories[Type],"",0,1)</f>
        <v>Expenses</v>
      </c>
      <c r="F21" s="11">
        <v>45319</v>
      </c>
      <c r="G21">
        <f>IF(ISBLANK(Operations[[#This Row],[Date]]),"",MONTH(F21))</f>
        <v>1</v>
      </c>
      <c r="H21">
        <f>IF(ISBLANK(Operations[[#This Row],[Date]]),"",YEAR(F21))</f>
        <v>2024</v>
      </c>
    </row>
    <row r="22" spans="1:8" x14ac:dyDescent="0.25">
      <c r="A22" s="12">
        <v>200</v>
      </c>
      <c r="B22" s="10" t="s">
        <v>21</v>
      </c>
      <c r="C22" s="10" t="s">
        <v>22</v>
      </c>
      <c r="D22" s="10" t="s">
        <v>17</v>
      </c>
      <c r="E22" s="10" t="str">
        <f>_xlfn.XLOOKUP(D22,Categories[Category],Categories[Type],"",0,1)</f>
        <v>Income</v>
      </c>
      <c r="F22" s="11">
        <v>45324</v>
      </c>
      <c r="G22">
        <f>IF(ISBLANK(Operations[[#This Row],[Date]]),"",MONTH(F22))</f>
        <v>2</v>
      </c>
      <c r="H22">
        <f>IF(ISBLANK(Operations[[#This Row],[Date]]),"",YEAR(F22))</f>
        <v>2024</v>
      </c>
    </row>
    <row r="23" spans="1:8" x14ac:dyDescent="0.25">
      <c r="A23" s="12">
        <v>-15</v>
      </c>
      <c r="B23" s="10" t="s">
        <v>21</v>
      </c>
      <c r="C23" s="10" t="s">
        <v>22</v>
      </c>
      <c r="D23" s="10" t="s">
        <v>11</v>
      </c>
      <c r="E23" s="10" t="str">
        <f>_xlfn.XLOOKUP(D23,Categories[Category],Categories[Type],"",0,1)</f>
        <v>Expenses</v>
      </c>
      <c r="F23" s="11">
        <v>45326</v>
      </c>
      <c r="G23">
        <f>IF(ISBLANK(Operations[[#This Row],[Date]]),"",MONTH(F23))</f>
        <v>2</v>
      </c>
      <c r="H23">
        <f>IF(ISBLANK(Operations[[#This Row],[Date]]),"",YEAR(F23))</f>
        <v>2024</v>
      </c>
    </row>
    <row r="24" spans="1:8" x14ac:dyDescent="0.25">
      <c r="A24" s="12">
        <v>-5.5</v>
      </c>
      <c r="B24" s="10" t="s">
        <v>20</v>
      </c>
      <c r="C24" s="10" t="s">
        <v>22</v>
      </c>
      <c r="D24" s="10" t="s">
        <v>2</v>
      </c>
      <c r="E24" s="10" t="str">
        <f>_xlfn.XLOOKUP(D24,Categories[Category],Categories[Type],"",0,1)</f>
        <v>Expenses</v>
      </c>
      <c r="F24" s="11">
        <v>45328</v>
      </c>
      <c r="G24">
        <f>IF(ISBLANK(Operations[[#This Row],[Date]]),"",MONTH(F24))</f>
        <v>2</v>
      </c>
      <c r="H24">
        <f>IF(ISBLANK(Operations[[#This Row],[Date]]),"",YEAR(F24))</f>
        <v>2024</v>
      </c>
    </row>
    <row r="25" spans="1:8" x14ac:dyDescent="0.25">
      <c r="A25" s="12">
        <v>4500</v>
      </c>
      <c r="B25" s="10" t="s">
        <v>20</v>
      </c>
      <c r="C25" s="10" t="s">
        <v>22</v>
      </c>
      <c r="D25" s="10" t="s">
        <v>13</v>
      </c>
      <c r="E25" s="10" t="str">
        <f>_xlfn.XLOOKUP(D25,Categories[Category],Categories[Type],"",0,1)</f>
        <v>Income</v>
      </c>
      <c r="F25" s="11">
        <v>45332</v>
      </c>
      <c r="G25">
        <f>IF(ISBLANK(Operations[[#This Row],[Date]]),"",MONTH(F25))</f>
        <v>2</v>
      </c>
      <c r="H25">
        <f>IF(ISBLANK(Operations[[#This Row],[Date]]),"",YEAR(F25))</f>
        <v>2024</v>
      </c>
    </row>
    <row r="26" spans="1:8" x14ac:dyDescent="0.25">
      <c r="A26" s="12">
        <v>-2000</v>
      </c>
      <c r="B26" s="10" t="s">
        <v>20</v>
      </c>
      <c r="C26" s="10" t="s">
        <v>22</v>
      </c>
      <c r="D26" s="10" t="s">
        <v>44</v>
      </c>
      <c r="E26" s="10" t="str">
        <f>_xlfn.XLOOKUP(D26,Categories[Category],Categories[Type],"",0,1)</f>
        <v>Expenses</v>
      </c>
      <c r="F26" s="11">
        <v>45333</v>
      </c>
      <c r="G26">
        <f>IF(ISBLANK(Operations[[#This Row],[Date]]),"",MONTH(F26))</f>
        <v>2</v>
      </c>
      <c r="H26">
        <f>IF(ISBLANK(Operations[[#This Row],[Date]]),"",YEAR(F26))</f>
        <v>2024</v>
      </c>
    </row>
    <row r="27" spans="1:8" x14ac:dyDescent="0.25">
      <c r="A27" s="12">
        <v>-150</v>
      </c>
      <c r="B27" s="10" t="s">
        <v>20</v>
      </c>
      <c r="C27" s="10" t="s">
        <v>22</v>
      </c>
      <c r="D27" s="10" t="s">
        <v>3</v>
      </c>
      <c r="E27" s="10" t="str">
        <f>_xlfn.XLOOKUP(D27,Categories[Category],Categories[Type],"",0,1)</f>
        <v>Expenses</v>
      </c>
      <c r="F27" s="11">
        <v>45335</v>
      </c>
      <c r="G27">
        <f>IF(ISBLANK(Operations[[#This Row],[Date]]),"",MONTH(F27))</f>
        <v>2</v>
      </c>
      <c r="H27">
        <f>IF(ISBLANK(Operations[[#This Row],[Date]]),"",YEAR(F27))</f>
        <v>2024</v>
      </c>
    </row>
    <row r="28" spans="1:8" x14ac:dyDescent="0.25">
      <c r="A28" s="12">
        <v>500</v>
      </c>
      <c r="B28" s="10" t="s">
        <v>20</v>
      </c>
      <c r="C28" s="10" t="s">
        <v>22</v>
      </c>
      <c r="D28" s="10" t="s">
        <v>17</v>
      </c>
      <c r="E28" s="10" t="str">
        <f>_xlfn.XLOOKUP(D28,Categories[Category],Categories[Type],"",0,1)</f>
        <v>Income</v>
      </c>
      <c r="F28" s="11">
        <v>45336</v>
      </c>
      <c r="G28">
        <f>IF(ISBLANK(Operations[[#This Row],[Date]]),"",MONTH(F28))</f>
        <v>2</v>
      </c>
      <c r="H28">
        <f>IF(ISBLANK(Operations[[#This Row],[Date]]),"",YEAR(F28))</f>
        <v>2024</v>
      </c>
    </row>
    <row r="29" spans="1:8" x14ac:dyDescent="0.25">
      <c r="A29" s="12">
        <v>-300</v>
      </c>
      <c r="B29" s="10" t="s">
        <v>20</v>
      </c>
      <c r="C29" s="10" t="s">
        <v>22</v>
      </c>
      <c r="D29" s="10" t="s">
        <v>2</v>
      </c>
      <c r="E29" s="10" t="str">
        <f>_xlfn.XLOOKUP(D29,Categories[Category],Categories[Type],"",0,1)</f>
        <v>Expenses</v>
      </c>
      <c r="F29" s="11">
        <v>45336</v>
      </c>
      <c r="G29">
        <f>IF(ISBLANK(Operations[[#This Row],[Date]]),"",MONTH(F29))</f>
        <v>2</v>
      </c>
      <c r="H29">
        <f>IF(ISBLANK(Operations[[#This Row],[Date]]),"",YEAR(F29))</f>
        <v>2024</v>
      </c>
    </row>
    <row r="30" spans="1:8" x14ac:dyDescent="0.25">
      <c r="A30" s="12">
        <v>-500</v>
      </c>
      <c r="B30" s="10" t="s">
        <v>20</v>
      </c>
      <c r="C30" s="10" t="s">
        <v>46</v>
      </c>
      <c r="D30" s="10" t="s">
        <v>11</v>
      </c>
      <c r="E30" s="10" t="str">
        <f>_xlfn.XLOOKUP(D30,Categories[Category],Categories[Type],"",0,1)</f>
        <v>Expenses</v>
      </c>
      <c r="F30" s="11">
        <v>45336</v>
      </c>
      <c r="G30">
        <f>IF(ISBLANK(Operations[[#This Row],[Date]]),"",MONTH(F30))</f>
        <v>2</v>
      </c>
      <c r="H30">
        <f>IF(ISBLANK(Operations[[#This Row],[Date]]),"",YEAR(F30))</f>
        <v>2024</v>
      </c>
    </row>
    <row r="31" spans="1:8" x14ac:dyDescent="0.25">
      <c r="A31" s="12">
        <v>-200</v>
      </c>
      <c r="B31" s="10" t="s">
        <v>26</v>
      </c>
      <c r="C31" s="10" t="s">
        <v>27</v>
      </c>
      <c r="D31" s="10" t="s">
        <v>11</v>
      </c>
      <c r="E31" s="10" t="str">
        <f>_xlfn.XLOOKUP(D31,Categories[Category],Categories[Type],"",0,1)</f>
        <v>Expenses</v>
      </c>
      <c r="F31" s="11">
        <v>45336</v>
      </c>
      <c r="G31">
        <f>IF(ISBLANK(Operations[[#This Row],[Date]]),"",MONTH(F31))</f>
        <v>2</v>
      </c>
      <c r="H31">
        <f>IF(ISBLANK(Operations[[#This Row],[Date]]),"",YEAR(F31))</f>
        <v>2024</v>
      </c>
    </row>
    <row r="32" spans="1:8" x14ac:dyDescent="0.25">
      <c r="A32" s="12">
        <v>175</v>
      </c>
      <c r="B32" s="10" t="s">
        <v>20</v>
      </c>
      <c r="C32" s="10" t="s">
        <v>45</v>
      </c>
      <c r="D32" s="10" t="s">
        <v>39</v>
      </c>
      <c r="E32" s="10" t="str">
        <f>_xlfn.XLOOKUP(D32,Categories[Category],Categories[Type],"",0,1)</f>
        <v>Transaction</v>
      </c>
      <c r="F32" s="11">
        <v>45337</v>
      </c>
      <c r="G32">
        <f>IF(ISBLANK(Operations[[#This Row],[Date]]),"",MONTH(F32))</f>
        <v>2</v>
      </c>
      <c r="H32">
        <f>IF(ISBLANK(Operations[[#This Row],[Date]]),"",YEAR(F32))</f>
        <v>2024</v>
      </c>
    </row>
    <row r="33" spans="1:8" x14ac:dyDescent="0.25">
      <c r="A33" s="12">
        <v>-175</v>
      </c>
      <c r="B33" s="10" t="s">
        <v>20</v>
      </c>
      <c r="C33" s="10" t="s">
        <v>22</v>
      </c>
      <c r="D33" s="10" t="s">
        <v>39</v>
      </c>
      <c r="E33" s="10" t="str">
        <f>_xlfn.XLOOKUP(D33,Categories[Category],Categories[Type],"",0,1)</f>
        <v>Transaction</v>
      </c>
      <c r="F33" s="11">
        <v>45337</v>
      </c>
      <c r="G33">
        <f>IF(ISBLANK(Operations[[#This Row],[Date]]),"",MONTH(F33))</f>
        <v>2</v>
      </c>
      <c r="H33">
        <f>IF(ISBLANK(Operations[[#This Row],[Date]]),"",YEAR(F33))</f>
        <v>2024</v>
      </c>
    </row>
    <row r="34" spans="1:8" x14ac:dyDescent="0.25">
      <c r="A34" s="12">
        <v>-100</v>
      </c>
      <c r="B34" s="10" t="s">
        <v>20</v>
      </c>
      <c r="C34" s="10" t="s">
        <v>22</v>
      </c>
      <c r="D34" s="10" t="s">
        <v>8</v>
      </c>
      <c r="E34" s="10" t="str">
        <f>_xlfn.XLOOKUP(D34,Categories[Category],Categories[Type],"",0,1)</f>
        <v>Expenses</v>
      </c>
      <c r="F34" s="11">
        <v>45339</v>
      </c>
      <c r="G34">
        <f>IF(ISBLANK(Operations[[#This Row],[Date]]),"",MONTH(F34))</f>
        <v>2</v>
      </c>
      <c r="H34">
        <f>IF(ISBLANK(Operations[[#This Row],[Date]]),"",YEAR(F34))</f>
        <v>2024</v>
      </c>
    </row>
    <row r="35" spans="1:8" x14ac:dyDescent="0.25">
      <c r="A35" s="12">
        <v>-80</v>
      </c>
      <c r="B35" s="10" t="s">
        <v>20</v>
      </c>
      <c r="C35" s="10" t="s">
        <v>22</v>
      </c>
      <c r="D35" s="10" t="s">
        <v>5</v>
      </c>
      <c r="E35" s="10" t="str">
        <f>_xlfn.XLOOKUP(D35,Categories[Category],Categories[Type],"",0,1)</f>
        <v>Expenses</v>
      </c>
      <c r="F35" s="11">
        <v>45342</v>
      </c>
      <c r="G35">
        <f>IF(ISBLANK(Operations[[#This Row],[Date]]),"",MONTH(F35))</f>
        <v>2</v>
      </c>
      <c r="H35">
        <f>IF(ISBLANK(Operations[[#This Row],[Date]]),"",YEAR(F35))</f>
        <v>2024</v>
      </c>
    </row>
    <row r="36" spans="1:8" x14ac:dyDescent="0.25">
      <c r="A36" s="12">
        <v>150</v>
      </c>
      <c r="B36" s="10" t="s">
        <v>26</v>
      </c>
      <c r="C36" s="10" t="s">
        <v>27</v>
      </c>
      <c r="D36" s="10" t="s">
        <v>17</v>
      </c>
      <c r="E36" s="10" t="str">
        <f>_xlfn.XLOOKUP(D36,Categories[Category],Categories[Type],"",0,1)</f>
        <v>Income</v>
      </c>
      <c r="F36" s="11">
        <v>45344</v>
      </c>
      <c r="G36">
        <f>IF(ISBLANK(Operations[[#This Row],[Date]]),"",MONTH(F36))</f>
        <v>2</v>
      </c>
      <c r="H36">
        <f>IF(ISBLANK(Operations[[#This Row],[Date]]),"",YEAR(F36))</f>
        <v>2024</v>
      </c>
    </row>
    <row r="37" spans="1:8" x14ac:dyDescent="0.25">
      <c r="A37" s="12">
        <v>100</v>
      </c>
      <c r="B37" s="10" t="s">
        <v>26</v>
      </c>
      <c r="C37" s="10" t="s">
        <v>30</v>
      </c>
      <c r="D37" s="10" t="s">
        <v>17</v>
      </c>
      <c r="E37" s="10" t="str">
        <f>_xlfn.XLOOKUP(D37,Categories[Category],Categories[Type],"",0,1)</f>
        <v>Income</v>
      </c>
      <c r="F37" s="11">
        <v>45345</v>
      </c>
      <c r="G37">
        <f>IF(ISBLANK(Operations[[#This Row],[Date]]),"",MONTH(F37))</f>
        <v>2</v>
      </c>
      <c r="H37">
        <f>IF(ISBLANK(Operations[[#This Row],[Date]]),"",YEAR(F37))</f>
        <v>2024</v>
      </c>
    </row>
    <row r="38" spans="1:8" x14ac:dyDescent="0.25">
      <c r="A38" s="12">
        <v>-200</v>
      </c>
      <c r="B38" s="10" t="s">
        <v>26</v>
      </c>
      <c r="C38" s="10" t="s">
        <v>27</v>
      </c>
      <c r="D38" s="10" t="s">
        <v>3</v>
      </c>
      <c r="E38" s="10" t="str">
        <f>_xlfn.XLOOKUP(D38,Categories[Category],Categories[Type],"",0,1)</f>
        <v>Expenses</v>
      </c>
      <c r="F38" s="11">
        <v>45346</v>
      </c>
      <c r="G38">
        <f>IF(ISBLANK(Operations[[#This Row],[Date]]),"",MONTH(F38))</f>
        <v>2</v>
      </c>
      <c r="H38">
        <f>IF(ISBLANK(Operations[[#This Row],[Date]]),"",YEAR(F38))</f>
        <v>2024</v>
      </c>
    </row>
    <row r="39" spans="1:8" x14ac:dyDescent="0.25">
      <c r="A39" s="12">
        <v>1000</v>
      </c>
      <c r="B39" s="10" t="s">
        <v>26</v>
      </c>
      <c r="C39" s="10" t="s">
        <v>27</v>
      </c>
      <c r="D39" s="10" t="s">
        <v>17</v>
      </c>
      <c r="E39" s="10" t="str">
        <f>_xlfn.XLOOKUP(D39,Categories[Category],Categories[Type],"",0,1)</f>
        <v>Income</v>
      </c>
      <c r="F39" s="11">
        <v>45347</v>
      </c>
      <c r="G39">
        <f>IF(ISBLANK(Operations[[#This Row],[Date]]),"",MONTH(F39))</f>
        <v>2</v>
      </c>
      <c r="H39">
        <f>IF(ISBLANK(Operations[[#This Row],[Date]]),"",YEAR(F39))</f>
        <v>2024</v>
      </c>
    </row>
    <row r="40" spans="1:8" x14ac:dyDescent="0.25">
      <c r="A40" s="12">
        <v>-250</v>
      </c>
      <c r="B40" s="10" t="s">
        <v>26</v>
      </c>
      <c r="C40" s="10" t="s">
        <v>27</v>
      </c>
      <c r="D40" s="10" t="s">
        <v>6</v>
      </c>
      <c r="E40" s="10" t="str">
        <f>_xlfn.XLOOKUP(D40,Categories[Category],Categories[Type],"",0,1)</f>
        <v>Expenses</v>
      </c>
      <c r="F40" s="11">
        <v>45347</v>
      </c>
      <c r="G40">
        <f>IF(ISBLANK(Operations[[#This Row],[Date]]),"",MONTH(F40))</f>
        <v>2</v>
      </c>
      <c r="H40">
        <f>IF(ISBLANK(Operations[[#This Row],[Date]]),"",YEAR(F40))</f>
        <v>2024</v>
      </c>
    </row>
    <row r="41" spans="1:8" x14ac:dyDescent="0.25">
      <c r="A41" s="12">
        <v>-100</v>
      </c>
      <c r="B41" s="10" t="s">
        <v>21</v>
      </c>
      <c r="C41" s="10" t="s">
        <v>22</v>
      </c>
      <c r="D41" s="10" t="s">
        <v>2</v>
      </c>
      <c r="E41" s="10" t="str">
        <f>_xlfn.XLOOKUP(D41,Categories[Category],Categories[Type],"",0,1)</f>
        <v>Expenses</v>
      </c>
      <c r="F41" s="11">
        <v>45348</v>
      </c>
      <c r="G41">
        <f>IF(ISBLANK(Operations[[#This Row],[Date]]),"",MONTH(F41))</f>
        <v>2</v>
      </c>
      <c r="H41">
        <f>IF(ISBLANK(Operations[[#This Row],[Date]]),"",YEAR(F41))</f>
        <v>2024</v>
      </c>
    </row>
    <row r="42" spans="1:8" x14ac:dyDescent="0.25">
      <c r="A42" s="12">
        <v>-50</v>
      </c>
      <c r="B42" s="10" t="s">
        <v>21</v>
      </c>
      <c r="C42" s="10" t="s">
        <v>22</v>
      </c>
      <c r="D42" s="10" t="s">
        <v>11</v>
      </c>
      <c r="E42" s="10" t="str">
        <f>_xlfn.XLOOKUP(D42,Categories[Category],Categories[Type],"",0,1)</f>
        <v>Expenses</v>
      </c>
      <c r="F42" s="11">
        <v>45348</v>
      </c>
      <c r="G42">
        <f>IF(ISBLANK(Operations[[#This Row],[Date]]),"",MONTH(F42))</f>
        <v>2</v>
      </c>
      <c r="H42">
        <f>IF(ISBLANK(Operations[[#This Row],[Date]]),"",YEAR(F42))</f>
        <v>2024</v>
      </c>
    </row>
    <row r="43" spans="1:8" x14ac:dyDescent="0.25">
      <c r="A43" s="12">
        <v>15</v>
      </c>
      <c r="B43" s="10" t="s">
        <v>21</v>
      </c>
      <c r="C43" s="10" t="s">
        <v>25</v>
      </c>
      <c r="D43" s="10" t="s">
        <v>14</v>
      </c>
      <c r="E43" s="10" t="str">
        <f>_xlfn.XLOOKUP(D43,Categories[Category],Categories[Type],"",0,1)</f>
        <v>Income</v>
      </c>
      <c r="F43" s="11">
        <v>45349</v>
      </c>
      <c r="G43">
        <f>IF(ISBLANK(Operations[[#This Row],[Date]]),"",MONTH(F43))</f>
        <v>2</v>
      </c>
      <c r="H43">
        <f>IF(ISBLANK(Operations[[#This Row],[Date]]),"",YEAR(F43))</f>
        <v>2024</v>
      </c>
    </row>
    <row r="44" spans="1:8" x14ac:dyDescent="0.25">
      <c r="A44" s="12">
        <v>-150</v>
      </c>
      <c r="B44" s="10" t="s">
        <v>20</v>
      </c>
      <c r="C44" s="10" t="s">
        <v>22</v>
      </c>
      <c r="D44" s="10" t="s">
        <v>7</v>
      </c>
      <c r="E44" s="10" t="str">
        <f>_xlfn.XLOOKUP(D44,Categories[Category],Categories[Type],"",0,1)</f>
        <v>Expenses</v>
      </c>
      <c r="F44" s="11">
        <v>45350</v>
      </c>
      <c r="G44">
        <f>IF(ISBLANK(Operations[[#This Row],[Date]]),"",MONTH(F44))</f>
        <v>2</v>
      </c>
      <c r="H44">
        <f>IF(ISBLANK(Operations[[#This Row],[Date]]),"",YEAR(F44))</f>
        <v>2024</v>
      </c>
    </row>
    <row r="45" spans="1:8" x14ac:dyDescent="0.25">
      <c r="A45" s="12">
        <v>100</v>
      </c>
      <c r="B45" s="10" t="s">
        <v>20</v>
      </c>
      <c r="C45" s="10" t="s">
        <v>46</v>
      </c>
      <c r="D45" s="10" t="s">
        <v>14</v>
      </c>
      <c r="E45" s="10" t="str">
        <f>_xlfn.XLOOKUP(D45,Categories[Category],Categories[Type],"",0,1)</f>
        <v>Income</v>
      </c>
      <c r="F45" s="11">
        <v>45350</v>
      </c>
      <c r="G45">
        <f>IF(ISBLANK(Operations[[#This Row],[Date]]),"",MONTH(F45))</f>
        <v>2</v>
      </c>
      <c r="H45">
        <f>IF(ISBLANK(Operations[[#This Row],[Date]]),"",YEAR(F45))</f>
        <v>2024</v>
      </c>
    </row>
    <row r="46" spans="1:8" x14ac:dyDescent="0.25">
      <c r="A46" s="12">
        <v>-25</v>
      </c>
      <c r="B46" s="10" t="s">
        <v>20</v>
      </c>
      <c r="C46" s="10" t="s">
        <v>45</v>
      </c>
      <c r="D46" s="10" t="s">
        <v>2</v>
      </c>
      <c r="E46" s="10" t="str">
        <f>_xlfn.XLOOKUP(D46,Categories[Category],Categories[Type],"",0,1)</f>
        <v>Expenses</v>
      </c>
      <c r="F46" s="11">
        <v>45352</v>
      </c>
      <c r="G46">
        <f>IF(ISBLANK(Operations[[#This Row],[Date]]),"",MONTH(F46))</f>
        <v>3</v>
      </c>
      <c r="H46">
        <f>IF(ISBLANK(Operations[[#This Row],[Date]]),"",YEAR(F46))</f>
        <v>2024</v>
      </c>
    </row>
    <row r="47" spans="1:8" x14ac:dyDescent="0.25">
      <c r="A47" s="12">
        <v>-135.5</v>
      </c>
      <c r="B47" s="10" t="s">
        <v>20</v>
      </c>
      <c r="C47" s="10" t="s">
        <v>22</v>
      </c>
      <c r="D47" s="10" t="s">
        <v>2</v>
      </c>
      <c r="E47" s="10" t="str">
        <f>_xlfn.XLOOKUP(D47,Categories[Category],Categories[Type],"",0,1)</f>
        <v>Expenses</v>
      </c>
      <c r="F47" s="11">
        <v>45353</v>
      </c>
      <c r="G47">
        <f>IF(ISBLANK(Operations[[#This Row],[Date]]),"",MONTH(F47))</f>
        <v>3</v>
      </c>
      <c r="H47">
        <f>IF(ISBLANK(Operations[[#This Row],[Date]]),"",YEAR(F47))</f>
        <v>2024</v>
      </c>
    </row>
    <row r="48" spans="1:8" x14ac:dyDescent="0.25">
      <c r="A48" s="12">
        <v>-82.5</v>
      </c>
      <c r="B48" s="10" t="s">
        <v>21</v>
      </c>
      <c r="C48" s="10" t="s">
        <v>22</v>
      </c>
      <c r="D48" s="10" t="s">
        <v>5</v>
      </c>
      <c r="E48" s="10" t="str">
        <f>_xlfn.XLOOKUP(D48,Categories[Category],Categories[Type],"",0,1)</f>
        <v>Expenses</v>
      </c>
      <c r="F48" s="11">
        <v>45353</v>
      </c>
      <c r="G48">
        <f>IF(ISBLANK(Operations[[#This Row],[Date]]),"",MONTH(F48))</f>
        <v>3</v>
      </c>
      <c r="H48">
        <f>IF(ISBLANK(Operations[[#This Row],[Date]]),"",YEAR(F48))</f>
        <v>2024</v>
      </c>
    </row>
    <row r="49" spans="1:8" x14ac:dyDescent="0.25">
      <c r="A49" s="12">
        <v>-200</v>
      </c>
      <c r="B49" s="10" t="s">
        <v>20</v>
      </c>
      <c r="C49" s="10" t="s">
        <v>22</v>
      </c>
      <c r="D49" s="10" t="s">
        <v>3</v>
      </c>
      <c r="E49" s="10" t="str">
        <f>_xlfn.XLOOKUP(D49,Categories[Category],Categories[Type],"",0,1)</f>
        <v>Expenses</v>
      </c>
      <c r="F49" s="11">
        <v>45355</v>
      </c>
      <c r="G49">
        <f>IF(ISBLANK(Operations[[#This Row],[Date]]),"",MONTH(F49))</f>
        <v>3</v>
      </c>
      <c r="H49">
        <f>IF(ISBLANK(Operations[[#This Row],[Date]]),"",YEAR(F49))</f>
        <v>2024</v>
      </c>
    </row>
    <row r="50" spans="1:8" x14ac:dyDescent="0.25">
      <c r="A50" s="12">
        <v>150</v>
      </c>
      <c r="B50" s="10" t="s">
        <v>21</v>
      </c>
      <c r="C50" s="10" t="s">
        <v>22</v>
      </c>
      <c r="D50" s="10" t="s">
        <v>14</v>
      </c>
      <c r="E50" s="10" t="str">
        <f>_xlfn.XLOOKUP(D50,Categories[Category],Categories[Type],"",0,1)</f>
        <v>Income</v>
      </c>
      <c r="F50" s="11">
        <v>45357</v>
      </c>
      <c r="G50">
        <f>IF(ISBLANK(Operations[[#This Row],[Date]]),"",MONTH(F50))</f>
        <v>3</v>
      </c>
      <c r="H50">
        <f>IF(ISBLANK(Operations[[#This Row],[Date]]),"",YEAR(F50))</f>
        <v>2024</v>
      </c>
    </row>
    <row r="51" spans="1:8" x14ac:dyDescent="0.25">
      <c r="A51" s="12">
        <v>-24.49</v>
      </c>
      <c r="B51" s="10" t="s">
        <v>26</v>
      </c>
      <c r="C51" s="10" t="s">
        <v>30</v>
      </c>
      <c r="D51" s="10" t="s">
        <v>2</v>
      </c>
      <c r="E51" s="10" t="str">
        <f>_xlfn.XLOOKUP(D51,Categories[Category],Categories[Type],"",0,1)</f>
        <v>Expenses</v>
      </c>
      <c r="F51" s="11">
        <v>45359</v>
      </c>
      <c r="G51">
        <f>IF(ISBLANK(Operations[[#This Row],[Date]]),"",MONTH(F51))</f>
        <v>3</v>
      </c>
      <c r="H51">
        <f>IF(ISBLANK(Operations[[#This Row],[Date]]),"",YEAR(F51))</f>
        <v>2024</v>
      </c>
    </row>
    <row r="52" spans="1:8" x14ac:dyDescent="0.25">
      <c r="A52" s="12">
        <v>4500</v>
      </c>
      <c r="B52" s="10" t="s">
        <v>20</v>
      </c>
      <c r="C52" s="10" t="s">
        <v>22</v>
      </c>
      <c r="D52" s="10" t="s">
        <v>13</v>
      </c>
      <c r="E52" s="10" t="str">
        <f>_xlfn.XLOOKUP(D52,Categories[Category],Categories[Type],"",0,1)</f>
        <v>Income</v>
      </c>
      <c r="F52" s="11">
        <v>45361</v>
      </c>
      <c r="G52">
        <f>IF(ISBLANK(Operations[[#This Row],[Date]]),"",MONTH(F52))</f>
        <v>3</v>
      </c>
      <c r="H52">
        <f>IF(ISBLANK(Operations[[#This Row],[Date]]),"",YEAR(F52))</f>
        <v>2024</v>
      </c>
    </row>
    <row r="53" spans="1:8" x14ac:dyDescent="0.25">
      <c r="A53" s="12">
        <v>-2000</v>
      </c>
      <c r="B53" s="10" t="s">
        <v>20</v>
      </c>
      <c r="C53" s="10" t="s">
        <v>22</v>
      </c>
      <c r="D53" s="10" t="s">
        <v>44</v>
      </c>
      <c r="E53" s="10" t="str">
        <f>_xlfn.XLOOKUP(D53,Categories[Category],Categories[Type],"",0,1)</f>
        <v>Expenses</v>
      </c>
      <c r="F53" s="11">
        <v>45362</v>
      </c>
      <c r="G53">
        <f>IF(ISBLANK(Operations[[#This Row],[Date]]),"",MONTH(F53))</f>
        <v>3</v>
      </c>
      <c r="H53">
        <f>IF(ISBLANK(Operations[[#This Row],[Date]]),"",YEAR(F53))</f>
        <v>2024</v>
      </c>
    </row>
    <row r="54" spans="1:8" x14ac:dyDescent="0.25">
      <c r="A54" s="12">
        <v>-200</v>
      </c>
      <c r="B54" s="10" t="s">
        <v>20</v>
      </c>
      <c r="C54" s="10" t="s">
        <v>22</v>
      </c>
      <c r="D54" s="10" t="s">
        <v>2</v>
      </c>
      <c r="E54" s="10" t="str">
        <f>_xlfn.XLOOKUP(D54,Categories[Category],Categories[Type],"",0,1)</f>
        <v>Expenses</v>
      </c>
      <c r="F54" s="11">
        <v>45363</v>
      </c>
      <c r="G54">
        <f>IF(ISBLANK(Operations[[#This Row],[Date]]),"",MONTH(F54))</f>
        <v>3</v>
      </c>
      <c r="H54">
        <f>IF(ISBLANK(Operations[[#This Row],[Date]]),"",YEAR(F54))</f>
        <v>2024</v>
      </c>
    </row>
    <row r="55" spans="1:8" x14ac:dyDescent="0.25">
      <c r="A55" s="12">
        <v>-469.9</v>
      </c>
      <c r="B55" s="10" t="s">
        <v>20</v>
      </c>
      <c r="C55" s="10" t="s">
        <v>22</v>
      </c>
      <c r="D55" s="10" t="s">
        <v>4</v>
      </c>
      <c r="E55" s="10" t="str">
        <f>_xlfn.XLOOKUP(D55,Categories[Category],Categories[Type],"",0,1)</f>
        <v>Expenses</v>
      </c>
      <c r="F55" s="11">
        <v>45364</v>
      </c>
      <c r="G55">
        <f>IF(ISBLANK(Operations[[#This Row],[Date]]),"",MONTH(F55))</f>
        <v>3</v>
      </c>
      <c r="H55">
        <f>IF(ISBLANK(Operations[[#This Row],[Date]]),"",YEAR(F55))</f>
        <v>2024</v>
      </c>
    </row>
    <row r="56" spans="1:8" x14ac:dyDescent="0.25">
      <c r="A56" s="12">
        <v>-9.5</v>
      </c>
      <c r="B56" s="10" t="s">
        <v>26</v>
      </c>
      <c r="C56" s="10" t="s">
        <v>27</v>
      </c>
      <c r="D56" s="10" t="s">
        <v>6</v>
      </c>
      <c r="E56" s="10" t="str">
        <f>_xlfn.XLOOKUP(D56,Categories[Category],Categories[Type],"",0,1)</f>
        <v>Expenses</v>
      </c>
      <c r="F56" s="11">
        <v>45368</v>
      </c>
      <c r="G56">
        <f>IF(ISBLANK(Operations[[#This Row],[Date]]),"",MONTH(F56))</f>
        <v>3</v>
      </c>
      <c r="H56">
        <f>IF(ISBLANK(Operations[[#This Row],[Date]]),"",YEAR(F56))</f>
        <v>2024</v>
      </c>
    </row>
    <row r="57" spans="1:8" x14ac:dyDescent="0.25">
      <c r="A57" s="12">
        <v>-23</v>
      </c>
      <c r="B57" s="10" t="s">
        <v>20</v>
      </c>
      <c r="C57" s="10" t="s">
        <v>22</v>
      </c>
      <c r="D57" s="10" t="s">
        <v>7</v>
      </c>
      <c r="E57" s="10" t="str">
        <f>_xlfn.XLOOKUP(D57,Categories[Category],Categories[Type],"",0,1)</f>
        <v>Expenses</v>
      </c>
      <c r="F57" s="11">
        <v>45371</v>
      </c>
      <c r="G57">
        <f>IF(ISBLANK(Operations[[#This Row],[Date]]),"",MONTH(F57))</f>
        <v>3</v>
      </c>
      <c r="H57">
        <f>IF(ISBLANK(Operations[[#This Row],[Date]]),"",YEAR(F57))</f>
        <v>2024</v>
      </c>
    </row>
    <row r="58" spans="1:8" x14ac:dyDescent="0.25">
      <c r="A58" s="12">
        <v>-150</v>
      </c>
      <c r="B58" s="10" t="s">
        <v>20</v>
      </c>
      <c r="C58" s="10" t="s">
        <v>22</v>
      </c>
      <c r="D58" s="10" t="s">
        <v>2</v>
      </c>
      <c r="E58" s="10" t="str">
        <f>_xlfn.XLOOKUP(D58,Categories[Category],Categories[Type],"",0,1)</f>
        <v>Expenses</v>
      </c>
      <c r="F58" s="11">
        <v>45373</v>
      </c>
      <c r="G58">
        <f>IF(ISBLANK(Operations[[#This Row],[Date]]),"",MONTH(F58))</f>
        <v>3</v>
      </c>
      <c r="H58">
        <f>IF(ISBLANK(Operations[[#This Row],[Date]]),"",YEAR(F58))</f>
        <v>2024</v>
      </c>
    </row>
    <row r="59" spans="1:8" x14ac:dyDescent="0.25">
      <c r="A59" s="12">
        <v>-300</v>
      </c>
      <c r="B59" s="10" t="s">
        <v>20</v>
      </c>
      <c r="C59" s="10" t="s">
        <v>22</v>
      </c>
      <c r="D59" s="10" t="s">
        <v>11</v>
      </c>
      <c r="E59" s="10" t="str">
        <f>_xlfn.XLOOKUP(D59,Categories[Category],Categories[Type],"",0,1)</f>
        <v>Expenses</v>
      </c>
      <c r="F59" s="11">
        <v>45375</v>
      </c>
      <c r="G59">
        <f>IF(ISBLANK(Operations[[#This Row],[Date]]),"",MONTH(F59))</f>
        <v>3</v>
      </c>
      <c r="H59">
        <f>IF(ISBLANK(Operations[[#This Row],[Date]]),"",YEAR(F59))</f>
        <v>2024</v>
      </c>
    </row>
    <row r="60" spans="1:8" x14ac:dyDescent="0.25">
      <c r="A60" s="12">
        <v>5</v>
      </c>
      <c r="B60" s="10" t="s">
        <v>21</v>
      </c>
      <c r="C60" s="10" t="s">
        <v>25</v>
      </c>
      <c r="D60" s="10" t="s">
        <v>16</v>
      </c>
      <c r="E60" s="10" t="str">
        <f>_xlfn.XLOOKUP(D60,Categories[Category],Categories[Type],"",0,1)</f>
        <v>Income</v>
      </c>
      <c r="F60" s="11">
        <v>45377</v>
      </c>
      <c r="G60">
        <f>IF(ISBLANK(Operations[[#This Row],[Date]]),"",MONTH(F60))</f>
        <v>3</v>
      </c>
      <c r="H60">
        <f>IF(ISBLANK(Operations[[#This Row],[Date]]),"",YEAR(F60))</f>
        <v>2024</v>
      </c>
    </row>
    <row r="61" spans="1:8" x14ac:dyDescent="0.25">
      <c r="A61" s="12">
        <v>-79.5</v>
      </c>
      <c r="B61" s="10" t="s">
        <v>20</v>
      </c>
      <c r="C61" s="10" t="s">
        <v>45</v>
      </c>
      <c r="D61" s="10" t="s">
        <v>8</v>
      </c>
      <c r="E61" s="10" t="str">
        <f>_xlfn.XLOOKUP(D61,Categories[Category],Categories[Type],"",0,1)</f>
        <v>Expenses</v>
      </c>
      <c r="F61" s="11">
        <v>45379</v>
      </c>
      <c r="G61">
        <f>IF(ISBLANK(Operations[[#This Row],[Date]]),"",MONTH(F61))</f>
        <v>3</v>
      </c>
      <c r="H61">
        <f>IF(ISBLANK(Operations[[#This Row],[Date]]),"",YEAR(F61))</f>
        <v>2024</v>
      </c>
    </row>
    <row r="62" spans="1:8" x14ac:dyDescent="0.25">
      <c r="A62" s="12">
        <v>-200</v>
      </c>
      <c r="B62" s="10" t="s">
        <v>20</v>
      </c>
      <c r="C62" s="10" t="s">
        <v>22</v>
      </c>
      <c r="D62" s="10" t="s">
        <v>2</v>
      </c>
      <c r="E62" s="10" t="str">
        <f>_xlfn.XLOOKUP(D62,Categories[Category],Categories[Type],"",0,1)</f>
        <v>Expenses</v>
      </c>
      <c r="F62" s="11">
        <v>45381</v>
      </c>
      <c r="G62">
        <f>IF(ISBLANK(Operations[[#This Row],[Date]]),"",MONTH(F62))</f>
        <v>3</v>
      </c>
      <c r="H62">
        <f>IF(ISBLANK(Operations[[#This Row],[Date]]),"",YEAR(F62))</f>
        <v>2024</v>
      </c>
    </row>
    <row r="63" spans="1:8" x14ac:dyDescent="0.25">
      <c r="A63" s="12">
        <v>-23.5</v>
      </c>
      <c r="B63" s="10" t="s">
        <v>20</v>
      </c>
      <c r="C63" s="10" t="s">
        <v>45</v>
      </c>
      <c r="D63" s="10" t="s">
        <v>6</v>
      </c>
      <c r="E63" s="10" t="str">
        <f>_xlfn.XLOOKUP(D63,Categories[Category],Categories[Type],"",0,1)</f>
        <v>Expenses</v>
      </c>
      <c r="F63" s="11">
        <v>45383</v>
      </c>
      <c r="G63">
        <f>IF(ISBLANK(Operations[[#This Row],[Date]]),"",MONTH(F63))</f>
        <v>4</v>
      </c>
      <c r="H63">
        <f>IF(ISBLANK(Operations[[#This Row],[Date]]),"",YEAR(F63))</f>
        <v>2024</v>
      </c>
    </row>
    <row r="64" spans="1:8" x14ac:dyDescent="0.25">
      <c r="A64" s="12">
        <v>-82.5</v>
      </c>
      <c r="B64" s="10" t="s">
        <v>20</v>
      </c>
      <c r="C64" s="10" t="s">
        <v>22</v>
      </c>
      <c r="D64" s="10" t="s">
        <v>5</v>
      </c>
      <c r="E64" s="10" t="str">
        <f>_xlfn.XLOOKUP(D64,Categories[Category],Categories[Type],"",0,1)</f>
        <v>Expenses</v>
      </c>
      <c r="F64" s="11">
        <v>45384</v>
      </c>
      <c r="G64">
        <f>IF(ISBLANK(Operations[[#This Row],[Date]]),"",MONTH(F64))</f>
        <v>4</v>
      </c>
      <c r="H64">
        <f>IF(ISBLANK(Operations[[#This Row],[Date]]),"",YEAR(F64))</f>
        <v>2024</v>
      </c>
    </row>
    <row r="65" spans="1:8" x14ac:dyDescent="0.25">
      <c r="A65" s="12">
        <v>150</v>
      </c>
      <c r="B65" s="10" t="s">
        <v>21</v>
      </c>
      <c r="C65" s="10" t="s">
        <v>22</v>
      </c>
      <c r="D65" s="10" t="s">
        <v>14</v>
      </c>
      <c r="E65" s="10" t="str">
        <f>_xlfn.XLOOKUP(D65,Categories[Category],Categories[Type],"",0,1)</f>
        <v>Income</v>
      </c>
      <c r="F65" s="11">
        <v>45388</v>
      </c>
      <c r="G65">
        <f>IF(ISBLANK(Operations[[#This Row],[Date]]),"",MONTH(F65))</f>
        <v>4</v>
      </c>
      <c r="H65">
        <f>IF(ISBLANK(Operations[[#This Row],[Date]]),"",YEAR(F65))</f>
        <v>2024</v>
      </c>
    </row>
    <row r="66" spans="1:8" x14ac:dyDescent="0.25">
      <c r="A66" s="12">
        <v>-99.97</v>
      </c>
      <c r="B66" s="10" t="s">
        <v>20</v>
      </c>
      <c r="C66" s="10" t="s">
        <v>22</v>
      </c>
      <c r="D66" s="10" t="s">
        <v>2</v>
      </c>
      <c r="E66" s="10" t="str">
        <f>_xlfn.XLOOKUP(D66,Categories[Category],Categories[Type],"",0,1)</f>
        <v>Expenses</v>
      </c>
      <c r="F66" s="11">
        <v>45389</v>
      </c>
      <c r="G66">
        <f>IF(ISBLANK(Operations[[#This Row],[Date]]),"",MONTH(F66))</f>
        <v>4</v>
      </c>
      <c r="H66">
        <f>IF(ISBLANK(Operations[[#This Row],[Date]]),"",YEAR(F66))</f>
        <v>2024</v>
      </c>
    </row>
    <row r="67" spans="1:8" x14ac:dyDescent="0.25">
      <c r="A67" s="12">
        <v>4500</v>
      </c>
      <c r="B67" s="10" t="s">
        <v>20</v>
      </c>
      <c r="C67" s="10" t="s">
        <v>22</v>
      </c>
      <c r="D67" s="10" t="s">
        <v>13</v>
      </c>
      <c r="E67" s="10" t="str">
        <f>_xlfn.XLOOKUP(D67,Categories[Category],Categories[Type],"",0,1)</f>
        <v>Income</v>
      </c>
      <c r="F67" s="11">
        <v>45392</v>
      </c>
      <c r="G67">
        <f>IF(ISBLANK(Operations[[#This Row],[Date]]),"",MONTH(F67))</f>
        <v>4</v>
      </c>
      <c r="H67">
        <f>IF(ISBLANK(Operations[[#This Row],[Date]]),"",YEAR(F67))</f>
        <v>2024</v>
      </c>
    </row>
    <row r="68" spans="1:8" x14ac:dyDescent="0.25">
      <c r="A68" s="12">
        <v>-2000</v>
      </c>
      <c r="B68" s="10" t="s">
        <v>20</v>
      </c>
      <c r="C68" s="10" t="s">
        <v>22</v>
      </c>
      <c r="D68" s="10" t="s">
        <v>44</v>
      </c>
      <c r="E68" s="10" t="str">
        <f>_xlfn.XLOOKUP(D68,Categories[Category],Categories[Type],"",0,1)</f>
        <v>Expenses</v>
      </c>
      <c r="F68" s="11">
        <v>45393</v>
      </c>
      <c r="G68">
        <f>IF(ISBLANK(Operations[[#This Row],[Date]]),"",MONTH(F68))</f>
        <v>4</v>
      </c>
      <c r="H68">
        <f>IF(ISBLANK(Operations[[#This Row],[Date]]),"",YEAR(F68))</f>
        <v>2024</v>
      </c>
    </row>
    <row r="69" spans="1:8" x14ac:dyDescent="0.25">
      <c r="A69" s="12">
        <v>-149</v>
      </c>
      <c r="B69" s="10" t="s">
        <v>20</v>
      </c>
      <c r="C69" s="10" t="s">
        <v>22</v>
      </c>
      <c r="D69" s="10" t="s">
        <v>4</v>
      </c>
      <c r="E69" s="10" t="str">
        <f>_xlfn.XLOOKUP(D69,Categories[Category],Categories[Type],"",0,1)</f>
        <v>Expenses</v>
      </c>
      <c r="F69" s="11">
        <v>45395</v>
      </c>
      <c r="G69">
        <f>IF(ISBLANK(Operations[[#This Row],[Date]]),"",MONTH(F69))</f>
        <v>4</v>
      </c>
      <c r="H69">
        <f>IF(ISBLANK(Operations[[#This Row],[Date]]),"",YEAR(F69))</f>
        <v>2024</v>
      </c>
    </row>
    <row r="70" spans="1:8" x14ac:dyDescent="0.25">
      <c r="A70" s="12">
        <v>104.5</v>
      </c>
      <c r="B70" s="10" t="s">
        <v>20</v>
      </c>
      <c r="C70" s="10" t="s">
        <v>45</v>
      </c>
      <c r="D70" s="10" t="s">
        <v>39</v>
      </c>
      <c r="E70" s="10" t="str">
        <f>_xlfn.XLOOKUP(D70,Categories[Category],Categories[Type],"",0,1)</f>
        <v>Transaction</v>
      </c>
      <c r="F70" s="11">
        <v>45397</v>
      </c>
      <c r="G70">
        <f>IF(ISBLANK(Operations[[#This Row],[Date]]),"",MONTH(F70))</f>
        <v>4</v>
      </c>
      <c r="H70">
        <f>IF(ISBLANK(Operations[[#This Row],[Date]]),"",YEAR(F70))</f>
        <v>2024</v>
      </c>
    </row>
    <row r="71" spans="1:8" x14ac:dyDescent="0.25">
      <c r="A71" s="12">
        <v>-104.5</v>
      </c>
      <c r="B71" s="10" t="s">
        <v>20</v>
      </c>
      <c r="C71" s="10" t="s">
        <v>22</v>
      </c>
      <c r="D71" s="10" t="s">
        <v>39</v>
      </c>
      <c r="E71" s="10" t="str">
        <f>_xlfn.XLOOKUP(D71,Categories[Category],Categories[Type],"",0,1)</f>
        <v>Transaction</v>
      </c>
      <c r="F71" s="11">
        <v>45397</v>
      </c>
      <c r="G71">
        <f>IF(ISBLANK(Operations[[#This Row],[Date]]),"",MONTH(F71))</f>
        <v>4</v>
      </c>
      <c r="H71">
        <f>IF(ISBLANK(Operations[[#This Row],[Date]]),"",YEAR(F71))</f>
        <v>2024</v>
      </c>
    </row>
    <row r="72" spans="1:8" x14ac:dyDescent="0.25">
      <c r="A72" s="12">
        <v>-49</v>
      </c>
      <c r="B72" s="10" t="s">
        <v>21</v>
      </c>
      <c r="C72" s="10" t="s">
        <v>22</v>
      </c>
      <c r="D72" s="10" t="s">
        <v>7</v>
      </c>
      <c r="E72" s="10" t="str">
        <f>_xlfn.XLOOKUP(D72,Categories[Category],Categories[Type],"",0,1)</f>
        <v>Expenses</v>
      </c>
      <c r="F72" s="11">
        <v>45397</v>
      </c>
      <c r="G72">
        <f>IF(ISBLANK(Operations[[#This Row],[Date]]),"",MONTH(F72))</f>
        <v>4</v>
      </c>
      <c r="H72">
        <f>IF(ISBLANK(Operations[[#This Row],[Date]]),"",YEAR(F72))</f>
        <v>2024</v>
      </c>
    </row>
    <row r="73" spans="1:8" x14ac:dyDescent="0.25">
      <c r="A73" s="12">
        <v>-9.99</v>
      </c>
      <c r="B73" s="10" t="s">
        <v>20</v>
      </c>
      <c r="C73" s="10" t="s">
        <v>45</v>
      </c>
      <c r="D73" s="10" t="s">
        <v>2</v>
      </c>
      <c r="E73" s="10" t="str">
        <f>_xlfn.XLOOKUP(D73,Categories[Category],Categories[Type],"",0,1)</f>
        <v>Expenses</v>
      </c>
      <c r="F73" s="11">
        <v>45398</v>
      </c>
      <c r="G73">
        <f>IF(ISBLANK(Operations[[#This Row],[Date]]),"",MONTH(F73))</f>
        <v>4</v>
      </c>
      <c r="H73">
        <f>IF(ISBLANK(Operations[[#This Row],[Date]]),"",YEAR(F73))</f>
        <v>2024</v>
      </c>
    </row>
    <row r="74" spans="1:8" x14ac:dyDescent="0.25">
      <c r="A74" s="12">
        <v>-100</v>
      </c>
      <c r="B74" s="10" t="s">
        <v>20</v>
      </c>
      <c r="C74" s="10" t="s">
        <v>22</v>
      </c>
      <c r="D74" s="10" t="s">
        <v>11</v>
      </c>
      <c r="E74" s="10" t="str">
        <f>_xlfn.XLOOKUP(D74,Categories[Category],Categories[Type],"",0,1)</f>
        <v>Expenses</v>
      </c>
      <c r="F74" s="11">
        <v>45399</v>
      </c>
      <c r="G74">
        <f>IF(ISBLANK(Operations[[#This Row],[Date]]),"",MONTH(F74))</f>
        <v>4</v>
      </c>
      <c r="H74">
        <f>IF(ISBLANK(Operations[[#This Row],[Date]]),"",YEAR(F74))</f>
        <v>2024</v>
      </c>
    </row>
    <row r="75" spans="1:8" x14ac:dyDescent="0.25">
      <c r="A75" s="12">
        <v>-57.9</v>
      </c>
      <c r="B75" s="10" t="s">
        <v>20</v>
      </c>
      <c r="C75" s="10" t="s">
        <v>45</v>
      </c>
      <c r="D75" s="10" t="s">
        <v>3</v>
      </c>
      <c r="E75" s="10" t="str">
        <f>_xlfn.XLOOKUP(D75,Categories[Category],Categories[Type],"",0,1)</f>
        <v>Expenses</v>
      </c>
      <c r="F75" s="11">
        <v>45401</v>
      </c>
      <c r="G75">
        <f>IF(ISBLANK(Operations[[#This Row],[Date]]),"",MONTH(F75))</f>
        <v>4</v>
      </c>
      <c r="H75">
        <f>IF(ISBLANK(Operations[[#This Row],[Date]]),"",YEAR(F75))</f>
        <v>2024</v>
      </c>
    </row>
    <row r="76" spans="1:8" x14ac:dyDescent="0.25">
      <c r="A76" s="12">
        <v>-159.9</v>
      </c>
      <c r="B76" s="10" t="s">
        <v>20</v>
      </c>
      <c r="C76" s="10" t="s">
        <v>22</v>
      </c>
      <c r="D76" s="10" t="s">
        <v>2</v>
      </c>
      <c r="E76" s="10" t="str">
        <f>_xlfn.XLOOKUP(D76,Categories[Category],Categories[Type],"",0,1)</f>
        <v>Expenses</v>
      </c>
      <c r="F76" s="11">
        <v>45403</v>
      </c>
      <c r="G76">
        <f>IF(ISBLANK(Operations[[#This Row],[Date]]),"",MONTH(F76))</f>
        <v>4</v>
      </c>
      <c r="H76">
        <f>IF(ISBLANK(Operations[[#This Row],[Date]]),"",YEAR(F76))</f>
        <v>2024</v>
      </c>
    </row>
    <row r="77" spans="1:8" x14ac:dyDescent="0.25">
      <c r="A77" s="12">
        <v>-1000</v>
      </c>
      <c r="B77" s="10" t="s">
        <v>20</v>
      </c>
      <c r="C77" s="10" t="s">
        <v>22</v>
      </c>
      <c r="D77" s="10" t="s">
        <v>3</v>
      </c>
      <c r="E77" s="10" t="str">
        <f>_xlfn.XLOOKUP(D77,Categories[Category],Categories[Type],"",0,1)</f>
        <v>Expenses</v>
      </c>
      <c r="F77" s="11">
        <v>45405</v>
      </c>
      <c r="G77">
        <f>IF(ISBLANK(Operations[[#This Row],[Date]]),"",MONTH(F77))</f>
        <v>4</v>
      </c>
      <c r="H77">
        <f>IF(ISBLANK(Operations[[#This Row],[Date]]),"",YEAR(F77))</f>
        <v>2024</v>
      </c>
    </row>
    <row r="78" spans="1:8" x14ac:dyDescent="0.25">
      <c r="A78" s="12">
        <v>50</v>
      </c>
      <c r="B78" s="10" t="s">
        <v>21</v>
      </c>
      <c r="C78" s="10" t="s">
        <v>25</v>
      </c>
      <c r="D78" s="10" t="s">
        <v>16</v>
      </c>
      <c r="E78" s="10" t="str">
        <f>_xlfn.XLOOKUP(D78,Categories[Category],Categories[Type],"",0,1)</f>
        <v>Income</v>
      </c>
      <c r="F78" s="11">
        <v>45407</v>
      </c>
      <c r="G78">
        <f>IF(ISBLANK(Operations[[#This Row],[Date]]),"",MONTH(F78))</f>
        <v>4</v>
      </c>
      <c r="H78">
        <f>IF(ISBLANK(Operations[[#This Row],[Date]]),"",YEAR(F78))</f>
        <v>2024</v>
      </c>
    </row>
    <row r="79" spans="1:8" x14ac:dyDescent="0.25">
      <c r="A79" s="12">
        <v>-69.900000000000006</v>
      </c>
      <c r="B79" s="10" t="s">
        <v>20</v>
      </c>
      <c r="C79" s="10" t="s">
        <v>22</v>
      </c>
      <c r="D79" s="10" t="s">
        <v>2</v>
      </c>
      <c r="E79" s="10" t="str">
        <f>_xlfn.XLOOKUP(D79,Categories[Category],Categories[Type],"",0,1)</f>
        <v>Expenses</v>
      </c>
      <c r="F79" s="11">
        <v>45409</v>
      </c>
      <c r="G79">
        <f>IF(ISBLANK(Operations[[#This Row],[Date]]),"",MONTH(F79))</f>
        <v>4</v>
      </c>
      <c r="H79">
        <f>IF(ISBLANK(Operations[[#This Row],[Date]]),"",YEAR(F79))</f>
        <v>2024</v>
      </c>
    </row>
    <row r="80" spans="1:8" x14ac:dyDescent="0.25">
      <c r="A80" s="12">
        <v>-32.5</v>
      </c>
      <c r="B80" s="10" t="s">
        <v>20</v>
      </c>
      <c r="C80" s="10" t="s">
        <v>22</v>
      </c>
      <c r="D80" s="10" t="s">
        <v>2</v>
      </c>
      <c r="E80" s="10" t="str">
        <f>_xlfn.XLOOKUP(D80,Categories[Category],Categories[Type],"",0,1)</f>
        <v>Expenses</v>
      </c>
      <c r="F80" s="11">
        <v>45410</v>
      </c>
      <c r="G80">
        <f>IF(ISBLANK(Operations[[#This Row],[Date]]),"",MONTH(F80))</f>
        <v>4</v>
      </c>
      <c r="H80">
        <f>IF(ISBLANK(Operations[[#This Row],[Date]]),"",YEAR(F80))</f>
        <v>2024</v>
      </c>
    </row>
    <row r="81" spans="1:8" x14ac:dyDescent="0.25">
      <c r="A81" s="12">
        <v>-139</v>
      </c>
      <c r="B81" s="10" t="s">
        <v>20</v>
      </c>
      <c r="C81" s="10" t="s">
        <v>22</v>
      </c>
      <c r="D81" s="10" t="s">
        <v>8</v>
      </c>
      <c r="E81" s="10" t="str">
        <f>_xlfn.XLOOKUP(D81,Categories[Category],Categories[Type],"",0,1)</f>
        <v>Expenses</v>
      </c>
      <c r="F81" s="11">
        <v>45411</v>
      </c>
      <c r="G81">
        <f>IF(ISBLANK(Operations[[#This Row],[Date]]),"",MONTH(F81))</f>
        <v>4</v>
      </c>
      <c r="H81">
        <f>IF(ISBLANK(Operations[[#This Row],[Date]]),"",YEAR(F81))</f>
        <v>2024</v>
      </c>
    </row>
    <row r="82" spans="1:8" x14ac:dyDescent="0.25">
      <c r="A82" s="12">
        <v>-250</v>
      </c>
      <c r="B82" s="10" t="s">
        <v>20</v>
      </c>
      <c r="C82" s="10" t="s">
        <v>45</v>
      </c>
      <c r="D82" s="10" t="s">
        <v>2</v>
      </c>
      <c r="E82" s="10" t="str">
        <f>_xlfn.XLOOKUP(D82,Categories[Category],Categories[Type],"",0,1)</f>
        <v>Expenses</v>
      </c>
      <c r="F82" s="11">
        <v>45419</v>
      </c>
      <c r="G82">
        <f>IF(ISBLANK(Operations[[#This Row],[Date]]),"",MONTH(F82))</f>
        <v>5</v>
      </c>
      <c r="H82">
        <f>IF(ISBLANK(Operations[[#This Row],[Date]]),"",YEAR(F82))</f>
        <v>2024</v>
      </c>
    </row>
    <row r="83" spans="1:8" x14ac:dyDescent="0.25">
      <c r="A83" s="12">
        <v>-80</v>
      </c>
      <c r="B83" s="10" t="s">
        <v>20</v>
      </c>
      <c r="C83" s="10" t="s">
        <v>22</v>
      </c>
      <c r="D83" s="10" t="s">
        <v>5</v>
      </c>
      <c r="E83" s="10" t="str">
        <f>_xlfn.XLOOKUP(D83,Categories[Category],Categories[Type],"",0,1)</f>
        <v>Expenses</v>
      </c>
      <c r="F83" s="11">
        <v>45422</v>
      </c>
      <c r="G83">
        <f>IF(ISBLANK(Operations[[#This Row],[Date]]),"",MONTH(F83))</f>
        <v>5</v>
      </c>
      <c r="H83">
        <f>IF(ISBLANK(Operations[[#This Row],[Date]]),"",YEAR(F83))</f>
        <v>2024</v>
      </c>
    </row>
    <row r="84" spans="1:8" x14ac:dyDescent="0.25">
      <c r="A84" s="12">
        <v>4500</v>
      </c>
      <c r="B84" s="10" t="s">
        <v>20</v>
      </c>
      <c r="C84" s="10" t="s">
        <v>22</v>
      </c>
      <c r="D84" s="10" t="s">
        <v>13</v>
      </c>
      <c r="E84" s="10" t="str">
        <f>_xlfn.XLOOKUP(D84,Categories[Category],Categories[Type],"",0,1)</f>
        <v>Income</v>
      </c>
      <c r="F84" s="11">
        <v>45422</v>
      </c>
      <c r="G84">
        <f>IF(ISBLANK(Operations[[#This Row],[Date]]),"",MONTH(F84))</f>
        <v>5</v>
      </c>
      <c r="H84">
        <f>IF(ISBLANK(Operations[[#This Row],[Date]]),"",YEAR(F84))</f>
        <v>2024</v>
      </c>
    </row>
    <row r="85" spans="1:8" x14ac:dyDescent="0.25">
      <c r="A85" s="12">
        <v>-2000</v>
      </c>
      <c r="B85" s="10" t="s">
        <v>20</v>
      </c>
      <c r="C85" s="10" t="s">
        <v>22</v>
      </c>
      <c r="D85" s="10" t="s">
        <v>44</v>
      </c>
      <c r="E85" s="10" t="str">
        <f>_xlfn.XLOOKUP(D85,Categories[Category],Categories[Type],"",0,1)</f>
        <v>Expenses</v>
      </c>
      <c r="F85" s="11">
        <v>45423</v>
      </c>
      <c r="G85">
        <f>IF(ISBLANK(Operations[[#This Row],[Date]]),"",MONTH(F85))</f>
        <v>5</v>
      </c>
      <c r="H85">
        <f>IF(ISBLANK(Operations[[#This Row],[Date]]),"",YEAR(F85))</f>
        <v>2024</v>
      </c>
    </row>
    <row r="86" spans="1:8" x14ac:dyDescent="0.25">
      <c r="A86" s="12">
        <v>-250</v>
      </c>
      <c r="B86" s="10" t="s">
        <v>20</v>
      </c>
      <c r="C86" s="10" t="s">
        <v>45</v>
      </c>
      <c r="D86" s="10" t="s">
        <v>2</v>
      </c>
      <c r="E86" s="10" t="str">
        <f>_xlfn.XLOOKUP(D86,Categories[Category],Categories[Type],"",0,1)</f>
        <v>Expenses</v>
      </c>
      <c r="F86" s="11">
        <v>45426</v>
      </c>
      <c r="G86">
        <f>IF(ISBLANK(Operations[[#This Row],[Date]]),"",MONTH(F86))</f>
        <v>5</v>
      </c>
      <c r="H86">
        <f>IF(ISBLANK(Operations[[#This Row],[Date]]),"",YEAR(F86))</f>
        <v>2024</v>
      </c>
    </row>
    <row r="87" spans="1:8" x14ac:dyDescent="0.25">
      <c r="A87" s="12">
        <v>91.39</v>
      </c>
      <c r="B87" s="10" t="s">
        <v>20</v>
      </c>
      <c r="C87" s="10" t="s">
        <v>45</v>
      </c>
      <c r="D87" s="10" t="s">
        <v>39</v>
      </c>
      <c r="E87" s="10" t="str">
        <f>_xlfn.XLOOKUP(D87,Categories[Category],Categories[Type],"",0,1)</f>
        <v>Transaction</v>
      </c>
      <c r="F87" s="11">
        <v>45427</v>
      </c>
      <c r="G87">
        <f>IF(ISBLANK(Operations[[#This Row],[Date]]),"",MONTH(F87))</f>
        <v>5</v>
      </c>
      <c r="H87">
        <f>IF(ISBLANK(Operations[[#This Row],[Date]]),"",YEAR(F87))</f>
        <v>2024</v>
      </c>
    </row>
    <row r="88" spans="1:8" x14ac:dyDescent="0.25">
      <c r="A88" s="12">
        <v>-91.39</v>
      </c>
      <c r="B88" s="10" t="s">
        <v>20</v>
      </c>
      <c r="C88" s="10" t="s">
        <v>22</v>
      </c>
      <c r="D88" s="10" t="s">
        <v>39</v>
      </c>
      <c r="E88" s="10" t="str">
        <f>_xlfn.XLOOKUP(D88,Categories[Category],Categories[Type],"",0,1)</f>
        <v>Transaction</v>
      </c>
      <c r="F88" s="11">
        <v>45427</v>
      </c>
      <c r="G88">
        <f>IF(ISBLANK(Operations[[#This Row],[Date]]),"",MONTH(F88))</f>
        <v>5</v>
      </c>
      <c r="H88">
        <f>IF(ISBLANK(Operations[[#This Row],[Date]]),"",YEAR(F88))</f>
        <v>2024</v>
      </c>
    </row>
    <row r="89" spans="1:8" x14ac:dyDescent="0.25">
      <c r="A89" s="12">
        <v>-250</v>
      </c>
      <c r="B89" s="10" t="s">
        <v>20</v>
      </c>
      <c r="C89" s="10" t="s">
        <v>45</v>
      </c>
      <c r="D89" s="10" t="s">
        <v>2</v>
      </c>
      <c r="E89" s="10" t="str">
        <f>_xlfn.XLOOKUP(D89,Categories[Category],Categories[Type],"",0,1)</f>
        <v>Expenses</v>
      </c>
      <c r="F89" s="11">
        <v>45433</v>
      </c>
      <c r="G89">
        <f>IF(ISBLANK(Operations[[#This Row],[Date]]),"",MONTH(F89))</f>
        <v>5</v>
      </c>
      <c r="H89">
        <f>IF(ISBLANK(Operations[[#This Row],[Date]]),"",YEAR(F89))</f>
        <v>2024</v>
      </c>
    </row>
    <row r="90" spans="1:8" x14ac:dyDescent="0.25">
      <c r="A90" s="12">
        <v>-250</v>
      </c>
      <c r="B90" s="10" t="s">
        <v>20</v>
      </c>
      <c r="C90" s="10" t="s">
        <v>45</v>
      </c>
      <c r="D90" s="10" t="s">
        <v>2</v>
      </c>
      <c r="E90" s="10" t="str">
        <f>_xlfn.XLOOKUP(D90,Categories[Category],Categories[Type],"",0,1)</f>
        <v>Expenses</v>
      </c>
      <c r="F90" s="11">
        <v>45440</v>
      </c>
      <c r="G90">
        <f>IF(ISBLANK(Operations[[#This Row],[Date]]),"",MONTH(F90))</f>
        <v>5</v>
      </c>
      <c r="H90">
        <f>IF(ISBLANK(Operations[[#This Row],[Date]]),"",YEAR(F90))</f>
        <v>2024</v>
      </c>
    </row>
    <row r="91" spans="1:8" x14ac:dyDescent="0.25">
      <c r="A91" s="12">
        <v>-50</v>
      </c>
      <c r="B91" s="10" t="s">
        <v>21</v>
      </c>
      <c r="C91" s="10" t="s">
        <v>22</v>
      </c>
      <c r="D91" s="10" t="s">
        <v>7</v>
      </c>
      <c r="E91" s="10" t="str">
        <f>_xlfn.XLOOKUP(D91,Categories[Category],Categories[Type],"",0,1)</f>
        <v>Expenses</v>
      </c>
      <c r="F91" s="11">
        <v>45441</v>
      </c>
      <c r="G91">
        <f>IF(ISBLANK(Operations[[#This Row],[Date]]),"",MONTH(F91))</f>
        <v>5</v>
      </c>
      <c r="H91">
        <f>IF(ISBLANK(Operations[[#This Row],[Date]]),"",YEAR(F91))</f>
        <v>2024</v>
      </c>
    </row>
    <row r="92" spans="1:8" x14ac:dyDescent="0.25">
      <c r="A92" s="12">
        <v>-80</v>
      </c>
      <c r="B92" s="10" t="s">
        <v>26</v>
      </c>
      <c r="C92" s="10" t="s">
        <v>27</v>
      </c>
      <c r="D92" s="10" t="s">
        <v>3</v>
      </c>
      <c r="E92" s="10" t="str">
        <f>_xlfn.XLOOKUP(D92,Categories[Category],Categories[Type],"",0,1)</f>
        <v>Expenses</v>
      </c>
      <c r="F92" s="11">
        <v>45442</v>
      </c>
      <c r="G92">
        <f>IF(ISBLANK(Operations[[#This Row],[Date]]),"",MONTH(F92))</f>
        <v>5</v>
      </c>
      <c r="H92">
        <f>IF(ISBLANK(Operations[[#This Row],[Date]]),"",YEAR(F92))</f>
        <v>2024</v>
      </c>
    </row>
    <row r="93" spans="1:8" x14ac:dyDescent="0.25">
      <c r="A93" s="12">
        <v>-250</v>
      </c>
      <c r="B93" s="10" t="s">
        <v>20</v>
      </c>
      <c r="C93" s="10" t="s">
        <v>45</v>
      </c>
      <c r="D93" s="10" t="s">
        <v>2</v>
      </c>
      <c r="E93" s="10" t="str">
        <f>_xlfn.XLOOKUP(D93,Categories[Category],Categories[Type],"",0,1)</f>
        <v>Expenses</v>
      </c>
      <c r="F93" s="11">
        <v>45450</v>
      </c>
      <c r="G93">
        <f>IF(ISBLANK(Operations[[#This Row],[Date]]),"",MONTH(F93))</f>
        <v>6</v>
      </c>
      <c r="H93">
        <f>IF(ISBLANK(Operations[[#This Row],[Date]]),"",YEAR(F93))</f>
        <v>2024</v>
      </c>
    </row>
    <row r="94" spans="1:8" x14ac:dyDescent="0.25">
      <c r="A94" s="12">
        <v>-80</v>
      </c>
      <c r="B94" s="10" t="s">
        <v>20</v>
      </c>
      <c r="C94" s="10" t="s">
        <v>22</v>
      </c>
      <c r="D94" s="10" t="s">
        <v>5</v>
      </c>
      <c r="E94" s="10" t="str">
        <f>_xlfn.XLOOKUP(D94,Categories[Category],Categories[Type],"",0,1)</f>
        <v>Expenses</v>
      </c>
      <c r="F94" s="11">
        <v>45453</v>
      </c>
      <c r="G94">
        <f>IF(ISBLANK(Operations[[#This Row],[Date]]),"",MONTH(F94))</f>
        <v>6</v>
      </c>
      <c r="H94">
        <f>IF(ISBLANK(Operations[[#This Row],[Date]]),"",YEAR(F94))</f>
        <v>2024</v>
      </c>
    </row>
    <row r="95" spans="1:8" x14ac:dyDescent="0.25">
      <c r="A95" s="12">
        <v>4500</v>
      </c>
      <c r="B95" s="10" t="s">
        <v>20</v>
      </c>
      <c r="C95" s="10" t="s">
        <v>22</v>
      </c>
      <c r="D95" s="10" t="s">
        <v>13</v>
      </c>
      <c r="E95" s="10" t="str">
        <f>_xlfn.XLOOKUP(D95,Categories[Category],Categories[Type],"",0,1)</f>
        <v>Income</v>
      </c>
      <c r="F95" s="11">
        <v>45453</v>
      </c>
      <c r="G95">
        <f>IF(ISBLANK(Operations[[#This Row],[Date]]),"",MONTH(F95))</f>
        <v>6</v>
      </c>
      <c r="H95">
        <f>IF(ISBLANK(Operations[[#This Row],[Date]]),"",YEAR(F95))</f>
        <v>2024</v>
      </c>
    </row>
    <row r="96" spans="1:8" x14ac:dyDescent="0.25">
      <c r="A96" s="12">
        <v>-2000</v>
      </c>
      <c r="B96" s="10" t="s">
        <v>20</v>
      </c>
      <c r="C96" s="10" t="s">
        <v>22</v>
      </c>
      <c r="D96" s="10" t="s">
        <v>44</v>
      </c>
      <c r="E96" s="10" t="str">
        <f>_xlfn.XLOOKUP(D96,Categories[Category],Categories[Type],"",0,1)</f>
        <v>Expenses</v>
      </c>
      <c r="F96" s="11">
        <v>45454</v>
      </c>
      <c r="G96">
        <f>IF(ISBLANK(Operations[[#This Row],[Date]]),"",MONTH(F96))</f>
        <v>6</v>
      </c>
      <c r="H96">
        <f>IF(ISBLANK(Operations[[#This Row],[Date]]),"",YEAR(F96))</f>
        <v>2024</v>
      </c>
    </row>
    <row r="97" spans="1:8" x14ac:dyDescent="0.25">
      <c r="A97" s="12">
        <v>-250</v>
      </c>
      <c r="B97" s="10" t="s">
        <v>20</v>
      </c>
      <c r="C97" s="10" t="s">
        <v>45</v>
      </c>
      <c r="D97" s="10" t="s">
        <v>2</v>
      </c>
      <c r="E97" s="10" t="str">
        <f>_xlfn.XLOOKUP(D97,Categories[Category],Categories[Type],"",0,1)</f>
        <v>Expenses</v>
      </c>
      <c r="F97" s="11">
        <v>45457</v>
      </c>
      <c r="G97">
        <f>IF(ISBLANK(Operations[[#This Row],[Date]]),"",MONTH(F97))</f>
        <v>6</v>
      </c>
      <c r="H97">
        <f>IF(ISBLANK(Operations[[#This Row],[Date]]),"",YEAR(F97))</f>
        <v>2024</v>
      </c>
    </row>
    <row r="98" spans="1:8" x14ac:dyDescent="0.25">
      <c r="A98" s="12">
        <v>1000</v>
      </c>
      <c r="B98" s="10" t="s">
        <v>20</v>
      </c>
      <c r="C98" s="10" t="s">
        <v>45</v>
      </c>
      <c r="D98" s="10" t="s">
        <v>39</v>
      </c>
      <c r="E98" s="10" t="str">
        <f>_xlfn.XLOOKUP(D98,Categories[Category],Categories[Type],"",0,1)</f>
        <v>Transaction</v>
      </c>
      <c r="F98" s="11">
        <v>45458</v>
      </c>
      <c r="G98">
        <f>IF(ISBLANK(Operations[[#This Row],[Date]]),"",MONTH(F98))</f>
        <v>6</v>
      </c>
      <c r="H98">
        <f>IF(ISBLANK(Operations[[#This Row],[Date]]),"",YEAR(F98))</f>
        <v>2024</v>
      </c>
    </row>
    <row r="99" spans="1:8" x14ac:dyDescent="0.25">
      <c r="A99" s="12">
        <v>-1000</v>
      </c>
      <c r="B99" s="10" t="s">
        <v>20</v>
      </c>
      <c r="C99" s="10" t="s">
        <v>22</v>
      </c>
      <c r="D99" s="10" t="s">
        <v>39</v>
      </c>
      <c r="E99" s="10" t="str">
        <f>_xlfn.XLOOKUP(D99,Categories[Category],Categories[Type],"",0,1)</f>
        <v>Transaction</v>
      </c>
      <c r="F99" s="11">
        <v>45458</v>
      </c>
      <c r="G99">
        <f>IF(ISBLANK(Operations[[#This Row],[Date]]),"",MONTH(F99))</f>
        <v>6</v>
      </c>
      <c r="H99">
        <f>IF(ISBLANK(Operations[[#This Row],[Date]]),"",YEAR(F99))</f>
        <v>2024</v>
      </c>
    </row>
    <row r="100" spans="1:8" x14ac:dyDescent="0.25">
      <c r="A100" s="12">
        <v>-100</v>
      </c>
      <c r="B100" s="10" t="s">
        <v>21</v>
      </c>
      <c r="C100" s="10" t="s">
        <v>22</v>
      </c>
      <c r="D100" s="10" t="s">
        <v>6</v>
      </c>
      <c r="E100" s="10" t="str">
        <f>_xlfn.XLOOKUP(D100,Categories[Category],Categories[Type],"",0,1)</f>
        <v>Expenses</v>
      </c>
      <c r="F100" s="11">
        <v>45458</v>
      </c>
      <c r="G100">
        <f>IF(ISBLANK(Operations[[#This Row],[Date]]),"",MONTH(F100))</f>
        <v>6</v>
      </c>
      <c r="H100">
        <f>IF(ISBLANK(Operations[[#This Row],[Date]]),"",YEAR(F100))</f>
        <v>2024</v>
      </c>
    </row>
    <row r="101" spans="1:8" x14ac:dyDescent="0.25">
      <c r="A101" s="12">
        <v>-250</v>
      </c>
      <c r="B101" s="10" t="s">
        <v>20</v>
      </c>
      <c r="C101" s="10" t="s">
        <v>45</v>
      </c>
      <c r="D101" s="10" t="s">
        <v>2</v>
      </c>
      <c r="E101" s="10" t="str">
        <f>_xlfn.XLOOKUP(D101,Categories[Category],Categories[Type],"",0,1)</f>
        <v>Expenses</v>
      </c>
      <c r="F101" s="11">
        <v>45464</v>
      </c>
      <c r="G101">
        <f>IF(ISBLANK(Operations[[#This Row],[Date]]),"",MONTH(F101))</f>
        <v>6</v>
      </c>
      <c r="H101">
        <f>IF(ISBLANK(Operations[[#This Row],[Date]]),"",YEAR(F101))</f>
        <v>2024</v>
      </c>
    </row>
    <row r="102" spans="1:8" x14ac:dyDescent="0.25">
      <c r="A102" s="12">
        <v>-250</v>
      </c>
      <c r="B102" s="10" t="s">
        <v>20</v>
      </c>
      <c r="C102" s="10" t="s">
        <v>45</v>
      </c>
      <c r="D102" s="10" t="s">
        <v>2</v>
      </c>
      <c r="E102" s="10" t="str">
        <f>_xlfn.XLOOKUP(D102,Categories[Category],Categories[Type],"",0,1)</f>
        <v>Expenses</v>
      </c>
      <c r="F102" s="11">
        <v>45471</v>
      </c>
      <c r="G102">
        <f>IF(ISBLANK(Operations[[#This Row],[Date]]),"",MONTH(F102))</f>
        <v>6</v>
      </c>
      <c r="H102">
        <f>IF(ISBLANK(Operations[[#This Row],[Date]]),"",YEAR(F102))</f>
        <v>2024</v>
      </c>
    </row>
    <row r="103" spans="1:8" x14ac:dyDescent="0.25">
      <c r="A103" s="12">
        <v>-300</v>
      </c>
      <c r="B103" s="10" t="s">
        <v>20</v>
      </c>
      <c r="C103" s="10" t="s">
        <v>45</v>
      </c>
      <c r="D103" s="10" t="s">
        <v>4</v>
      </c>
      <c r="E103" s="10" t="str">
        <f>_xlfn.XLOOKUP(D103,Categories[Category],Categories[Type],"",0,1)</f>
        <v>Expenses</v>
      </c>
      <c r="F103" s="11">
        <v>45471</v>
      </c>
      <c r="G103">
        <f>IF(ISBLANK(Operations[[#This Row],[Date]]),"",MONTH(F103))</f>
        <v>6</v>
      </c>
      <c r="H103">
        <f>IF(ISBLANK(Operations[[#This Row],[Date]]),"",YEAR(F103))</f>
        <v>2024</v>
      </c>
    </row>
    <row r="104" spans="1:8" x14ac:dyDescent="0.25">
      <c r="A104" s="12">
        <v>-50</v>
      </c>
      <c r="B104" s="10" t="s">
        <v>21</v>
      </c>
      <c r="C104" s="10" t="s">
        <v>22</v>
      </c>
      <c r="D104" s="10" t="s">
        <v>7</v>
      </c>
      <c r="E104" s="10" t="str">
        <f>_xlfn.XLOOKUP(D104,Categories[Category],Categories[Type],"",0,1)</f>
        <v>Expenses</v>
      </c>
      <c r="F104" s="11">
        <v>45472</v>
      </c>
      <c r="G104">
        <f>IF(ISBLANK(Operations[[#This Row],[Date]]),"",MONTH(F104))</f>
        <v>6</v>
      </c>
      <c r="H104">
        <f>IF(ISBLANK(Operations[[#This Row],[Date]]),"",YEAR(F104))</f>
        <v>2024</v>
      </c>
    </row>
    <row r="105" spans="1:8" x14ac:dyDescent="0.25">
      <c r="A105" s="12">
        <v>400</v>
      </c>
      <c r="B105" s="10" t="s">
        <v>21</v>
      </c>
      <c r="C105" s="10" t="s">
        <v>22</v>
      </c>
      <c r="D105" s="10" t="s">
        <v>29</v>
      </c>
      <c r="E105" s="10" t="str">
        <f>_xlfn.XLOOKUP(D105,Categories[Category],Categories[Type],"",0,1)</f>
        <v>Income</v>
      </c>
      <c r="F105" s="11">
        <v>45472</v>
      </c>
      <c r="G105">
        <f>IF(ISBLANK(Operations[[#This Row],[Date]]),"",MONTH(F105))</f>
        <v>6</v>
      </c>
      <c r="H105">
        <f>IF(ISBLANK(Operations[[#This Row],[Date]]),"",YEAR(F105))</f>
        <v>2024</v>
      </c>
    </row>
    <row r="106" spans="1:8" x14ac:dyDescent="0.25">
      <c r="A106" s="12">
        <v>-200</v>
      </c>
      <c r="B106" s="10" t="s">
        <v>26</v>
      </c>
      <c r="C106" s="10" t="s">
        <v>27</v>
      </c>
      <c r="D106" s="10" t="s">
        <v>3</v>
      </c>
      <c r="E106" s="10" t="str">
        <f>_xlfn.XLOOKUP(D106,Categories[Category],Categories[Type],"",0,1)</f>
        <v>Expenses</v>
      </c>
      <c r="F106" s="11">
        <v>45473</v>
      </c>
      <c r="G106">
        <f>IF(ISBLANK(Operations[[#This Row],[Date]]),"",MONTH(F106))</f>
        <v>6</v>
      </c>
      <c r="H106">
        <f>IF(ISBLANK(Operations[[#This Row],[Date]]),"",YEAR(F106))</f>
        <v>2024</v>
      </c>
    </row>
    <row r="107" spans="1:8" x14ac:dyDescent="0.25">
      <c r="A107" s="12">
        <v>-30</v>
      </c>
      <c r="B107" s="10" t="s">
        <v>26</v>
      </c>
      <c r="C107" s="10" t="s">
        <v>30</v>
      </c>
      <c r="D107" s="10" t="s">
        <v>2</v>
      </c>
      <c r="E107" s="10" t="str">
        <f>_xlfn.XLOOKUP(D107,Categories[Category],Categories[Type],"",0,1)</f>
        <v>Expenses</v>
      </c>
      <c r="F107" s="11">
        <v>45476</v>
      </c>
      <c r="G107">
        <f>IF(ISBLANK(Operations[[#This Row],[Date]]),"",MONTH(F107))</f>
        <v>7</v>
      </c>
      <c r="H107">
        <f>IF(ISBLANK(Operations[[#This Row],[Date]]),"",YEAR(F107))</f>
        <v>2024</v>
      </c>
    </row>
    <row r="108" spans="1:8" x14ac:dyDescent="0.25">
      <c r="A108" s="12">
        <v>-100</v>
      </c>
      <c r="B108" s="10" t="s">
        <v>20</v>
      </c>
      <c r="C108" s="10" t="s">
        <v>22</v>
      </c>
      <c r="D108" s="10" t="s">
        <v>3</v>
      </c>
      <c r="E108" s="10" t="str">
        <f>_xlfn.XLOOKUP(D108,Categories[Category],Categories[Type],"",0,1)</f>
        <v>Expenses</v>
      </c>
      <c r="F108" s="11">
        <v>45480</v>
      </c>
      <c r="G108">
        <f>IF(ISBLANK(Operations[[#This Row],[Date]]),"",MONTH(F108))</f>
        <v>7</v>
      </c>
      <c r="H108">
        <f>IF(ISBLANK(Operations[[#This Row],[Date]]),"",YEAR(F108))</f>
        <v>2024</v>
      </c>
    </row>
    <row r="109" spans="1:8" x14ac:dyDescent="0.25">
      <c r="A109" s="12">
        <v>4500</v>
      </c>
      <c r="B109" s="10" t="s">
        <v>20</v>
      </c>
      <c r="C109" s="10" t="s">
        <v>22</v>
      </c>
      <c r="D109" s="10" t="s">
        <v>13</v>
      </c>
      <c r="E109" s="10" t="str">
        <f>_xlfn.XLOOKUP(D109,Categories[Category],Categories[Type],"",0,1)</f>
        <v>Income</v>
      </c>
      <c r="F109" s="11">
        <v>45483</v>
      </c>
      <c r="G109">
        <f>IF(ISBLANK(Operations[[#This Row],[Date]]),"",MONTH(F109))</f>
        <v>7</v>
      </c>
      <c r="H109">
        <f>IF(ISBLANK(Operations[[#This Row],[Date]]),"",YEAR(F109))</f>
        <v>2024</v>
      </c>
    </row>
    <row r="110" spans="1:8" x14ac:dyDescent="0.25">
      <c r="A110" s="12">
        <v>-2000</v>
      </c>
      <c r="B110" s="10" t="s">
        <v>20</v>
      </c>
      <c r="C110" s="10" t="s">
        <v>22</v>
      </c>
      <c r="D110" s="10" t="s">
        <v>44</v>
      </c>
      <c r="E110" s="10" t="str">
        <f>_xlfn.XLOOKUP(D110,Categories[Category],Categories[Type],"",0,1)</f>
        <v>Expenses</v>
      </c>
      <c r="F110" s="11">
        <v>45484</v>
      </c>
      <c r="G110">
        <f>IF(ISBLANK(Operations[[#This Row],[Date]]),"",MONTH(F110))</f>
        <v>7</v>
      </c>
      <c r="H110">
        <f>IF(ISBLANK(Operations[[#This Row],[Date]]),"",YEAR(F110))</f>
        <v>2024</v>
      </c>
    </row>
    <row r="111" spans="1:8" x14ac:dyDescent="0.25">
      <c r="A111" s="12">
        <v>-40</v>
      </c>
      <c r="B111" s="10" t="s">
        <v>20</v>
      </c>
      <c r="C111" s="10" t="s">
        <v>45</v>
      </c>
      <c r="D111" s="10" t="s">
        <v>2</v>
      </c>
      <c r="E111" s="10" t="str">
        <f>_xlfn.XLOOKUP(D111,Categories[Category],Categories[Type],"",0,1)</f>
        <v>Expenses</v>
      </c>
      <c r="F111" s="11">
        <v>45487</v>
      </c>
      <c r="G111">
        <f>IF(ISBLANK(Operations[[#This Row],[Date]]),"",MONTH(F111))</f>
        <v>7</v>
      </c>
      <c r="H111">
        <f>IF(ISBLANK(Operations[[#This Row],[Date]]),"",YEAR(F111))</f>
        <v>2024</v>
      </c>
    </row>
    <row r="112" spans="1:8" x14ac:dyDescent="0.25">
      <c r="A112" s="12">
        <v>1300</v>
      </c>
      <c r="B112" s="10" t="s">
        <v>20</v>
      </c>
      <c r="C112" s="10" t="s">
        <v>45</v>
      </c>
      <c r="D112" s="10" t="s">
        <v>39</v>
      </c>
      <c r="E112" s="10" t="str">
        <f>_xlfn.XLOOKUP(D112,Categories[Category],Categories[Type],"",0,1)</f>
        <v>Transaction</v>
      </c>
      <c r="F112" s="11">
        <v>45488</v>
      </c>
      <c r="G112">
        <f>IF(ISBLANK(Operations[[#This Row],[Date]]),"",MONTH(F112))</f>
        <v>7</v>
      </c>
      <c r="H112">
        <f>IF(ISBLANK(Operations[[#This Row],[Date]]),"",YEAR(F112))</f>
        <v>2024</v>
      </c>
    </row>
    <row r="113" spans="1:8" x14ac:dyDescent="0.25">
      <c r="A113" s="12">
        <v>-1300</v>
      </c>
      <c r="B113" s="10" t="s">
        <v>20</v>
      </c>
      <c r="C113" s="10" t="s">
        <v>22</v>
      </c>
      <c r="D113" s="10" t="s">
        <v>39</v>
      </c>
      <c r="E113" s="10" t="str">
        <f>_xlfn.XLOOKUP(D113,Categories[Category],Categories[Type],"",0,1)</f>
        <v>Transaction</v>
      </c>
      <c r="F113" s="11">
        <v>45488</v>
      </c>
      <c r="G113">
        <f>IF(ISBLANK(Operations[[#This Row],[Date]]),"",MONTH(F113))</f>
        <v>7</v>
      </c>
      <c r="H113">
        <f>IF(ISBLANK(Operations[[#This Row],[Date]]),"",YEAR(F113))</f>
        <v>2024</v>
      </c>
    </row>
    <row r="114" spans="1:8" x14ac:dyDescent="0.25">
      <c r="A114" s="12">
        <v>-300</v>
      </c>
      <c r="B114" s="10" t="s">
        <v>20</v>
      </c>
      <c r="C114" s="10" t="s">
        <v>46</v>
      </c>
      <c r="D114" s="10" t="s">
        <v>6</v>
      </c>
      <c r="E114" s="10" t="str">
        <f>_xlfn.XLOOKUP(D114,Categories[Category],Categories[Type],"",0,1)</f>
        <v>Expenses</v>
      </c>
      <c r="F114" s="11">
        <v>45489</v>
      </c>
      <c r="G114">
        <f>IF(ISBLANK(Operations[[#This Row],[Date]]),"",MONTH(F114))</f>
        <v>7</v>
      </c>
      <c r="H114">
        <f>IF(ISBLANK(Operations[[#This Row],[Date]]),"",YEAR(F114))</f>
        <v>2024</v>
      </c>
    </row>
    <row r="115" spans="1:8" x14ac:dyDescent="0.25">
      <c r="A115" s="12">
        <v>800</v>
      </c>
      <c r="B115" s="10" t="s">
        <v>21</v>
      </c>
      <c r="C115" s="10" t="s">
        <v>25</v>
      </c>
      <c r="D115" s="10" t="s">
        <v>16</v>
      </c>
      <c r="E115" s="10" t="str">
        <f>_xlfn.XLOOKUP(D115,Categories[Category],Categories[Type],"",0,1)</f>
        <v>Income</v>
      </c>
      <c r="F115" s="11">
        <v>45491</v>
      </c>
      <c r="G115">
        <f>IF(ISBLANK(Operations[[#This Row],[Date]]),"",MONTH(F115))</f>
        <v>7</v>
      </c>
      <c r="H115">
        <f>IF(ISBLANK(Operations[[#This Row],[Date]]),"",YEAR(F115))</f>
        <v>2024</v>
      </c>
    </row>
    <row r="116" spans="1:8" x14ac:dyDescent="0.25">
      <c r="A116" s="12">
        <v>-600</v>
      </c>
      <c r="B116" s="10" t="s">
        <v>21</v>
      </c>
      <c r="C116" s="10" t="s">
        <v>22</v>
      </c>
      <c r="D116" s="10" t="s">
        <v>3</v>
      </c>
      <c r="E116" s="10" t="str">
        <f>_xlfn.XLOOKUP(D116,Categories[Category],Categories[Type],"",0,1)</f>
        <v>Expenses</v>
      </c>
      <c r="F116" s="11">
        <v>45494</v>
      </c>
      <c r="G116">
        <f>IF(ISBLANK(Operations[[#This Row],[Date]]),"",MONTH(F116))</f>
        <v>7</v>
      </c>
      <c r="H116">
        <f>IF(ISBLANK(Operations[[#This Row],[Date]]),"",YEAR(F116))</f>
        <v>2024</v>
      </c>
    </row>
    <row r="117" spans="1:8" x14ac:dyDescent="0.25">
      <c r="A117" s="12">
        <v>120</v>
      </c>
      <c r="B117" s="10" t="s">
        <v>20</v>
      </c>
      <c r="C117" s="10" t="s">
        <v>46</v>
      </c>
      <c r="D117" s="10" t="s">
        <v>14</v>
      </c>
      <c r="E117" s="10" t="str">
        <f>_xlfn.XLOOKUP(D117,Categories[Category],Categories[Type],"",0,1)</f>
        <v>Income</v>
      </c>
      <c r="F117" s="11">
        <v>45495</v>
      </c>
      <c r="G117">
        <f>IF(ISBLANK(Operations[[#This Row],[Date]]),"",MONTH(F117))</f>
        <v>7</v>
      </c>
      <c r="H117">
        <f>IF(ISBLANK(Operations[[#This Row],[Date]]),"",YEAR(F117))</f>
        <v>2024</v>
      </c>
    </row>
    <row r="118" spans="1:8" x14ac:dyDescent="0.25">
      <c r="A118" s="12">
        <v>-90</v>
      </c>
      <c r="B118" s="10" t="s">
        <v>20</v>
      </c>
      <c r="C118" s="10" t="s">
        <v>22</v>
      </c>
      <c r="D118" s="10" t="s">
        <v>5</v>
      </c>
      <c r="E118" s="10" t="str">
        <f>_xlfn.XLOOKUP(D118,Categories[Category],Categories[Type],"",0,1)</f>
        <v>Expenses</v>
      </c>
      <c r="F118" s="11">
        <v>45497</v>
      </c>
      <c r="G118">
        <f>IF(ISBLANK(Operations[[#This Row],[Date]]),"",MONTH(F118))</f>
        <v>7</v>
      </c>
      <c r="H118">
        <f>IF(ISBLANK(Operations[[#This Row],[Date]]),"",YEAR(F118))</f>
        <v>2024</v>
      </c>
    </row>
    <row r="119" spans="1:8" x14ac:dyDescent="0.25">
      <c r="A119" s="12">
        <v>-50</v>
      </c>
      <c r="B119" s="10" t="s">
        <v>20</v>
      </c>
      <c r="C119" s="10" t="s">
        <v>45</v>
      </c>
      <c r="D119" s="10" t="s">
        <v>2</v>
      </c>
      <c r="E119" s="10" t="str">
        <f>_xlfn.XLOOKUP(D119,Categories[Category],Categories[Type],"",0,1)</f>
        <v>Expenses</v>
      </c>
      <c r="F119" s="11">
        <v>45499</v>
      </c>
      <c r="G119">
        <f>IF(ISBLANK(Operations[[#This Row],[Date]]),"",MONTH(F119))</f>
        <v>7</v>
      </c>
      <c r="H119">
        <f>IF(ISBLANK(Operations[[#This Row],[Date]]),"",YEAR(F119))</f>
        <v>2024</v>
      </c>
    </row>
    <row r="120" spans="1:8" x14ac:dyDescent="0.25">
      <c r="A120" s="12">
        <v>250</v>
      </c>
      <c r="B120" s="10" t="s">
        <v>21</v>
      </c>
      <c r="C120" s="10" t="s">
        <v>25</v>
      </c>
      <c r="D120" s="10" t="s">
        <v>4</v>
      </c>
      <c r="E120" s="10" t="str">
        <f>_xlfn.XLOOKUP(D120,Categories[Category],Categories[Type],"",0,1)</f>
        <v>Expenses</v>
      </c>
      <c r="F120" s="11">
        <v>45502</v>
      </c>
      <c r="G120">
        <f>IF(ISBLANK(Operations[[#This Row],[Date]]),"",MONTH(F120))</f>
        <v>7</v>
      </c>
      <c r="H120">
        <f>IF(ISBLANK(Operations[[#This Row],[Date]]),"",YEAR(F120))</f>
        <v>2024</v>
      </c>
    </row>
    <row r="121" spans="1:8" x14ac:dyDescent="0.25">
      <c r="A121" s="12">
        <v>500</v>
      </c>
      <c r="B121" s="10" t="s">
        <v>21</v>
      </c>
      <c r="C121" s="10" t="s">
        <v>22</v>
      </c>
      <c r="D121" s="10" t="s">
        <v>28</v>
      </c>
      <c r="E121" s="10" t="str">
        <f>_xlfn.XLOOKUP(D121,Categories[Category],Categories[Type],"",0,1)</f>
        <v>Income</v>
      </c>
      <c r="F121" s="11">
        <v>45503</v>
      </c>
      <c r="G121">
        <f>IF(ISBLANK(Operations[[#This Row],[Date]]),"",MONTH(F121))</f>
        <v>7</v>
      </c>
      <c r="H121">
        <f>IF(ISBLANK(Operations[[#This Row],[Date]]),"",YEAR(F121))</f>
        <v>2024</v>
      </c>
    </row>
    <row r="122" spans="1:8" x14ac:dyDescent="0.25">
      <c r="A122" s="12">
        <v>-45</v>
      </c>
      <c r="B122" s="10" t="s">
        <v>20</v>
      </c>
      <c r="C122" s="10" t="s">
        <v>45</v>
      </c>
      <c r="D122" s="10" t="s">
        <v>2</v>
      </c>
      <c r="E122" s="10" t="str">
        <f>_xlfn.XLOOKUP(D122,Categories[Category],Categories[Type],"",0,1)</f>
        <v>Expenses</v>
      </c>
      <c r="F122" s="11">
        <v>45504</v>
      </c>
      <c r="G122">
        <f>IF(ISBLANK(Operations[[#This Row],[Date]]),"",MONTH(F122))</f>
        <v>7</v>
      </c>
      <c r="H122">
        <f>IF(ISBLANK(Operations[[#This Row],[Date]]),"",YEAR(F122))</f>
        <v>2024</v>
      </c>
    </row>
    <row r="123" spans="1:8" x14ac:dyDescent="0.25">
      <c r="A123" s="12">
        <v>-600</v>
      </c>
      <c r="B123" s="10" t="s">
        <v>20</v>
      </c>
      <c r="C123" s="10" t="s">
        <v>22</v>
      </c>
      <c r="D123" s="10" t="s">
        <v>2</v>
      </c>
      <c r="E123" s="10" t="str">
        <f>_xlfn.XLOOKUP(D123,Categories[Category],Categories[Type],"",0,1)</f>
        <v>Expenses</v>
      </c>
      <c r="F123" s="11">
        <v>45505</v>
      </c>
      <c r="G123">
        <f>IF(ISBLANK(Operations[[#This Row],[Date]]),"",MONTH(F123))</f>
        <v>8</v>
      </c>
      <c r="H123">
        <f>IF(ISBLANK(Operations[[#This Row],[Date]]),"",YEAR(F123))</f>
        <v>2024</v>
      </c>
    </row>
    <row r="124" spans="1:8" x14ac:dyDescent="0.25">
      <c r="A124" s="12">
        <v>-1020</v>
      </c>
      <c r="B124" s="10" t="s">
        <v>20</v>
      </c>
      <c r="C124" s="10" t="s">
        <v>46</v>
      </c>
      <c r="D124" s="10" t="s">
        <v>39</v>
      </c>
      <c r="E124" s="10" t="str">
        <f>_xlfn.XLOOKUP(D124,Categories[Category],Categories[Type],"",0,1)</f>
        <v>Transaction</v>
      </c>
      <c r="F124" s="11">
        <v>45505</v>
      </c>
      <c r="G124">
        <f>IF(ISBLANK(Operations[[#This Row],[Date]]),"",MONTH(F124))</f>
        <v>8</v>
      </c>
      <c r="H124">
        <f>IF(ISBLANK(Operations[[#This Row],[Date]]),"",YEAR(F124))</f>
        <v>2024</v>
      </c>
    </row>
    <row r="125" spans="1:8" x14ac:dyDescent="0.25">
      <c r="A125" s="12">
        <v>1020</v>
      </c>
      <c r="B125" s="10" t="s">
        <v>20</v>
      </c>
      <c r="C125" s="10" t="s">
        <v>22</v>
      </c>
      <c r="D125" s="10" t="s">
        <v>39</v>
      </c>
      <c r="E125" s="16" t="str">
        <f>_xlfn.XLOOKUP(D125,Categories[Category],Categories[Type],"",0,1)</f>
        <v>Transaction</v>
      </c>
      <c r="F125" s="11">
        <v>45505</v>
      </c>
      <c r="G125" s="17">
        <f>IF(ISBLANK(Operations[[#This Row],[Date]]),"",MONTH(F125))</f>
        <v>8</v>
      </c>
      <c r="H125" s="17">
        <f>IF(ISBLANK(Operations[[#This Row],[Date]]),"",YEAR(F125))</f>
        <v>2024</v>
      </c>
    </row>
    <row r="126" spans="1:8" x14ac:dyDescent="0.25">
      <c r="A126" s="12">
        <v>-200</v>
      </c>
      <c r="B126" s="10" t="s">
        <v>21</v>
      </c>
      <c r="C126" s="10" t="s">
        <v>22</v>
      </c>
      <c r="D126" s="10" t="s">
        <v>5</v>
      </c>
      <c r="E126" s="10" t="str">
        <f>_xlfn.XLOOKUP(D126,Categories[Category],Categories[Type],"",0,1)</f>
        <v>Expenses</v>
      </c>
      <c r="F126" s="11">
        <v>45505</v>
      </c>
      <c r="G126">
        <f>IF(ISBLANK(Operations[[#This Row],[Date]]),"",MONTH(F126))</f>
        <v>8</v>
      </c>
      <c r="H126">
        <f>IF(ISBLANK(Operations[[#This Row],[Date]]),"",YEAR(F126))</f>
        <v>2024</v>
      </c>
    </row>
    <row r="127" spans="1:8" x14ac:dyDescent="0.25">
      <c r="A127" s="12">
        <v>-70</v>
      </c>
      <c r="B127" s="10" t="s">
        <v>20</v>
      </c>
      <c r="C127" s="10" t="s">
        <v>45</v>
      </c>
      <c r="D127" s="10" t="s">
        <v>2</v>
      </c>
      <c r="E127" s="10" t="str">
        <f>_xlfn.XLOOKUP(D127,Categories[Category],Categories[Type],"",0,1)</f>
        <v>Expenses</v>
      </c>
      <c r="F127" s="11">
        <v>45513</v>
      </c>
      <c r="G127">
        <f>IF(ISBLANK(Operations[[#This Row],[Date]]),"",MONTH(F127))</f>
        <v>8</v>
      </c>
      <c r="H127">
        <f>IF(ISBLANK(Operations[[#This Row],[Date]]),"",YEAR(F127))</f>
        <v>2024</v>
      </c>
    </row>
    <row r="128" spans="1:8" x14ac:dyDescent="0.25">
      <c r="A128" s="12">
        <v>4500</v>
      </c>
      <c r="B128" s="10" t="s">
        <v>20</v>
      </c>
      <c r="C128" s="10" t="s">
        <v>22</v>
      </c>
      <c r="D128" s="10" t="s">
        <v>13</v>
      </c>
      <c r="E128" s="10" t="str">
        <f>_xlfn.XLOOKUP(D128,Categories[Category],Categories[Type],"",0,1)</f>
        <v>Income</v>
      </c>
      <c r="F128" s="11">
        <v>45514</v>
      </c>
      <c r="G128">
        <f>IF(ISBLANK(Operations[[#This Row],[Date]]),"",MONTH(F128))</f>
        <v>8</v>
      </c>
      <c r="H128">
        <f>IF(ISBLANK(Operations[[#This Row],[Date]]),"",YEAR(F128))</f>
        <v>2024</v>
      </c>
    </row>
    <row r="129" spans="1:8" x14ac:dyDescent="0.25">
      <c r="A129" s="12">
        <v>-2000</v>
      </c>
      <c r="B129" s="10" t="s">
        <v>20</v>
      </c>
      <c r="C129" s="10" t="s">
        <v>22</v>
      </c>
      <c r="D129" s="10" t="s">
        <v>44</v>
      </c>
      <c r="E129" s="10" t="str">
        <f>_xlfn.XLOOKUP(D129,Categories[Category],Categories[Type],"",0,1)</f>
        <v>Expenses</v>
      </c>
      <c r="F129" s="11">
        <v>45515</v>
      </c>
      <c r="G129">
        <f>IF(ISBLANK(Operations[[#This Row],[Date]]),"",MONTH(F129))</f>
        <v>8</v>
      </c>
      <c r="H129">
        <f>IF(ISBLANK(Operations[[#This Row],[Date]]),"",YEAR(F129))</f>
        <v>2024</v>
      </c>
    </row>
    <row r="130" spans="1:8" x14ac:dyDescent="0.25">
      <c r="A130" s="12">
        <v>-100</v>
      </c>
      <c r="B130" s="10" t="s">
        <v>21</v>
      </c>
      <c r="C130" s="10" t="s">
        <v>22</v>
      </c>
      <c r="D130" s="10" t="s">
        <v>3</v>
      </c>
      <c r="E130" s="10" t="str">
        <f>_xlfn.XLOOKUP(D130,Categories[Category],Categories[Type],"",0,1)</f>
        <v>Expenses</v>
      </c>
      <c r="F130" s="11">
        <v>45518</v>
      </c>
      <c r="G130">
        <f>IF(ISBLANK(Operations[[#This Row],[Date]]),"",MONTH(F130))</f>
        <v>8</v>
      </c>
      <c r="H130">
        <f>IF(ISBLANK(Operations[[#This Row],[Date]]),"",YEAR(F130))</f>
        <v>2024</v>
      </c>
    </row>
    <row r="131" spans="1:8" x14ac:dyDescent="0.25">
      <c r="A131" s="12">
        <v>135</v>
      </c>
      <c r="B131" s="10" t="s">
        <v>20</v>
      </c>
      <c r="C131" s="10" t="s">
        <v>45</v>
      </c>
      <c r="D131" s="10" t="s">
        <v>39</v>
      </c>
      <c r="E131" s="10" t="str">
        <f>_xlfn.XLOOKUP(D131,Categories[Category],Categories[Type],"",0,1)</f>
        <v>Transaction</v>
      </c>
      <c r="F131" s="11">
        <v>45519</v>
      </c>
      <c r="G131">
        <f>IF(ISBLANK(Operations[[#This Row],[Date]]),"",MONTH(F131))</f>
        <v>8</v>
      </c>
      <c r="H131">
        <f>IF(ISBLANK(Operations[[#This Row],[Date]]),"",YEAR(F131))</f>
        <v>2024</v>
      </c>
    </row>
    <row r="132" spans="1:8" x14ac:dyDescent="0.25">
      <c r="A132" s="12">
        <v>-135</v>
      </c>
      <c r="B132" s="10" t="s">
        <v>20</v>
      </c>
      <c r="C132" s="10" t="s">
        <v>22</v>
      </c>
      <c r="D132" s="10" t="s">
        <v>39</v>
      </c>
      <c r="E132" s="10" t="str">
        <f>_xlfn.XLOOKUP(D132,Categories[Category],Categories[Type],"",0,1)</f>
        <v>Transaction</v>
      </c>
      <c r="F132" s="11">
        <v>45519</v>
      </c>
      <c r="G132">
        <f>IF(ISBLANK(Operations[[#This Row],[Date]]),"",MONTH(F132))</f>
        <v>8</v>
      </c>
      <c r="H132">
        <f>IF(ISBLANK(Operations[[#This Row],[Date]]),"",YEAR(F132))</f>
        <v>2024</v>
      </c>
    </row>
    <row r="133" spans="1:8" x14ac:dyDescent="0.25">
      <c r="A133" s="12">
        <v>-400</v>
      </c>
      <c r="B133" s="10" t="s">
        <v>20</v>
      </c>
      <c r="C133" s="10" t="s">
        <v>22</v>
      </c>
      <c r="D133" s="10" t="s">
        <v>6</v>
      </c>
      <c r="E133" s="10" t="str">
        <f>_xlfn.XLOOKUP(D133,Categories[Category],Categories[Type],"",0,1)</f>
        <v>Expenses</v>
      </c>
      <c r="F133" s="11">
        <v>45520</v>
      </c>
      <c r="G133">
        <f>IF(ISBLANK(Operations[[#This Row],[Date]]),"",MONTH(F133))</f>
        <v>8</v>
      </c>
      <c r="H133">
        <f>IF(ISBLANK(Operations[[#This Row],[Date]]),"",YEAR(F133))</f>
        <v>2024</v>
      </c>
    </row>
    <row r="134" spans="1:8" x14ac:dyDescent="0.25">
      <c r="A134" s="12">
        <v>-32</v>
      </c>
      <c r="B134" s="10" t="s">
        <v>20</v>
      </c>
      <c r="C134" s="10" t="s">
        <v>45</v>
      </c>
      <c r="D134" s="10" t="s">
        <v>2</v>
      </c>
      <c r="E134" s="10" t="str">
        <f>_xlfn.XLOOKUP(D134,Categories[Category],Categories[Type],"",0,1)</f>
        <v>Expenses</v>
      </c>
      <c r="F134" s="11">
        <v>45522</v>
      </c>
      <c r="G134">
        <f>IF(ISBLANK(Operations[[#This Row],[Date]]),"",MONTH(F134))</f>
        <v>8</v>
      </c>
      <c r="H134">
        <f>IF(ISBLANK(Operations[[#This Row],[Date]]),"",YEAR(F134))</f>
        <v>2024</v>
      </c>
    </row>
    <row r="135" spans="1:8" x14ac:dyDescent="0.25">
      <c r="A135" s="12">
        <v>200</v>
      </c>
      <c r="B135" s="10" t="s">
        <v>26</v>
      </c>
      <c r="C135" s="10" t="s">
        <v>27</v>
      </c>
      <c r="D135" s="10" t="s">
        <v>16</v>
      </c>
      <c r="E135" s="10" t="str">
        <f>_xlfn.XLOOKUP(D135,Categories[Category],Categories[Type],"",0,1)</f>
        <v>Income</v>
      </c>
      <c r="F135" s="11">
        <v>45524</v>
      </c>
      <c r="G135">
        <f>IF(ISBLANK(Operations[[#This Row],[Date]]),"",MONTH(F135))</f>
        <v>8</v>
      </c>
      <c r="H135">
        <f>IF(ISBLANK(Operations[[#This Row],[Date]]),"",YEAR(F135))</f>
        <v>2024</v>
      </c>
    </row>
    <row r="136" spans="1:8" x14ac:dyDescent="0.25">
      <c r="A136" s="12">
        <v>-150</v>
      </c>
      <c r="B136" s="10" t="s">
        <v>26</v>
      </c>
      <c r="C136" s="10" t="s">
        <v>27</v>
      </c>
      <c r="D136" s="10" t="s">
        <v>3</v>
      </c>
      <c r="E136" s="10" t="str">
        <f>_xlfn.XLOOKUP(D136,Categories[Category],Categories[Type],"",0,1)</f>
        <v>Expenses</v>
      </c>
      <c r="F136" s="11">
        <v>45526</v>
      </c>
      <c r="G136">
        <f>IF(ISBLANK(Operations[[#This Row],[Date]]),"",MONTH(F136))</f>
        <v>8</v>
      </c>
      <c r="H136">
        <f>IF(ISBLANK(Operations[[#This Row],[Date]]),"",YEAR(F136))</f>
        <v>2024</v>
      </c>
    </row>
    <row r="137" spans="1:8" x14ac:dyDescent="0.25">
      <c r="A137" s="12">
        <v>-47.5</v>
      </c>
      <c r="B137" s="10" t="s">
        <v>26</v>
      </c>
      <c r="C137" s="10" t="s">
        <v>27</v>
      </c>
      <c r="D137" s="10" t="s">
        <v>2</v>
      </c>
      <c r="E137" s="10" t="str">
        <f>_xlfn.XLOOKUP(D137,Categories[Category],Categories[Type],"",0,1)</f>
        <v>Expenses</v>
      </c>
      <c r="F137" s="11">
        <v>45527</v>
      </c>
      <c r="G137">
        <f>IF(ISBLANK(Operations[[#This Row],[Date]]),"",MONTH(F137))</f>
        <v>8</v>
      </c>
      <c r="H137">
        <f>IF(ISBLANK(Operations[[#This Row],[Date]]),"",YEAR(F137))</f>
        <v>2024</v>
      </c>
    </row>
    <row r="138" spans="1:8" x14ac:dyDescent="0.25">
      <c r="A138" s="12">
        <v>-90</v>
      </c>
      <c r="B138" s="10" t="s">
        <v>20</v>
      </c>
      <c r="C138" s="10" t="s">
        <v>22</v>
      </c>
      <c r="D138" s="10" t="s">
        <v>5</v>
      </c>
      <c r="E138" s="10" t="str">
        <f>_xlfn.XLOOKUP(D138,Categories[Category],Categories[Type],"",0,1)</f>
        <v>Expenses</v>
      </c>
      <c r="F138" s="11">
        <v>45528</v>
      </c>
      <c r="G138">
        <f>IF(ISBLANK(Operations[[#This Row],[Date]]),"",MONTH(F138))</f>
        <v>8</v>
      </c>
      <c r="H138">
        <f>IF(ISBLANK(Operations[[#This Row],[Date]]),"",YEAR(F138))</f>
        <v>2024</v>
      </c>
    </row>
    <row r="139" spans="1:8" x14ac:dyDescent="0.25">
      <c r="A139" s="12">
        <v>-300</v>
      </c>
      <c r="B139" s="10" t="s">
        <v>21</v>
      </c>
      <c r="C139" s="10" t="s">
        <v>25</v>
      </c>
      <c r="D139" s="10" t="s">
        <v>4</v>
      </c>
      <c r="E139" s="10" t="str">
        <f>_xlfn.XLOOKUP(D139,Categories[Category],Categories[Type],"",0,1)</f>
        <v>Expenses</v>
      </c>
      <c r="F139" s="11">
        <v>45531</v>
      </c>
      <c r="G139">
        <f>IF(ISBLANK(Operations[[#This Row],[Date]]),"",MONTH(F139))</f>
        <v>8</v>
      </c>
      <c r="H139">
        <f>IF(ISBLANK(Operations[[#This Row],[Date]]),"",YEAR(F139))</f>
        <v>2024</v>
      </c>
    </row>
    <row r="140" spans="1:8" x14ac:dyDescent="0.25">
      <c r="A140" s="12">
        <v>500</v>
      </c>
      <c r="B140" s="10" t="s">
        <v>21</v>
      </c>
      <c r="C140" s="10" t="s">
        <v>22</v>
      </c>
      <c r="D140" s="10" t="s">
        <v>28</v>
      </c>
      <c r="E140" s="10" t="str">
        <f>_xlfn.XLOOKUP(D140,Categories[Category],Categories[Type],"",0,1)</f>
        <v>Income</v>
      </c>
      <c r="F140" s="11">
        <v>45534</v>
      </c>
      <c r="G140">
        <f>IF(ISBLANK(Operations[[#This Row],[Date]]),"",MONTH(F140))</f>
        <v>8</v>
      </c>
      <c r="H140">
        <f>IF(ISBLANK(Operations[[#This Row],[Date]]),"",YEAR(F140))</f>
        <v>2024</v>
      </c>
    </row>
    <row r="141" spans="1:8" x14ac:dyDescent="0.25">
      <c r="A141" s="12">
        <v>200</v>
      </c>
      <c r="B141" s="10" t="s">
        <v>20</v>
      </c>
      <c r="C141" s="10" t="s">
        <v>22</v>
      </c>
      <c r="D141" s="10" t="s">
        <v>16</v>
      </c>
      <c r="E141" s="10" t="str">
        <f>_xlfn.XLOOKUP(D141,Categories[Category],Categories[Type],"",0,1)</f>
        <v>Income</v>
      </c>
      <c r="F141" s="11">
        <v>45535</v>
      </c>
      <c r="G141">
        <f>IF(ISBLANK(Operations[[#This Row],[Date]]),"",MONTH(F141))</f>
        <v>8</v>
      </c>
      <c r="H141">
        <f>IF(ISBLANK(Operations[[#This Row],[Date]]),"",YEAR(F141))</f>
        <v>2024</v>
      </c>
    </row>
    <row r="142" spans="1:8" x14ac:dyDescent="0.25">
      <c r="A142" s="12">
        <v>-150</v>
      </c>
      <c r="B142" s="10" t="s">
        <v>20</v>
      </c>
      <c r="C142" s="10" t="s">
        <v>22</v>
      </c>
      <c r="D142" s="10" t="s">
        <v>5</v>
      </c>
      <c r="E142" s="10" t="str">
        <f>_xlfn.XLOOKUP(D142,Categories[Category],Categories[Type],"",0,1)</f>
        <v>Expenses</v>
      </c>
      <c r="F142" s="11">
        <v>45536</v>
      </c>
      <c r="G142">
        <f>IF(ISBLANK(Operations[[#This Row],[Date]]),"",MONTH(F142))</f>
        <v>9</v>
      </c>
      <c r="H142">
        <f>IF(ISBLANK(Operations[[#This Row],[Date]]),"",YEAR(F142))</f>
        <v>2024</v>
      </c>
    </row>
    <row r="143" spans="1:8" x14ac:dyDescent="0.25">
      <c r="A143" s="12">
        <v>-20</v>
      </c>
      <c r="B143" s="10" t="s">
        <v>21</v>
      </c>
      <c r="C143" s="10" t="s">
        <v>22</v>
      </c>
      <c r="D143" s="10" t="s">
        <v>2</v>
      </c>
      <c r="E143" s="10" t="str">
        <f>_xlfn.XLOOKUP(D143,Categories[Category],Categories[Type],"",0,1)</f>
        <v>Expenses</v>
      </c>
      <c r="F143" s="11">
        <v>45539</v>
      </c>
      <c r="G143">
        <f>IF(ISBLANK(Operations[[#This Row],[Date]]),"",MONTH(F143))</f>
        <v>9</v>
      </c>
      <c r="H143">
        <f>IF(ISBLANK(Operations[[#This Row],[Date]]),"",YEAR(F143))</f>
        <v>2024</v>
      </c>
    </row>
    <row r="144" spans="1:8" x14ac:dyDescent="0.25">
      <c r="A144" s="12">
        <v>-40</v>
      </c>
      <c r="B144" s="10" t="s">
        <v>20</v>
      </c>
      <c r="C144" s="10" t="s">
        <v>22</v>
      </c>
      <c r="D144" s="10" t="s">
        <v>7</v>
      </c>
      <c r="E144" s="10" t="str">
        <f>_xlfn.XLOOKUP(D144,Categories[Category],Categories[Type],"",0,1)</f>
        <v>Expenses</v>
      </c>
      <c r="F144" s="11">
        <v>45542</v>
      </c>
      <c r="G144">
        <f>IF(ISBLANK(Operations[[#This Row],[Date]]),"",MONTH(F144))</f>
        <v>9</v>
      </c>
      <c r="H144">
        <f>IF(ISBLANK(Operations[[#This Row],[Date]]),"",YEAR(F144))</f>
        <v>2024</v>
      </c>
    </row>
    <row r="145" spans="1:8" x14ac:dyDescent="0.25">
      <c r="A145" s="12">
        <v>-500</v>
      </c>
      <c r="B145" s="10" t="s">
        <v>20</v>
      </c>
      <c r="C145" s="10" t="s">
        <v>22</v>
      </c>
      <c r="D145" s="10" t="s">
        <v>2</v>
      </c>
      <c r="E145" s="10" t="str">
        <f>_xlfn.XLOOKUP(D145,Categories[Category],Categories[Type],"",0,1)</f>
        <v>Expenses</v>
      </c>
      <c r="F145" s="11">
        <v>45543</v>
      </c>
      <c r="G145">
        <f>IF(ISBLANK(Operations[[#This Row],[Date]]),"",MONTH(F145))</f>
        <v>9</v>
      </c>
      <c r="H145">
        <f>IF(ISBLANK(Operations[[#This Row],[Date]]),"",YEAR(F145))</f>
        <v>2024</v>
      </c>
    </row>
    <row r="146" spans="1:8" x14ac:dyDescent="0.25">
      <c r="A146" s="12">
        <v>4500</v>
      </c>
      <c r="B146" s="10" t="s">
        <v>20</v>
      </c>
      <c r="C146" s="10" t="s">
        <v>22</v>
      </c>
      <c r="D146" s="10" t="s">
        <v>13</v>
      </c>
      <c r="E146" s="10" t="str">
        <f>_xlfn.XLOOKUP(D146,Categories[Category],Categories[Type],"",0,1)</f>
        <v>Income</v>
      </c>
      <c r="F146" s="11">
        <v>45545</v>
      </c>
      <c r="G146">
        <f>IF(ISBLANK(Operations[[#This Row],[Date]]),"",MONTH(F146))</f>
        <v>9</v>
      </c>
      <c r="H146">
        <f>IF(ISBLANK(Operations[[#This Row],[Date]]),"",YEAR(F146))</f>
        <v>2024</v>
      </c>
    </row>
    <row r="147" spans="1:8" x14ac:dyDescent="0.25">
      <c r="A147" s="12">
        <v>-20</v>
      </c>
      <c r="B147" s="10" t="s">
        <v>20</v>
      </c>
      <c r="C147" s="10" t="s">
        <v>45</v>
      </c>
      <c r="D147" s="10" t="s">
        <v>3</v>
      </c>
      <c r="E147" s="10" t="str">
        <f>_xlfn.XLOOKUP(D147,Categories[Category],Categories[Type],"",0,1)</f>
        <v>Expenses</v>
      </c>
      <c r="F147" s="11">
        <v>45546</v>
      </c>
      <c r="G147">
        <f>IF(ISBLANK(Operations[[#This Row],[Date]]),"",MONTH(F147))</f>
        <v>9</v>
      </c>
      <c r="H147">
        <f>IF(ISBLANK(Operations[[#This Row],[Date]]),"",YEAR(F147))</f>
        <v>2024</v>
      </c>
    </row>
    <row r="148" spans="1:8" x14ac:dyDescent="0.25">
      <c r="A148" s="12">
        <v>-2000</v>
      </c>
      <c r="B148" s="10" t="s">
        <v>20</v>
      </c>
      <c r="C148" s="10" t="s">
        <v>22</v>
      </c>
      <c r="D148" s="10" t="s">
        <v>44</v>
      </c>
      <c r="E148" s="10" t="str">
        <f>_xlfn.XLOOKUP(D148,Categories[Category],Categories[Type],"",0,1)</f>
        <v>Expenses</v>
      </c>
      <c r="F148" s="11">
        <v>45546</v>
      </c>
      <c r="G148">
        <f>IF(ISBLANK(Operations[[#This Row],[Date]]),"",MONTH(F148))</f>
        <v>9</v>
      </c>
      <c r="H148">
        <f>IF(ISBLANK(Operations[[#This Row],[Date]]),"",YEAR(F148))</f>
        <v>2024</v>
      </c>
    </row>
    <row r="149" spans="1:8" x14ac:dyDescent="0.25">
      <c r="A149" s="12">
        <v>102</v>
      </c>
      <c r="B149" s="10" t="s">
        <v>20</v>
      </c>
      <c r="C149" s="10" t="s">
        <v>45</v>
      </c>
      <c r="D149" s="10" t="s">
        <v>39</v>
      </c>
      <c r="E149" s="10" t="str">
        <f>_xlfn.XLOOKUP(D149,Categories[Category],Categories[Type],"",0,1)</f>
        <v>Transaction</v>
      </c>
      <c r="F149" s="11">
        <v>45550</v>
      </c>
      <c r="G149">
        <f>IF(ISBLANK(Operations[[#This Row],[Date]]),"",MONTH(F149))</f>
        <v>9</v>
      </c>
      <c r="H149">
        <f>IF(ISBLANK(Operations[[#This Row],[Date]]),"",YEAR(F149))</f>
        <v>2024</v>
      </c>
    </row>
    <row r="150" spans="1:8" x14ac:dyDescent="0.25">
      <c r="A150" s="12">
        <v>-102</v>
      </c>
      <c r="B150" s="10" t="s">
        <v>20</v>
      </c>
      <c r="C150" s="10" t="s">
        <v>22</v>
      </c>
      <c r="D150" s="10" t="s">
        <v>39</v>
      </c>
      <c r="E150" s="10" t="str">
        <f>_xlfn.XLOOKUP(D150,Categories[Category],Categories[Type],"",0,1)</f>
        <v>Transaction</v>
      </c>
      <c r="F150" s="11">
        <v>45550</v>
      </c>
      <c r="G150">
        <f>IF(ISBLANK(Operations[[#This Row],[Date]]),"",MONTH(F150))</f>
        <v>9</v>
      </c>
      <c r="H150">
        <f>IF(ISBLANK(Operations[[#This Row],[Date]]),"",YEAR(F150))</f>
        <v>2024</v>
      </c>
    </row>
    <row r="151" spans="1:8" x14ac:dyDescent="0.25">
      <c r="A151" s="12">
        <v>-18.5</v>
      </c>
      <c r="B151" s="10" t="s">
        <v>20</v>
      </c>
      <c r="C151" s="10" t="s">
        <v>22</v>
      </c>
      <c r="D151" s="10" t="s">
        <v>2</v>
      </c>
      <c r="E151" s="10" t="str">
        <f>_xlfn.XLOOKUP(D151,Categories[Category],Categories[Type],"",0,1)</f>
        <v>Expenses</v>
      </c>
      <c r="F151" s="11">
        <v>45553</v>
      </c>
      <c r="G151">
        <f>IF(ISBLANK(Operations[[#This Row],[Date]]),"",MONTH(F151))</f>
        <v>9</v>
      </c>
      <c r="H151">
        <f>IF(ISBLANK(Operations[[#This Row],[Date]]),"",YEAR(F151))</f>
        <v>2024</v>
      </c>
    </row>
    <row r="152" spans="1:8" x14ac:dyDescent="0.25">
      <c r="A152" s="12">
        <v>-150</v>
      </c>
      <c r="B152" s="10" t="s">
        <v>20</v>
      </c>
      <c r="C152" s="10" t="s">
        <v>22</v>
      </c>
      <c r="D152" s="10" t="s">
        <v>5</v>
      </c>
      <c r="E152" s="10" t="str">
        <f>_xlfn.XLOOKUP(D152,Categories[Category],Categories[Type],"",0,1)</f>
        <v>Expenses</v>
      </c>
      <c r="F152" s="11">
        <v>45566</v>
      </c>
      <c r="G152">
        <f>IF(ISBLANK(Operations[[#This Row],[Date]]),"",MONTH(F152))</f>
        <v>10</v>
      </c>
      <c r="H152">
        <f>IF(ISBLANK(Operations[[#This Row],[Date]]),"",YEAR(F152))</f>
        <v>2024</v>
      </c>
    </row>
    <row r="153" spans="1:8" x14ac:dyDescent="0.25">
      <c r="A153" s="12">
        <v>-40</v>
      </c>
      <c r="B153" s="10" t="s">
        <v>20</v>
      </c>
      <c r="C153" s="10" t="s">
        <v>22</v>
      </c>
      <c r="D153" s="10" t="s">
        <v>7</v>
      </c>
      <c r="E153" s="10" t="str">
        <f>_xlfn.XLOOKUP(D153,Categories[Category],Categories[Type],"",0,1)</f>
        <v>Expenses</v>
      </c>
      <c r="F153" s="11">
        <v>45572</v>
      </c>
      <c r="G153">
        <f>IF(ISBLANK(Operations[[#This Row],[Date]]),"",MONTH(F153))</f>
        <v>10</v>
      </c>
      <c r="H153">
        <f>IF(ISBLANK(Operations[[#This Row],[Date]]),"",YEAR(F153))</f>
        <v>2024</v>
      </c>
    </row>
    <row r="154" spans="1:8" x14ac:dyDescent="0.25">
      <c r="A154" s="12">
        <v>-600</v>
      </c>
      <c r="B154" s="10" t="s">
        <v>20</v>
      </c>
      <c r="C154" s="10" t="s">
        <v>22</v>
      </c>
      <c r="D154" s="10" t="s">
        <v>2</v>
      </c>
      <c r="E154" s="10" t="str">
        <f>_xlfn.XLOOKUP(D154,Categories[Category],Categories[Type],"",0,1)</f>
        <v>Expenses</v>
      </c>
      <c r="F154" s="11">
        <v>45573</v>
      </c>
      <c r="G154">
        <f>IF(ISBLANK(Operations[[#This Row],[Date]]),"",MONTH(F154))</f>
        <v>10</v>
      </c>
      <c r="H154">
        <f>IF(ISBLANK(Operations[[#This Row],[Date]]),"",YEAR(F154))</f>
        <v>2024</v>
      </c>
    </row>
    <row r="155" spans="1:8" x14ac:dyDescent="0.25">
      <c r="A155" s="12">
        <v>4500</v>
      </c>
      <c r="B155" s="10" t="s">
        <v>20</v>
      </c>
      <c r="C155" s="10" t="s">
        <v>22</v>
      </c>
      <c r="D155" s="10" t="s">
        <v>13</v>
      </c>
      <c r="E155" s="10" t="str">
        <f>_xlfn.XLOOKUP(D155,Categories[Category],Categories[Type],"",0,1)</f>
        <v>Income</v>
      </c>
      <c r="F155" s="11">
        <v>45575</v>
      </c>
      <c r="G155">
        <f>IF(ISBLANK(Operations[[#This Row],[Date]]),"",MONTH(F155))</f>
        <v>10</v>
      </c>
      <c r="H155">
        <f>IF(ISBLANK(Operations[[#This Row],[Date]]),"",YEAR(F155))</f>
        <v>2024</v>
      </c>
    </row>
    <row r="156" spans="1:8" x14ac:dyDescent="0.25">
      <c r="A156" s="12">
        <v>-40</v>
      </c>
      <c r="B156" s="10" t="s">
        <v>20</v>
      </c>
      <c r="C156" s="10" t="s">
        <v>45</v>
      </c>
      <c r="D156" s="10" t="s">
        <v>3</v>
      </c>
      <c r="E156" s="10" t="str">
        <f>_xlfn.XLOOKUP(D156,Categories[Category],Categories[Type],"",0,1)</f>
        <v>Expenses</v>
      </c>
      <c r="F156" s="11">
        <v>45576</v>
      </c>
      <c r="G156">
        <f>IF(ISBLANK(Operations[[#This Row],[Date]]),"",MONTH(F156))</f>
        <v>10</v>
      </c>
      <c r="H156">
        <f>IF(ISBLANK(Operations[[#This Row],[Date]]),"",YEAR(F156))</f>
        <v>2024</v>
      </c>
    </row>
    <row r="157" spans="1:8" x14ac:dyDescent="0.25">
      <c r="A157" s="12">
        <v>-2000</v>
      </c>
      <c r="B157" s="10" t="s">
        <v>20</v>
      </c>
      <c r="C157" s="10" t="s">
        <v>22</v>
      </c>
      <c r="D157" s="10" t="s">
        <v>44</v>
      </c>
      <c r="E157" s="10" t="str">
        <f>_xlfn.XLOOKUP(D157,Categories[Category],Categories[Type],"",0,1)</f>
        <v>Expenses</v>
      </c>
      <c r="F157" s="11">
        <v>45576</v>
      </c>
      <c r="G157">
        <f>IF(ISBLANK(Operations[[#This Row],[Date]]),"",MONTH(F157))</f>
        <v>10</v>
      </c>
      <c r="H157">
        <f>IF(ISBLANK(Operations[[#This Row],[Date]]),"",YEAR(F157))</f>
        <v>2024</v>
      </c>
    </row>
    <row r="158" spans="1:8" x14ac:dyDescent="0.25">
      <c r="A158" s="12">
        <v>20</v>
      </c>
      <c r="B158" s="10" t="s">
        <v>20</v>
      </c>
      <c r="C158" s="10" t="s">
        <v>45</v>
      </c>
      <c r="D158" s="10" t="s">
        <v>39</v>
      </c>
      <c r="E158" s="10" t="str">
        <f>_xlfn.XLOOKUP(D158,Categories[Category],Categories[Type],"",0,1)</f>
        <v>Transaction</v>
      </c>
      <c r="F158" s="11">
        <v>45580</v>
      </c>
      <c r="G158">
        <f>IF(ISBLANK(Operations[[#This Row],[Date]]),"",MONTH(F158))</f>
        <v>10</v>
      </c>
      <c r="H158">
        <f>IF(ISBLANK(Operations[[#This Row],[Date]]),"",YEAR(F158))</f>
        <v>2024</v>
      </c>
    </row>
    <row r="159" spans="1:8" x14ac:dyDescent="0.25">
      <c r="A159" s="12">
        <v>-20</v>
      </c>
      <c r="B159" s="10" t="s">
        <v>20</v>
      </c>
      <c r="C159" s="10" t="s">
        <v>22</v>
      </c>
      <c r="D159" s="10" t="s">
        <v>39</v>
      </c>
      <c r="E159" s="10" t="str">
        <f>_xlfn.XLOOKUP(D159,Categories[Category],Categories[Type],"",0,1)</f>
        <v>Transaction</v>
      </c>
      <c r="F159" s="11">
        <v>45580</v>
      </c>
      <c r="G159">
        <f>IF(ISBLANK(Operations[[#This Row],[Date]]),"",MONTH(F159))</f>
        <v>10</v>
      </c>
      <c r="H159">
        <f>IF(ISBLANK(Operations[[#This Row],[Date]]),"",YEAR(F159))</f>
        <v>2024</v>
      </c>
    </row>
    <row r="160" spans="1:8" x14ac:dyDescent="0.25">
      <c r="A160" s="12">
        <v>4500</v>
      </c>
      <c r="B160" s="10" t="s">
        <v>20</v>
      </c>
      <c r="C160" s="10" t="s">
        <v>22</v>
      </c>
      <c r="D160" s="10" t="s">
        <v>13</v>
      </c>
      <c r="E160" s="10" t="str">
        <f>_xlfn.XLOOKUP(D160,Categories[Category],Categories[Type],"",0,1)</f>
        <v>Income</v>
      </c>
      <c r="F160" s="11">
        <v>45606</v>
      </c>
      <c r="G160">
        <f>IF(ISBLANK(Operations[[#This Row],[Date]]),"",MONTH(F160))</f>
        <v>11</v>
      </c>
      <c r="H160">
        <f>IF(ISBLANK(Operations[[#This Row],[Date]]),"",YEAR(F160))</f>
        <v>2024</v>
      </c>
    </row>
    <row r="161" spans="1:8" x14ac:dyDescent="0.25">
      <c r="A161" s="12">
        <v>-2000</v>
      </c>
      <c r="B161" s="10" t="s">
        <v>20</v>
      </c>
      <c r="C161" s="10" t="s">
        <v>22</v>
      </c>
      <c r="D161" s="10" t="s">
        <v>44</v>
      </c>
      <c r="E161" s="10" t="str">
        <f>_xlfn.XLOOKUP(D161,Categories[Category],Categories[Type],"",0,1)</f>
        <v>Expenses</v>
      </c>
      <c r="F161" s="11">
        <v>45607</v>
      </c>
      <c r="G161">
        <f>IF(ISBLANK(Operations[[#This Row],[Date]]),"",MONTH(F161))</f>
        <v>11</v>
      </c>
      <c r="H161">
        <f>IF(ISBLANK(Operations[[#This Row],[Date]]),"",YEAR(F161))</f>
        <v>2024</v>
      </c>
    </row>
    <row r="162" spans="1:8" x14ac:dyDescent="0.25">
      <c r="A162" s="12">
        <v>-82</v>
      </c>
      <c r="B162" s="10" t="s">
        <v>20</v>
      </c>
      <c r="C162" s="10" t="s">
        <v>22</v>
      </c>
      <c r="D162" s="10" t="s">
        <v>5</v>
      </c>
      <c r="E162" s="10" t="str">
        <f>_xlfn.XLOOKUP(D162,Categories[Category],Categories[Type],"",0,1)</f>
        <v>Expenses</v>
      </c>
      <c r="F162" s="11">
        <v>45607</v>
      </c>
      <c r="G162">
        <f>IF(ISBLANK(Operations[[#This Row],[Date]]),"",MONTH(F162))</f>
        <v>11</v>
      </c>
      <c r="H162">
        <f>IF(ISBLANK(Operations[[#This Row],[Date]]),"",YEAR(F162))</f>
        <v>2024</v>
      </c>
    </row>
    <row r="163" spans="1:8" x14ac:dyDescent="0.25">
      <c r="A163" s="12">
        <v>-200</v>
      </c>
      <c r="B163" s="10" t="s">
        <v>20</v>
      </c>
      <c r="C163" s="10" t="s">
        <v>22</v>
      </c>
      <c r="D163" s="10" t="s">
        <v>2</v>
      </c>
      <c r="E163" s="10" t="str">
        <f>_xlfn.XLOOKUP(D163,Categories[Category],Categories[Type],"",0,1)</f>
        <v>Expenses</v>
      </c>
      <c r="F163" s="11">
        <v>45607</v>
      </c>
      <c r="G163">
        <f>IF(ISBLANK(Operations[[#This Row],[Date]]),"",MONTH(F163))</f>
        <v>11</v>
      </c>
      <c r="H163">
        <f>IF(ISBLANK(Operations[[#This Row],[Date]]),"",YEAR(F163))</f>
        <v>2024</v>
      </c>
    </row>
    <row r="164" spans="1:8" x14ac:dyDescent="0.25">
      <c r="A164" s="12">
        <v>-12</v>
      </c>
      <c r="B164" s="10" t="s">
        <v>20</v>
      </c>
      <c r="C164" s="10" t="s">
        <v>22</v>
      </c>
      <c r="D164" s="10" t="s">
        <v>7</v>
      </c>
      <c r="E164" s="10" t="str">
        <f>_xlfn.XLOOKUP(D164,Categories[Category],Categories[Type],"",0,1)</f>
        <v>Expenses</v>
      </c>
      <c r="F164" s="11">
        <v>45608</v>
      </c>
      <c r="G164">
        <f>IF(ISBLANK(Operations[[#This Row],[Date]]),"",MONTH(F164))</f>
        <v>11</v>
      </c>
      <c r="H164">
        <f>IF(ISBLANK(Operations[[#This Row],[Date]]),"",YEAR(F164))</f>
        <v>2024</v>
      </c>
    </row>
    <row r="165" spans="1:8" x14ac:dyDescent="0.25">
      <c r="A165" s="12">
        <v>-90</v>
      </c>
      <c r="B165" s="10" t="s">
        <v>20</v>
      </c>
      <c r="C165" s="10" t="s">
        <v>22</v>
      </c>
      <c r="D165" s="10" t="s">
        <v>3</v>
      </c>
      <c r="E165" s="10" t="str">
        <f>_xlfn.XLOOKUP(D165,Categories[Category],Categories[Type],"",0,1)</f>
        <v>Expenses</v>
      </c>
      <c r="F165" s="11">
        <v>45610</v>
      </c>
      <c r="G165">
        <f>IF(ISBLANK(Operations[[#This Row],[Date]]),"",MONTH(F165))</f>
        <v>11</v>
      </c>
      <c r="H165">
        <f>IF(ISBLANK(Operations[[#This Row],[Date]]),"",YEAR(F165))</f>
        <v>2024</v>
      </c>
    </row>
    <row r="166" spans="1:8" x14ac:dyDescent="0.25">
      <c r="A166" s="12">
        <v>40</v>
      </c>
      <c r="B166" s="10" t="s">
        <v>20</v>
      </c>
      <c r="C166" s="10" t="s">
        <v>45</v>
      </c>
      <c r="D166" s="10" t="s">
        <v>39</v>
      </c>
      <c r="E166" s="10" t="str">
        <f>_xlfn.XLOOKUP(D166,Categories[Category],Categories[Type],"",0,1)</f>
        <v>Transaction</v>
      </c>
      <c r="F166" s="11">
        <v>45611</v>
      </c>
      <c r="G166">
        <f>IF(ISBLANK(Operations[[#This Row],[Date]]),"",MONTH(F166))</f>
        <v>11</v>
      </c>
      <c r="H166">
        <f>IF(ISBLANK(Operations[[#This Row],[Date]]),"",YEAR(F166))</f>
        <v>2024</v>
      </c>
    </row>
    <row r="167" spans="1:8" x14ac:dyDescent="0.25">
      <c r="A167" s="12">
        <v>-40</v>
      </c>
      <c r="B167" s="10" t="s">
        <v>20</v>
      </c>
      <c r="C167" s="10" t="s">
        <v>22</v>
      </c>
      <c r="D167" s="10" t="s">
        <v>39</v>
      </c>
      <c r="E167" s="10" t="str">
        <f>_xlfn.XLOOKUP(D167,Categories[Category],Categories[Type],"",0,1)</f>
        <v>Transaction</v>
      </c>
      <c r="F167" s="11">
        <v>45611</v>
      </c>
      <c r="G167">
        <f>IF(ISBLANK(Operations[[#This Row],[Date]]),"",MONTH(F167))</f>
        <v>11</v>
      </c>
      <c r="H167">
        <f>IF(ISBLANK(Operations[[#This Row],[Date]]),"",YEAR(F167))</f>
        <v>2024</v>
      </c>
    </row>
    <row r="168" spans="1:8" x14ac:dyDescent="0.25">
      <c r="A168" s="12">
        <v>-28</v>
      </c>
      <c r="B168" s="10" t="s">
        <v>20</v>
      </c>
      <c r="C168" s="10" t="s">
        <v>22</v>
      </c>
      <c r="D168" s="10" t="s">
        <v>2</v>
      </c>
      <c r="E168" s="10" t="str">
        <f>_xlfn.XLOOKUP(D168,Categories[Category],Categories[Type],"",0,1)</f>
        <v>Expenses</v>
      </c>
      <c r="F168" s="11">
        <v>45612</v>
      </c>
      <c r="G168">
        <f>IF(ISBLANK(Operations[[#This Row],[Date]]),"",MONTH(F168))</f>
        <v>11</v>
      </c>
      <c r="H168">
        <f>IF(ISBLANK(Operations[[#This Row],[Date]]),"",YEAR(F168))</f>
        <v>2024</v>
      </c>
    </row>
    <row r="169" spans="1:8" x14ac:dyDescent="0.25">
      <c r="A169" s="12">
        <v>-63</v>
      </c>
      <c r="B169" s="10" t="s">
        <v>20</v>
      </c>
      <c r="C169" s="10" t="s">
        <v>22</v>
      </c>
      <c r="D169" s="10" t="s">
        <v>6</v>
      </c>
      <c r="E169" s="10" t="str">
        <f>_xlfn.XLOOKUP(D169,Categories[Category],Categories[Type],"",0,1)</f>
        <v>Expenses</v>
      </c>
      <c r="F169" s="11">
        <v>45613</v>
      </c>
      <c r="G169">
        <f>IF(ISBLANK(Operations[[#This Row],[Date]]),"",MONTH(F169))</f>
        <v>11</v>
      </c>
      <c r="H169">
        <f>IF(ISBLANK(Operations[[#This Row],[Date]]),"",YEAR(F169))</f>
        <v>2024</v>
      </c>
    </row>
    <row r="170" spans="1:8" x14ac:dyDescent="0.25">
      <c r="A170" s="12">
        <v>-15</v>
      </c>
      <c r="B170" s="10" t="s">
        <v>20</v>
      </c>
      <c r="C170" s="10" t="s">
        <v>22</v>
      </c>
      <c r="D170" s="10" t="s">
        <v>5</v>
      </c>
      <c r="E170" s="10" t="str">
        <f>_xlfn.XLOOKUP(D170,Categories[Category],Categories[Type],"",0,1)</f>
        <v>Expenses</v>
      </c>
      <c r="F170" s="11">
        <v>45613</v>
      </c>
      <c r="G170">
        <f>IF(ISBLANK(Operations[[#This Row],[Date]]),"",MONTH(F170))</f>
        <v>11</v>
      </c>
      <c r="H170">
        <f>IF(ISBLANK(Operations[[#This Row],[Date]]),"",YEAR(F170))</f>
        <v>2024</v>
      </c>
    </row>
    <row r="171" spans="1:8" x14ac:dyDescent="0.25">
      <c r="A171" s="12">
        <v>-44</v>
      </c>
      <c r="B171" s="10" t="s">
        <v>20</v>
      </c>
      <c r="C171" s="10" t="s">
        <v>22</v>
      </c>
      <c r="D171" s="10" t="s">
        <v>2</v>
      </c>
      <c r="E171" s="10" t="str">
        <f>_xlfn.XLOOKUP(D171,Categories[Category],Categories[Type],"",0,1)</f>
        <v>Expenses</v>
      </c>
      <c r="F171" s="11">
        <v>45615</v>
      </c>
      <c r="G171">
        <f>IF(ISBLANK(Operations[[#This Row],[Date]]),"",MONTH(F171))</f>
        <v>11</v>
      </c>
      <c r="H171">
        <f>IF(ISBLANK(Operations[[#This Row],[Date]]),"",YEAR(F171))</f>
        <v>2024</v>
      </c>
    </row>
    <row r="172" spans="1:8" x14ac:dyDescent="0.25">
      <c r="A172" s="12">
        <v>-107</v>
      </c>
      <c r="B172" s="10" t="s">
        <v>20</v>
      </c>
      <c r="C172" s="10" t="s">
        <v>22</v>
      </c>
      <c r="D172" s="10" t="s">
        <v>4</v>
      </c>
      <c r="E172" s="10" t="str">
        <f>_xlfn.XLOOKUP(D172,Categories[Category],Categories[Type],"",0,1)</f>
        <v>Expenses</v>
      </c>
      <c r="F172" s="11">
        <v>45616</v>
      </c>
      <c r="G172">
        <f>IF(ISBLANK(Operations[[#This Row],[Date]]),"",MONTH(F172))</f>
        <v>11</v>
      </c>
      <c r="H172">
        <f>IF(ISBLANK(Operations[[#This Row],[Date]]),"",YEAR(F172))</f>
        <v>2024</v>
      </c>
    </row>
    <row r="173" spans="1:8" x14ac:dyDescent="0.25">
      <c r="A173" s="12">
        <v>-169</v>
      </c>
      <c r="B173" s="10" t="s">
        <v>20</v>
      </c>
      <c r="C173" s="10" t="s">
        <v>22</v>
      </c>
      <c r="D173" s="10" t="s">
        <v>11</v>
      </c>
      <c r="E173" s="10" t="str">
        <f>_xlfn.XLOOKUP(D173,Categories[Category],Categories[Type],"",0,1)</f>
        <v>Expenses</v>
      </c>
      <c r="F173" s="11">
        <v>45617</v>
      </c>
      <c r="G173">
        <f>IF(ISBLANK(Operations[[#This Row],[Date]]),"",MONTH(F173))</f>
        <v>11</v>
      </c>
      <c r="H173">
        <f>IF(ISBLANK(Operations[[#This Row],[Date]]),"",YEAR(F173))</f>
        <v>2024</v>
      </c>
    </row>
    <row r="174" spans="1:8" x14ac:dyDescent="0.25">
      <c r="A174" s="12">
        <v>-51</v>
      </c>
      <c r="B174" s="10" t="s">
        <v>20</v>
      </c>
      <c r="C174" s="10" t="s">
        <v>22</v>
      </c>
      <c r="D174" s="10" t="s">
        <v>4</v>
      </c>
      <c r="E174" s="10" t="str">
        <f>_xlfn.XLOOKUP(D174,Categories[Category],Categories[Type],"",0,1)</f>
        <v>Expenses</v>
      </c>
      <c r="F174" s="11">
        <v>45618</v>
      </c>
      <c r="G174">
        <f>IF(ISBLANK(Operations[[#This Row],[Date]]),"",MONTH(F174))</f>
        <v>11</v>
      </c>
      <c r="H174">
        <f>IF(ISBLANK(Operations[[#This Row],[Date]]),"",YEAR(F174))</f>
        <v>2024</v>
      </c>
    </row>
    <row r="175" spans="1:8" x14ac:dyDescent="0.25">
      <c r="A175" s="12">
        <v>-80</v>
      </c>
      <c r="B175" s="10" t="s">
        <v>20</v>
      </c>
      <c r="C175" s="10" t="s">
        <v>22</v>
      </c>
      <c r="D175" s="10" t="s">
        <v>2</v>
      </c>
      <c r="E175" s="10" t="str">
        <f>_xlfn.XLOOKUP(D175,Categories[Category],Categories[Type],"",0,1)</f>
        <v>Expenses</v>
      </c>
      <c r="F175" s="11">
        <v>45618</v>
      </c>
      <c r="G175">
        <f>IF(ISBLANK(Operations[[#This Row],[Date]]),"",MONTH(F175))</f>
        <v>11</v>
      </c>
      <c r="H175">
        <f>IF(ISBLANK(Operations[[#This Row],[Date]]),"",YEAR(F175))</f>
        <v>2024</v>
      </c>
    </row>
    <row r="176" spans="1:8" x14ac:dyDescent="0.25">
      <c r="A176" s="12">
        <v>-70</v>
      </c>
      <c r="B176" s="10" t="s">
        <v>20</v>
      </c>
      <c r="C176" s="10" t="s">
        <v>22</v>
      </c>
      <c r="D176" s="10" t="s">
        <v>6</v>
      </c>
      <c r="E176" s="10" t="str">
        <f>_xlfn.XLOOKUP(D176,Categories[Category],Categories[Type],"",0,1)</f>
        <v>Expenses</v>
      </c>
      <c r="F176" s="11">
        <v>45618</v>
      </c>
      <c r="G176">
        <f>IF(ISBLANK(Operations[[#This Row],[Date]]),"",MONTH(F176))</f>
        <v>11</v>
      </c>
      <c r="H176">
        <f>IF(ISBLANK(Operations[[#This Row],[Date]]),"",YEAR(F176))</f>
        <v>2024</v>
      </c>
    </row>
    <row r="177" spans="1:8" x14ac:dyDescent="0.25">
      <c r="A177" s="12">
        <v>-35</v>
      </c>
      <c r="B177" s="10" t="s">
        <v>20</v>
      </c>
      <c r="C177" s="10" t="s">
        <v>22</v>
      </c>
      <c r="D177" s="10" t="s">
        <v>7</v>
      </c>
      <c r="E177" s="10" t="str">
        <f>_xlfn.XLOOKUP(D177,Categories[Category],Categories[Type],"",0,1)</f>
        <v>Expenses</v>
      </c>
      <c r="F177" s="11">
        <v>45619</v>
      </c>
      <c r="G177">
        <f>IF(ISBLANK(Operations[[#This Row],[Date]]),"",MONTH(F177))</f>
        <v>11</v>
      </c>
      <c r="H177">
        <f>IF(ISBLANK(Operations[[#This Row],[Date]]),"",YEAR(F177))</f>
        <v>2024</v>
      </c>
    </row>
    <row r="178" spans="1:8" x14ac:dyDescent="0.25">
      <c r="A178" s="12">
        <v>-11</v>
      </c>
      <c r="B178" s="10" t="s">
        <v>20</v>
      </c>
      <c r="C178" s="10" t="s">
        <v>22</v>
      </c>
      <c r="D178" s="10" t="s">
        <v>5</v>
      </c>
      <c r="E178" s="10" t="str">
        <f>_xlfn.XLOOKUP(D178,Categories[Category],Categories[Type],"",0,1)</f>
        <v>Expenses</v>
      </c>
      <c r="F178" s="11">
        <v>45619</v>
      </c>
      <c r="G178">
        <f>IF(ISBLANK(Operations[[#This Row],[Date]]),"",MONTH(F178))</f>
        <v>11</v>
      </c>
      <c r="H178">
        <f>IF(ISBLANK(Operations[[#This Row],[Date]]),"",YEAR(F178))</f>
        <v>2024</v>
      </c>
    </row>
    <row r="179" spans="1:8" x14ac:dyDescent="0.25">
      <c r="A179" s="12">
        <v>-80</v>
      </c>
      <c r="B179" s="10" t="s">
        <v>20</v>
      </c>
      <c r="C179" s="10" t="s">
        <v>22</v>
      </c>
      <c r="D179" s="10" t="s">
        <v>3</v>
      </c>
      <c r="E179" s="10" t="str">
        <f>_xlfn.XLOOKUP(D179,Categories[Category],Categories[Type],"",0,1)</f>
        <v>Expenses</v>
      </c>
      <c r="F179" s="11">
        <v>45621</v>
      </c>
      <c r="G179">
        <f>IF(ISBLANK(Operations[[#This Row],[Date]]),"",MONTH(F179))</f>
        <v>11</v>
      </c>
      <c r="H179">
        <f>IF(ISBLANK(Operations[[#This Row],[Date]]),"",YEAR(F179))</f>
        <v>2024</v>
      </c>
    </row>
    <row r="180" spans="1:8" x14ac:dyDescent="0.25">
      <c r="A180" s="12">
        <v>-58</v>
      </c>
      <c r="B180" s="10" t="s">
        <v>20</v>
      </c>
      <c r="C180" s="10" t="s">
        <v>22</v>
      </c>
      <c r="D180" s="10" t="s">
        <v>2</v>
      </c>
      <c r="E180" s="10" t="str">
        <f>_xlfn.XLOOKUP(D180,Categories[Category],Categories[Type],"",0,1)</f>
        <v>Expenses</v>
      </c>
      <c r="F180" s="11">
        <v>45622</v>
      </c>
      <c r="G180">
        <f>IF(ISBLANK(Operations[[#This Row],[Date]]),"",MONTH(F180))</f>
        <v>11</v>
      </c>
      <c r="H180">
        <f>IF(ISBLANK(Operations[[#This Row],[Date]]),"",YEAR(F180))</f>
        <v>2024</v>
      </c>
    </row>
    <row r="181" spans="1:8" x14ac:dyDescent="0.25">
      <c r="A181" s="12">
        <v>-52</v>
      </c>
      <c r="B181" s="10" t="s">
        <v>20</v>
      </c>
      <c r="C181" s="10" t="s">
        <v>22</v>
      </c>
      <c r="D181" s="10" t="s">
        <v>5</v>
      </c>
      <c r="E181" s="10" t="str">
        <f>_xlfn.XLOOKUP(D181,Categories[Category],Categories[Type],"",0,1)</f>
        <v>Expenses</v>
      </c>
      <c r="F181" s="11">
        <v>45623</v>
      </c>
      <c r="G181">
        <f>IF(ISBLANK(Operations[[#This Row],[Date]]),"",MONTH(F181))</f>
        <v>11</v>
      </c>
      <c r="H181">
        <f>IF(ISBLANK(Operations[[#This Row],[Date]]),"",YEAR(F181))</f>
        <v>2024</v>
      </c>
    </row>
    <row r="182" spans="1:8" x14ac:dyDescent="0.25">
      <c r="A182" s="12">
        <v>-44</v>
      </c>
      <c r="B182" s="10" t="s">
        <v>20</v>
      </c>
      <c r="C182" s="10" t="s">
        <v>22</v>
      </c>
      <c r="D182" s="10" t="s">
        <v>3</v>
      </c>
      <c r="E182" s="10" t="str">
        <f>_xlfn.XLOOKUP(D182,Categories[Category],Categories[Type],"",0,1)</f>
        <v>Expenses</v>
      </c>
      <c r="F182" s="11">
        <v>45623</v>
      </c>
      <c r="G182">
        <f>IF(ISBLANK(Operations[[#This Row],[Date]]),"",MONTH(F182))</f>
        <v>11</v>
      </c>
      <c r="H182">
        <f>IF(ISBLANK(Operations[[#This Row],[Date]]),"",YEAR(F182))</f>
        <v>2024</v>
      </c>
    </row>
    <row r="183" spans="1:8" x14ac:dyDescent="0.25">
      <c r="A183" s="12">
        <v>-48</v>
      </c>
      <c r="B183" s="10" t="s">
        <v>20</v>
      </c>
      <c r="C183" s="10" t="s">
        <v>22</v>
      </c>
      <c r="D183" s="10" t="s">
        <v>5</v>
      </c>
      <c r="E183" s="10" t="str">
        <f>_xlfn.XLOOKUP(D183,Categories[Category],Categories[Type],"",0,1)</f>
        <v>Expenses</v>
      </c>
      <c r="F183" s="11">
        <v>45623</v>
      </c>
      <c r="G183">
        <f>IF(ISBLANK(Operations[[#This Row],[Date]]),"",MONTH(F183))</f>
        <v>11</v>
      </c>
      <c r="H183">
        <f>IF(ISBLANK(Operations[[#This Row],[Date]]),"",YEAR(F183))</f>
        <v>2024</v>
      </c>
    </row>
    <row r="184" spans="1:8" x14ac:dyDescent="0.25">
      <c r="A184" s="12">
        <v>-65</v>
      </c>
      <c r="B184" s="10" t="s">
        <v>20</v>
      </c>
      <c r="C184" s="10" t="s">
        <v>22</v>
      </c>
      <c r="D184" s="10" t="s">
        <v>11</v>
      </c>
      <c r="E184" s="10" t="str">
        <f>_xlfn.XLOOKUP(D184,Categories[Category],Categories[Type],"",0,1)</f>
        <v>Expenses</v>
      </c>
      <c r="F184" s="11">
        <v>45624</v>
      </c>
      <c r="G184">
        <f>IF(ISBLANK(Operations[[#This Row],[Date]]),"",MONTH(F184))</f>
        <v>11</v>
      </c>
      <c r="H184">
        <f>IF(ISBLANK(Operations[[#This Row],[Date]]),"",YEAR(F184))</f>
        <v>2024</v>
      </c>
    </row>
    <row r="185" spans="1:8" x14ac:dyDescent="0.25">
      <c r="A185" s="12">
        <v>400</v>
      </c>
      <c r="B185" s="10" t="s">
        <v>26</v>
      </c>
      <c r="C185" s="10" t="s">
        <v>27</v>
      </c>
      <c r="D185" s="10" t="s">
        <v>16</v>
      </c>
      <c r="E185" s="10" t="str">
        <f>_xlfn.XLOOKUP(D185,Categories[Category],Categories[Type],"",0,1)</f>
        <v>Income</v>
      </c>
      <c r="F185" s="11">
        <v>45625</v>
      </c>
      <c r="G185">
        <f>IF(ISBLANK(Operations[[#This Row],[Date]]),"",MONTH(F185))</f>
        <v>11</v>
      </c>
      <c r="H185">
        <f>IF(ISBLANK(Operations[[#This Row],[Date]]),"",YEAR(F185))</f>
        <v>2024</v>
      </c>
    </row>
    <row r="186" spans="1:8" x14ac:dyDescent="0.25">
      <c r="A186" s="12">
        <v>-96</v>
      </c>
      <c r="B186" s="10" t="s">
        <v>20</v>
      </c>
      <c r="C186" s="10" t="s">
        <v>22</v>
      </c>
      <c r="D186" s="10" t="s">
        <v>2</v>
      </c>
      <c r="E186" s="10" t="str">
        <f>_xlfn.XLOOKUP(D186,Categories[Category],Categories[Type],"",0,1)</f>
        <v>Expenses</v>
      </c>
      <c r="F186" s="11">
        <v>45626</v>
      </c>
      <c r="G186">
        <f>IF(ISBLANK(Operations[[#This Row],[Date]]),"",MONTH(F186))</f>
        <v>11</v>
      </c>
      <c r="H186">
        <f>IF(ISBLANK(Operations[[#This Row],[Date]]),"",YEAR(F186))</f>
        <v>2024</v>
      </c>
    </row>
    <row r="187" spans="1:8" x14ac:dyDescent="0.25">
      <c r="A187" s="12">
        <v>-50</v>
      </c>
      <c r="B187" s="10" t="s">
        <v>20</v>
      </c>
      <c r="C187" s="10" t="s">
        <v>22</v>
      </c>
      <c r="D187" s="10" t="s">
        <v>2</v>
      </c>
      <c r="E187" s="10" t="str">
        <f>_xlfn.XLOOKUP(D187,Categories[Category],Categories[Type],"",0,1)</f>
        <v>Expenses</v>
      </c>
      <c r="F187" s="11">
        <v>45627</v>
      </c>
      <c r="G187">
        <f>IF(ISBLANK(Operations[[#This Row],[Date]]),"",MONTH(F187))</f>
        <v>12</v>
      </c>
      <c r="H187">
        <f>IF(ISBLANK(Operations[[#This Row],[Date]]),"",YEAR(F187))</f>
        <v>2024</v>
      </c>
    </row>
    <row r="188" spans="1:8" x14ac:dyDescent="0.25">
      <c r="A188" s="12">
        <v>-50</v>
      </c>
      <c r="B188" s="10" t="s">
        <v>20</v>
      </c>
      <c r="C188" s="10" t="s">
        <v>22</v>
      </c>
      <c r="D188" s="10" t="s">
        <v>2</v>
      </c>
      <c r="E188" s="10" t="str">
        <f>_xlfn.XLOOKUP(D188,Categories[Category],Categories[Type],"",0,1)</f>
        <v>Expenses</v>
      </c>
      <c r="F188" s="11">
        <v>45627</v>
      </c>
      <c r="G188">
        <f>IF(ISBLANK(Operations[[#This Row],[Date]]),"",MONTH(F188))</f>
        <v>12</v>
      </c>
      <c r="H188">
        <f>IF(ISBLANK(Operations[[#This Row],[Date]]),"",YEAR(F188))</f>
        <v>2024</v>
      </c>
    </row>
    <row r="189" spans="1:8" x14ac:dyDescent="0.25">
      <c r="A189" s="12">
        <v>-5</v>
      </c>
      <c r="B189" s="10" t="s">
        <v>20</v>
      </c>
      <c r="C189" s="10" t="s">
        <v>22</v>
      </c>
      <c r="D189" s="10" t="s">
        <v>6</v>
      </c>
      <c r="E189" s="10" t="str">
        <f>_xlfn.XLOOKUP(D189,Categories[Category],Categories[Type],"",0,1)</f>
        <v>Expenses</v>
      </c>
      <c r="F189" s="11">
        <v>45628</v>
      </c>
      <c r="G189">
        <f>IF(ISBLANK(Operations[[#This Row],[Date]]),"",MONTH(F189))</f>
        <v>12</v>
      </c>
      <c r="H189">
        <f>IF(ISBLANK(Operations[[#This Row],[Date]]),"",YEAR(F189))</f>
        <v>2024</v>
      </c>
    </row>
    <row r="190" spans="1:8" x14ac:dyDescent="0.25">
      <c r="A190" s="12">
        <v>-100</v>
      </c>
      <c r="B190" s="10" t="s">
        <v>20</v>
      </c>
      <c r="C190" s="10" t="s">
        <v>22</v>
      </c>
      <c r="D190" s="10" t="s">
        <v>11</v>
      </c>
      <c r="E190" s="10" t="str">
        <f>_xlfn.XLOOKUP(D190,Categories[Category],Categories[Type],"",0,1)</f>
        <v>Expenses</v>
      </c>
      <c r="F190" s="11">
        <v>45628</v>
      </c>
      <c r="G190">
        <f>IF(ISBLANK(Operations[[#This Row],[Date]]),"",MONTH(F190))</f>
        <v>12</v>
      </c>
      <c r="H190">
        <f>IF(ISBLANK(Operations[[#This Row],[Date]]),"",YEAR(F190))</f>
        <v>2024</v>
      </c>
    </row>
    <row r="191" spans="1:8" x14ac:dyDescent="0.25">
      <c r="A191" s="12">
        <v>-60</v>
      </c>
      <c r="B191" s="10" t="s">
        <v>20</v>
      </c>
      <c r="C191" s="10" t="s">
        <v>22</v>
      </c>
      <c r="D191" s="10" t="s">
        <v>4</v>
      </c>
      <c r="E191" s="10" t="str">
        <f>_xlfn.XLOOKUP(D191,Categories[Category],Categories[Type],"",0,1)</f>
        <v>Expenses</v>
      </c>
      <c r="F191" s="11">
        <v>45628</v>
      </c>
      <c r="G191">
        <f>IF(ISBLANK(Operations[[#This Row],[Date]]),"",MONTH(F191))</f>
        <v>12</v>
      </c>
      <c r="H191">
        <f>IF(ISBLANK(Operations[[#This Row],[Date]]),"",YEAR(F191))</f>
        <v>2024</v>
      </c>
    </row>
    <row r="192" spans="1:8" x14ac:dyDescent="0.25">
      <c r="A192" s="12">
        <v>-5</v>
      </c>
      <c r="B192" s="10" t="s">
        <v>20</v>
      </c>
      <c r="C192" s="10" t="s">
        <v>22</v>
      </c>
      <c r="D192" s="10" t="s">
        <v>6</v>
      </c>
      <c r="E192" s="10" t="str">
        <f>_xlfn.XLOOKUP(D192,Categories[Category],Categories[Type],"",0,1)</f>
        <v>Expenses</v>
      </c>
      <c r="F192" s="11">
        <v>45628</v>
      </c>
      <c r="G192">
        <f>IF(ISBLANK(Operations[[#This Row],[Date]]),"",MONTH(F192))</f>
        <v>12</v>
      </c>
      <c r="H192">
        <f>IF(ISBLANK(Operations[[#This Row],[Date]]),"",YEAR(F192))</f>
        <v>2024</v>
      </c>
    </row>
    <row r="193" spans="1:8" x14ac:dyDescent="0.25">
      <c r="A193" s="12">
        <v>-100</v>
      </c>
      <c r="B193" s="10" t="s">
        <v>20</v>
      </c>
      <c r="C193" s="10" t="s">
        <v>22</v>
      </c>
      <c r="D193" s="10" t="s">
        <v>11</v>
      </c>
      <c r="E193" s="10" t="str">
        <f>_xlfn.XLOOKUP(D193,Categories[Category],Categories[Type],"",0,1)</f>
        <v>Expenses</v>
      </c>
      <c r="F193" s="11">
        <v>45628</v>
      </c>
      <c r="G193">
        <f>IF(ISBLANK(Operations[[#This Row],[Date]]),"",MONTH(F193))</f>
        <v>12</v>
      </c>
      <c r="H193">
        <f>IF(ISBLANK(Operations[[#This Row],[Date]]),"",YEAR(F193))</f>
        <v>2024</v>
      </c>
    </row>
    <row r="194" spans="1:8" x14ac:dyDescent="0.25">
      <c r="A194" s="12">
        <v>-60</v>
      </c>
      <c r="B194" s="10" t="s">
        <v>20</v>
      </c>
      <c r="C194" s="10" t="s">
        <v>22</v>
      </c>
      <c r="D194" s="10" t="s">
        <v>4</v>
      </c>
      <c r="E194" s="10" t="str">
        <f>_xlfn.XLOOKUP(D194,Categories[Category],Categories[Type],"",0,1)</f>
        <v>Expenses</v>
      </c>
      <c r="F194" s="11">
        <v>45628</v>
      </c>
      <c r="G194">
        <f>IF(ISBLANK(Operations[[#This Row],[Date]]),"",MONTH(F194))</f>
        <v>12</v>
      </c>
      <c r="H194">
        <f>IF(ISBLANK(Operations[[#This Row],[Date]]),"",YEAR(F194))</f>
        <v>2024</v>
      </c>
    </row>
    <row r="195" spans="1:8" x14ac:dyDescent="0.25">
      <c r="A195" s="12">
        <v>-150</v>
      </c>
      <c r="B195" s="10" t="s">
        <v>20</v>
      </c>
      <c r="C195" s="10" t="s">
        <v>22</v>
      </c>
      <c r="D195" s="10" t="s">
        <v>3</v>
      </c>
      <c r="E195" s="10" t="str">
        <f>_xlfn.XLOOKUP(D195,Categories[Category],Categories[Type],"",0,1)</f>
        <v>Expenses</v>
      </c>
      <c r="F195" s="11">
        <v>45629</v>
      </c>
      <c r="G195">
        <f>IF(ISBLANK(Operations[[#This Row],[Date]]),"",MONTH(F195))</f>
        <v>12</v>
      </c>
      <c r="H195">
        <f>IF(ISBLANK(Operations[[#This Row],[Date]]),"",YEAR(F195))</f>
        <v>2024</v>
      </c>
    </row>
    <row r="196" spans="1:8" x14ac:dyDescent="0.25">
      <c r="A196" s="12">
        <v>-150</v>
      </c>
      <c r="B196" s="10" t="s">
        <v>20</v>
      </c>
      <c r="C196" s="10" t="s">
        <v>22</v>
      </c>
      <c r="D196" s="10" t="s">
        <v>3</v>
      </c>
      <c r="E196" s="10" t="str">
        <f>_xlfn.XLOOKUP(D196,Categories[Category],Categories[Type],"",0,1)</f>
        <v>Expenses</v>
      </c>
      <c r="F196" s="11">
        <v>45629</v>
      </c>
      <c r="G196">
        <f>IF(ISBLANK(Operations[[#This Row],[Date]]),"",MONTH(F196))</f>
        <v>12</v>
      </c>
      <c r="H196">
        <f>IF(ISBLANK(Operations[[#This Row],[Date]]),"",YEAR(F196))</f>
        <v>2024</v>
      </c>
    </row>
    <row r="197" spans="1:8" x14ac:dyDescent="0.25">
      <c r="A197" s="12">
        <v>-100</v>
      </c>
      <c r="B197" s="10" t="s">
        <v>20</v>
      </c>
      <c r="C197" s="10" t="s">
        <v>22</v>
      </c>
      <c r="D197" s="10" t="s">
        <v>2</v>
      </c>
      <c r="E197" s="10" t="str">
        <f>_xlfn.XLOOKUP(D197,Categories[Category],Categories[Type],"",0,1)</f>
        <v>Expenses</v>
      </c>
      <c r="F197" s="11">
        <v>45632</v>
      </c>
      <c r="G197">
        <f>IF(ISBLANK(Operations[[#This Row],[Date]]),"",MONTH(F197))</f>
        <v>12</v>
      </c>
      <c r="H197">
        <f>IF(ISBLANK(Operations[[#This Row],[Date]]),"",YEAR(F197))</f>
        <v>2024</v>
      </c>
    </row>
    <row r="198" spans="1:8" x14ac:dyDescent="0.25">
      <c r="A198" s="12">
        <v>-100</v>
      </c>
      <c r="B198" s="10" t="s">
        <v>20</v>
      </c>
      <c r="C198" s="10" t="s">
        <v>22</v>
      </c>
      <c r="D198" s="10" t="s">
        <v>2</v>
      </c>
      <c r="E198" s="10" t="str">
        <f>_xlfn.XLOOKUP(D198,Categories[Category],Categories[Type],"",0,1)</f>
        <v>Expenses</v>
      </c>
      <c r="F198" s="11">
        <v>45632</v>
      </c>
      <c r="G198">
        <f>IF(ISBLANK(Operations[[#This Row],[Date]]),"",MONTH(F198))</f>
        <v>12</v>
      </c>
      <c r="H198">
        <f>IF(ISBLANK(Operations[[#This Row],[Date]]),"",YEAR(F198))</f>
        <v>2024</v>
      </c>
    </row>
    <row r="199" spans="1:8" x14ac:dyDescent="0.25">
      <c r="A199" s="12">
        <v>4500</v>
      </c>
      <c r="B199" s="10" t="s">
        <v>20</v>
      </c>
      <c r="C199" s="10" t="s">
        <v>22</v>
      </c>
      <c r="D199" s="10" t="s">
        <v>13</v>
      </c>
      <c r="E199" s="10" t="str">
        <f>_xlfn.XLOOKUP(D199,Categories[Category],Categories[Type],"",0,1)</f>
        <v>Income</v>
      </c>
      <c r="F199" s="11">
        <v>45636</v>
      </c>
      <c r="G199">
        <f>IF(ISBLANK(Operations[[#This Row],[Date]]),"",MONTH(F199))</f>
        <v>12</v>
      </c>
      <c r="H199">
        <f>IF(ISBLANK(Operations[[#This Row],[Date]]),"",YEAR(F199))</f>
        <v>2024</v>
      </c>
    </row>
    <row r="200" spans="1:8" x14ac:dyDescent="0.25">
      <c r="A200" s="12">
        <v>-2000</v>
      </c>
      <c r="B200" s="10" t="s">
        <v>20</v>
      </c>
      <c r="C200" s="10" t="s">
        <v>22</v>
      </c>
      <c r="D200" s="10" t="s">
        <v>44</v>
      </c>
      <c r="E200" s="10" t="str">
        <f>_xlfn.XLOOKUP(D200,Categories[Category],Categories[Type],"",0,1)</f>
        <v>Expenses</v>
      </c>
      <c r="F200" s="11">
        <v>45637</v>
      </c>
      <c r="G200">
        <f>IF(ISBLANK(Operations[[#This Row],[Date]]),"",MONTH(F200))</f>
        <v>12</v>
      </c>
      <c r="H200">
        <f>IF(ISBLANK(Operations[[#This Row],[Date]]),"",YEAR(F200))</f>
        <v>2024</v>
      </c>
    </row>
    <row r="201" spans="1:8" x14ac:dyDescent="0.25">
      <c r="A201" s="12">
        <v>-50</v>
      </c>
      <c r="B201" s="10" t="s">
        <v>20</v>
      </c>
      <c r="C201" s="10" t="s">
        <v>22</v>
      </c>
      <c r="D201" s="10" t="s">
        <v>3</v>
      </c>
      <c r="E201" s="10" t="str">
        <f>_xlfn.XLOOKUP(D201,Categories[Category],Categories[Type],"",0,1)</f>
        <v>Expenses</v>
      </c>
      <c r="F201" s="11">
        <v>45640</v>
      </c>
      <c r="G201">
        <f>IF(ISBLANK(Operations[[#This Row],[Date]]),"",MONTH(F201))</f>
        <v>12</v>
      </c>
      <c r="H201">
        <f>IF(ISBLANK(Operations[[#This Row],[Date]]),"",YEAR(F201))</f>
        <v>2024</v>
      </c>
    </row>
    <row r="202" spans="1:8" x14ac:dyDescent="0.25">
      <c r="A202" s="12">
        <v>-100</v>
      </c>
      <c r="B202" s="10" t="s">
        <v>20</v>
      </c>
      <c r="C202" s="10" t="s">
        <v>22</v>
      </c>
      <c r="D202" s="10" t="s">
        <v>8</v>
      </c>
      <c r="E202" s="10" t="str">
        <f>_xlfn.XLOOKUP(D202,Categories[Category],Categories[Type],"",0,1)</f>
        <v>Expenses</v>
      </c>
      <c r="F202" s="11">
        <v>45641</v>
      </c>
      <c r="G202">
        <f>IF(ISBLANK(Operations[[#This Row],[Date]]),"",MONTH(F202))</f>
        <v>12</v>
      </c>
      <c r="H202">
        <f>IF(ISBLANK(Operations[[#This Row],[Date]]),"",YEAR(F202))</f>
        <v>2024</v>
      </c>
    </row>
    <row r="203" spans="1:8" x14ac:dyDescent="0.25">
      <c r="A203" s="12">
        <v>-100</v>
      </c>
      <c r="B203" s="10" t="s">
        <v>20</v>
      </c>
      <c r="C203" s="10" t="s">
        <v>22</v>
      </c>
      <c r="D203" s="10" t="s">
        <v>2</v>
      </c>
      <c r="E203" s="10" t="str">
        <f>_xlfn.XLOOKUP(D203,Categories[Category],Categories[Type],"",0,1)</f>
        <v>Expenses</v>
      </c>
      <c r="F203" s="11">
        <v>45644</v>
      </c>
      <c r="G203">
        <f>IF(ISBLANK(Operations[[#This Row],[Date]]),"",MONTH(F203))</f>
        <v>12</v>
      </c>
      <c r="H203">
        <f>IF(ISBLANK(Operations[[#This Row],[Date]]),"",YEAR(F203))</f>
        <v>2024</v>
      </c>
    </row>
    <row r="204" spans="1:8" x14ac:dyDescent="0.25">
      <c r="A204" s="12">
        <v>500</v>
      </c>
      <c r="B204" s="10" t="s">
        <v>26</v>
      </c>
      <c r="C204" s="10" t="s">
        <v>27</v>
      </c>
      <c r="D204" s="10" t="s">
        <v>16</v>
      </c>
      <c r="E204" s="10" t="str">
        <f>_xlfn.XLOOKUP(D204,Categories[Category],Categories[Type],"",0,1)</f>
        <v>Income</v>
      </c>
      <c r="F204" s="11">
        <v>45648</v>
      </c>
      <c r="G204">
        <f>IF(ISBLANK(Operations[[#This Row],[Date]]),"",MONTH(F204))</f>
        <v>12</v>
      </c>
      <c r="H204">
        <f>IF(ISBLANK(Operations[[#This Row],[Date]]),"",YEAR(F204))</f>
        <v>2024</v>
      </c>
    </row>
    <row r="205" spans="1:8" x14ac:dyDescent="0.25">
      <c r="A205" s="12">
        <v>-100</v>
      </c>
      <c r="B205" s="10" t="s">
        <v>26</v>
      </c>
      <c r="C205" s="10" t="s">
        <v>27</v>
      </c>
      <c r="D205" s="10" t="s">
        <v>3</v>
      </c>
      <c r="E205" s="10" t="str">
        <f>_xlfn.XLOOKUP(D205,Categories[Category],Categories[Type],"",0,1)</f>
        <v>Expenses</v>
      </c>
      <c r="F205" s="11">
        <v>45649</v>
      </c>
      <c r="G205">
        <f>IF(ISBLANK(Operations[[#This Row],[Date]]),"",MONTH(F205))</f>
        <v>12</v>
      </c>
      <c r="H205">
        <f>IF(ISBLANK(Operations[[#This Row],[Date]]),"",YEAR(F205))</f>
        <v>2024</v>
      </c>
    </row>
    <row r="206" spans="1:8" x14ac:dyDescent="0.25">
      <c r="A206" s="12">
        <v>1500</v>
      </c>
      <c r="B206" s="10" t="s">
        <v>26</v>
      </c>
      <c r="C206" s="10" t="s">
        <v>27</v>
      </c>
      <c r="D206" s="10" t="s">
        <v>16</v>
      </c>
      <c r="E206" s="10" t="str">
        <f>_xlfn.XLOOKUP(D206,Categories[Category],Categories[Type],"",0,1)</f>
        <v>Income</v>
      </c>
      <c r="F206" s="11">
        <v>45650</v>
      </c>
      <c r="G206">
        <f>IF(ISBLANK(Operations[[#This Row],[Date]]),"",MONTH(F206))</f>
        <v>12</v>
      </c>
      <c r="H206">
        <f>IF(ISBLANK(Operations[[#This Row],[Date]]),"",YEAR(F206))</f>
        <v>2024</v>
      </c>
    </row>
    <row r="207" spans="1:8" x14ac:dyDescent="0.25">
      <c r="A207" s="12">
        <v>-500</v>
      </c>
      <c r="B207" s="10" t="s">
        <v>26</v>
      </c>
      <c r="C207" s="10" t="s">
        <v>27</v>
      </c>
      <c r="D207" s="10" t="s">
        <v>11</v>
      </c>
      <c r="E207" s="10" t="str">
        <f>_xlfn.XLOOKUP(D207,Categories[Category],Categories[Type],"",0,1)</f>
        <v>Expenses</v>
      </c>
      <c r="F207" s="11">
        <v>45654</v>
      </c>
      <c r="G207">
        <f>IF(ISBLANK(Operations[[#This Row],[Date]]),"",MONTH(F207))</f>
        <v>12</v>
      </c>
      <c r="H207">
        <f>IF(ISBLANK(Operations[[#This Row],[Date]]),"",YEAR(F207))</f>
        <v>2024</v>
      </c>
    </row>
    <row r="208" spans="1:8" x14ac:dyDescent="0.25">
      <c r="A208" s="12">
        <v>-300</v>
      </c>
      <c r="B208" s="10" t="s">
        <v>26</v>
      </c>
      <c r="C208" s="10" t="s">
        <v>27</v>
      </c>
      <c r="D208" s="10" t="s">
        <v>2</v>
      </c>
      <c r="E208" s="10" t="str">
        <f>_xlfn.XLOOKUP(D208,Categories[Category],Categories[Type],"",0,1)</f>
        <v>Expenses</v>
      </c>
      <c r="F208" s="11">
        <v>45656</v>
      </c>
      <c r="G208">
        <f>IF(ISBLANK(Operations[[#This Row],[Date]]),"",MONTH(F208))</f>
        <v>12</v>
      </c>
      <c r="H208">
        <f>IF(ISBLANK(Operations[[#This Row],[Date]]),"",YEAR(F208))</f>
        <v>2024</v>
      </c>
    </row>
    <row r="209" spans="1:8" x14ac:dyDescent="0.25">
      <c r="A209" s="13">
        <v>2000</v>
      </c>
      <c r="B209" t="s">
        <v>26</v>
      </c>
      <c r="C209" t="s">
        <v>27</v>
      </c>
      <c r="D209" t="s">
        <v>15</v>
      </c>
      <c r="E209" t="str">
        <f>_xlfn.XLOOKUP(D209,Categories[Category],Categories[Type],"",0,1)</f>
        <v>Income</v>
      </c>
      <c r="F209" s="9">
        <v>45656</v>
      </c>
      <c r="G209">
        <f>IF(ISBLANK(Operations[[#This Row],[Date]]),"",MONTH(F209))</f>
        <v>12</v>
      </c>
      <c r="H209">
        <f>IF(ISBLANK(Operations[[#This Row],[Date]]),"",YEAR(F209))</f>
        <v>2024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6D177E2-B718-4F54-8512-0A601632127F}">
          <x14:formula1>
            <xm:f>Dictionary!$D$1:$F$1</xm:f>
          </x14:formula1>
          <xm:sqref>B1:B209</xm:sqref>
        </x14:dataValidation>
        <x14:dataValidation type="list" allowBlank="1" showInputMessage="1" showErrorMessage="1" xr:uid="{0EA4AC7B-87A7-4AD8-90F7-8CB2648B8D13}">
          <x14:formula1>
            <xm:f>Dictionary!$A$2:$A$21</xm:f>
          </x14:formula1>
          <xm:sqref>D2:D209</xm:sqref>
        </x14:dataValidation>
        <x14:dataValidation type="list" allowBlank="1" showInputMessage="1" showErrorMessage="1" xr:uid="{6D2F3177-9C7C-4404-AC1F-6ECF11C5868F}">
          <x14:formula1>
            <xm:f>CHOOSE(MATCH(B2,Dictionary!$D$1:$F$1, 0),Dictionary!$D$2:$D$4,Dictionary!$E$2:$E$3,Dictionary!$F$2:$F$3)</xm:f>
          </x14:formula1>
          <xm:sqref>C2:C209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89D9-541D-4D9A-8883-55D34DC8CC31}">
  <dimension ref="A1:O15"/>
  <sheetViews>
    <sheetView tabSelected="1"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18.42578125" bestFit="1" customWidth="1"/>
    <col min="3" max="3" width="10.5703125" bestFit="1" customWidth="1"/>
    <col min="4" max="4" width="11.28515625" bestFit="1" customWidth="1"/>
    <col min="5" max="6" width="10.5703125" bestFit="1" customWidth="1"/>
    <col min="7" max="7" width="10.7109375" bestFit="1" customWidth="1"/>
    <col min="8" max="10" width="11" bestFit="1" customWidth="1"/>
    <col min="11" max="11" width="13" customWidth="1"/>
    <col min="12" max="12" width="11" bestFit="1" customWidth="1"/>
    <col min="13" max="13" width="12.5703125" customWidth="1"/>
    <col min="14" max="14" width="12.28515625" customWidth="1"/>
    <col min="15" max="15" width="10.85546875" bestFit="1" customWidth="1"/>
  </cols>
  <sheetData>
    <row r="1" spans="1:15" x14ac:dyDescent="0.25">
      <c r="A1" t="s">
        <v>32</v>
      </c>
      <c r="B1" t="s">
        <v>33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5" x14ac:dyDescent="0.25">
      <c r="A2" t="s">
        <v>20</v>
      </c>
      <c r="B2" t="s">
        <v>22</v>
      </c>
      <c r="C2" s="13" cm="1">
        <f t="array" aca="1" ref="C2" ca="1">INDIRECT(Table28[[#Headers],[January]]&amp;"_Balance[@[Closing Balance]]")</f>
        <v>3100</v>
      </c>
      <c r="D2" s="13" cm="1">
        <f t="array" aca="1" ref="D2" ca="1">INDIRECT(Table28[[#Headers],[February]]&amp;"_Balance[@[Closing Balance]]")</f>
        <v>5139.5</v>
      </c>
      <c r="E2" s="13" cm="1">
        <f t="array" aca="1" ref="E2" ca="1">INDIRECT(Table28[[#Headers],[March]]&amp;"_Balance[@[Closing Balance]]")</f>
        <v>5961.1</v>
      </c>
      <c r="F2" s="13" cm="1">
        <f t="array" aca="1" ref="F2" ca="1">INDIRECT(Table28[[#Headers],[April]]&amp;"_Balance[@[Closing Balance]]")</f>
        <v>6523.83</v>
      </c>
      <c r="G2" s="13" cm="1">
        <f t="array" aca="1" ref="G2" ca="1">INDIRECT(Table28[[#Headers],[May]]&amp;"_Balance[@[Closing Balance]]")</f>
        <v>8852.44</v>
      </c>
      <c r="H2" s="13" cm="1">
        <f t="array" aca="1" ref="H2" ca="1">INDIRECT(Table28[[#Headers],[June]]&amp;"_Balance[@[Closing Balance]]")</f>
        <v>10272.44</v>
      </c>
      <c r="I2" s="13" cm="1">
        <f t="array" aca="1" ref="I2" ca="1">INDIRECT(Table28[[#Headers],[July]]&amp;"_Balance[@[Closing Balance]]")</f>
        <v>11282.44</v>
      </c>
      <c r="J2" s="13" cm="1">
        <f t="array" aca="1" ref="J2" ca="1">INDIRECT(Table28[[#Headers],[August]]&amp;"_Balance[@[Closing Balance]]")</f>
        <v>13777.44</v>
      </c>
      <c r="K2" s="13" cm="1">
        <f t="array" aca="1" ref="K2" ca="1">INDIRECT(Table28[[#Headers],[September]]&amp;"_Balance[@[Closing Balance]]")</f>
        <v>15466.94</v>
      </c>
      <c r="L2" s="13" cm="1">
        <f t="array" aca="1" ref="L2" ca="1">INDIRECT(Table28[[#Headers],[October]]&amp;"_Balance[@[Closing Balance]]")</f>
        <v>17156.940000000002</v>
      </c>
      <c r="M2" s="13" cm="1">
        <f t="array" aca="1" ref="M2" ca="1">INDIRECT(Table28[[#Headers],[November]]&amp;"_Balance[@[Closing Balance]]")</f>
        <v>18116.940000000002</v>
      </c>
      <c r="N2" s="13" cm="1">
        <f t="array" aca="1" ref="N2" ca="1">INDIRECT(Table28[[#Headers],[December]]&amp;"_Balance[@[Closing Balance]]")</f>
        <v>19436.940000000002</v>
      </c>
    </row>
    <row r="3" spans="1:15" x14ac:dyDescent="0.25">
      <c r="A3" t="s">
        <v>20</v>
      </c>
      <c r="B3" t="s">
        <v>23</v>
      </c>
      <c r="C3" s="13" cm="1">
        <f t="array" aca="1" ref="C3" ca="1">INDIRECT(Table28[[#Headers],[January]]&amp;"_Balance[@[Closing Balance]]")</f>
        <v>-175</v>
      </c>
      <c r="D3" s="13" cm="1">
        <f t="array" aca="1" ref="D3" ca="1">INDIRECT(Table28[[#Headers],[February]]&amp;"_Balance[@[Closing Balance]]")</f>
        <v>0</v>
      </c>
      <c r="E3" s="13" cm="1">
        <f t="array" aca="1" ref="E3" ca="1">INDIRECT(Table28[[#Headers],[March]]&amp;"_Balance[@[Closing Balance]]")</f>
        <v>-104.5</v>
      </c>
      <c r="F3" s="13" cm="1">
        <f t="array" aca="1" ref="F3" ca="1">INDIRECT(Table28[[#Headers],[April]]&amp;"_Balance[@[Closing Balance]]")</f>
        <v>-91.389999999999986</v>
      </c>
      <c r="G3" s="13" cm="1">
        <f t="array" aca="1" ref="G3" ca="1">INDIRECT(Table28[[#Headers],[May]]&amp;"_Balance[@[Closing Balance]]")</f>
        <v>-1000</v>
      </c>
      <c r="H3" s="13" cm="1">
        <f t="array" aca="1" ref="H3" ca="1">INDIRECT(Table28[[#Headers],[June]]&amp;"_Balance[@[Closing Balance]]")</f>
        <v>-1300</v>
      </c>
      <c r="I3" s="13" cm="1">
        <f t="array" aca="1" ref="I3" ca="1">INDIRECT(Table28[[#Headers],[July]]&amp;"_Balance[@[Closing Balance]]")</f>
        <v>-135</v>
      </c>
      <c r="J3" s="13" cm="1">
        <f t="array" aca="1" ref="J3" ca="1">INDIRECT(Table28[[#Headers],[August]]&amp;"_Balance[@[Closing Balance]]")</f>
        <v>-102</v>
      </c>
      <c r="K3" s="13" cm="1">
        <f t="array" aca="1" ref="K3" ca="1">INDIRECT(Table28[[#Headers],[September]]&amp;"_Balance[@[Closing Balance]]")</f>
        <v>-20</v>
      </c>
      <c r="L3" s="13" cm="1">
        <f t="array" aca="1" ref="L3" ca="1">INDIRECT(Table28[[#Headers],[October]]&amp;"_Balance[@[Closing Balance]]")</f>
        <v>-40</v>
      </c>
      <c r="M3" s="13" cm="1">
        <f t="array" aca="1" ref="M3" ca="1">INDIRECT(Table28[[#Headers],[November]]&amp;"_Balance[@[Closing Balance]]")</f>
        <v>0</v>
      </c>
      <c r="N3" s="13" cm="1">
        <f t="array" aca="1" ref="N3" ca="1">INDIRECT(Table28[[#Headers],[December]]&amp;"_Balance[@[Closing Balance]]")</f>
        <v>0</v>
      </c>
    </row>
    <row r="4" spans="1:15" x14ac:dyDescent="0.25">
      <c r="A4" t="s">
        <v>20</v>
      </c>
      <c r="B4" t="s">
        <v>24</v>
      </c>
      <c r="C4" s="13" cm="1">
        <f t="array" aca="1" ref="C4" ca="1">INDIRECT(Table28[[#Headers],[January]]&amp;"_Balance[@[Closing Balance]]")</f>
        <v>1600</v>
      </c>
      <c r="D4" s="13" cm="1">
        <f t="array" aca="1" ref="D4" ca="1">INDIRECT(Table28[[#Headers],[February]]&amp;"_Balance[@[Closing Balance]]")</f>
        <v>1200</v>
      </c>
      <c r="E4" s="13" cm="1">
        <f t="array" aca="1" ref="E4" ca="1">INDIRECT(Table28[[#Headers],[March]]&amp;"_Balance[@[Closing Balance]]")</f>
        <v>1200</v>
      </c>
      <c r="F4" s="13" cm="1">
        <f t="array" aca="1" ref="F4" ca="1">INDIRECT(Table28[[#Headers],[April]]&amp;"_Balance[@[Closing Balance]]")</f>
        <v>1200</v>
      </c>
      <c r="G4" s="13" cm="1">
        <f t="array" aca="1" ref="G4" ca="1">INDIRECT(Table28[[#Headers],[May]]&amp;"_Balance[@[Closing Balance]]")</f>
        <v>1200</v>
      </c>
      <c r="H4" s="13" cm="1">
        <f t="array" aca="1" ref="H4" ca="1">INDIRECT(Table28[[#Headers],[June]]&amp;"_Balance[@[Closing Balance]]")</f>
        <v>1200</v>
      </c>
      <c r="I4" s="13" cm="1">
        <f t="array" aca="1" ref="I4" ca="1">INDIRECT(Table28[[#Headers],[July]]&amp;"_Balance[@[Closing Balance]]")</f>
        <v>1020</v>
      </c>
      <c r="J4" s="13" cm="1">
        <f t="array" aca="1" ref="J4" ca="1">INDIRECT(Table28[[#Headers],[August]]&amp;"_Balance[@[Closing Balance]]")</f>
        <v>0</v>
      </c>
      <c r="K4" s="13" cm="1">
        <f t="array" aca="1" ref="K4" ca="1">INDIRECT(Table28[[#Headers],[September]]&amp;"_Balance[@[Closing Balance]]")</f>
        <v>0</v>
      </c>
      <c r="L4" s="13" cm="1">
        <f t="array" aca="1" ref="L4" ca="1">INDIRECT(Table28[[#Headers],[October]]&amp;"_Balance[@[Closing Balance]]")</f>
        <v>0</v>
      </c>
      <c r="M4" s="13" cm="1">
        <f t="array" aca="1" ref="M4" ca="1">INDIRECT(Table28[[#Headers],[November]]&amp;"_Balance[@[Closing Balance]]")</f>
        <v>0</v>
      </c>
      <c r="N4" s="13" cm="1">
        <f t="array" aca="1" ref="N4" ca="1">INDIRECT(Table28[[#Headers],[December]]&amp;"_Balance[@[Closing Balance]]")</f>
        <v>0</v>
      </c>
    </row>
    <row r="5" spans="1:15" x14ac:dyDescent="0.25">
      <c r="A5" t="s">
        <v>21</v>
      </c>
      <c r="B5" t="s">
        <v>22</v>
      </c>
      <c r="C5" s="13" cm="1">
        <f t="array" aca="1" ref="C5" ca="1">INDIRECT(Table28[[#Headers],[January]]&amp;"_Balance[@[Closing Balance]]")</f>
        <v>65</v>
      </c>
      <c r="D5" s="13" cm="1">
        <f t="array" aca="1" ref="D5" ca="1">INDIRECT(Table28[[#Headers],[February]]&amp;"_Balance[@[Closing Balance]]")</f>
        <v>100</v>
      </c>
      <c r="E5" s="13" cm="1">
        <f t="array" aca="1" ref="E5" ca="1">INDIRECT(Table28[[#Headers],[March]]&amp;"_Balance[@[Closing Balance]]")</f>
        <v>167.5</v>
      </c>
      <c r="F5" s="13" cm="1">
        <f t="array" aca="1" ref="F5" ca="1">INDIRECT(Table28[[#Headers],[April]]&amp;"_Balance[@[Closing Balance]]")</f>
        <v>268.5</v>
      </c>
      <c r="G5" s="13" cm="1">
        <f t="array" aca="1" ref="G5" ca="1">INDIRECT(Table28[[#Headers],[May]]&amp;"_Balance[@[Closing Balance]]")</f>
        <v>218.5</v>
      </c>
      <c r="H5" s="13" cm="1">
        <f t="array" aca="1" ref="H5" ca="1">INDIRECT(Table28[[#Headers],[June]]&amp;"_Balance[@[Closing Balance]]")</f>
        <v>468.5</v>
      </c>
      <c r="I5" s="13" cm="1">
        <f t="array" aca="1" ref="I5" ca="1">INDIRECT(Table28[[#Headers],[July]]&amp;"_Balance[@[Closing Balance]]")</f>
        <v>368.5</v>
      </c>
      <c r="J5" s="13" cm="1">
        <f t="array" aca="1" ref="J5" ca="1">INDIRECT(Table28[[#Headers],[August]]&amp;"_Balance[@[Closing Balance]]")</f>
        <v>568.5</v>
      </c>
      <c r="K5" s="13" cm="1">
        <f t="array" aca="1" ref="K5" ca="1">INDIRECT(Table28[[#Headers],[September]]&amp;"_Balance[@[Closing Balance]]")</f>
        <v>548.5</v>
      </c>
      <c r="L5" s="13" cm="1">
        <f t="array" aca="1" ref="L5" ca="1">INDIRECT(Table28[[#Headers],[October]]&amp;"_Balance[@[Closing Balance]]")</f>
        <v>548.5</v>
      </c>
      <c r="M5" s="13" cm="1">
        <f t="array" aca="1" ref="M5" ca="1">INDIRECT(Table28[[#Headers],[November]]&amp;"_Balance[@[Closing Balance]]")</f>
        <v>548.5</v>
      </c>
      <c r="N5" s="13" cm="1">
        <f t="array" aca="1" ref="N5" ca="1">INDIRECT(Table28[[#Headers],[December]]&amp;"_Balance[@[Closing Balance]]")</f>
        <v>548.5</v>
      </c>
    </row>
    <row r="6" spans="1:15" x14ac:dyDescent="0.25">
      <c r="A6" t="s">
        <v>21</v>
      </c>
      <c r="B6" t="s">
        <v>25</v>
      </c>
      <c r="C6" s="13" cm="1">
        <f t="array" aca="1" ref="C6" ca="1">INDIRECT(Table28[[#Headers],[January]]&amp;"_Balance[@[Closing Balance]]")</f>
        <v>266</v>
      </c>
      <c r="D6" s="13" cm="1">
        <f t="array" aca="1" ref="D6" ca="1">INDIRECT(Table28[[#Headers],[February]]&amp;"_Balance[@[Closing Balance]]")</f>
        <v>281</v>
      </c>
      <c r="E6" s="13" cm="1">
        <f t="array" aca="1" ref="E6" ca="1">INDIRECT(Table28[[#Headers],[March]]&amp;"_Balance[@[Closing Balance]]")</f>
        <v>286</v>
      </c>
      <c r="F6" s="13" cm="1">
        <f t="array" aca="1" ref="F6" ca="1">INDIRECT(Table28[[#Headers],[April]]&amp;"_Balance[@[Closing Balance]]")</f>
        <v>336</v>
      </c>
      <c r="G6" s="13" cm="1">
        <f t="array" aca="1" ref="G6" ca="1">INDIRECT(Table28[[#Headers],[May]]&amp;"_Balance[@[Closing Balance]]")</f>
        <v>336</v>
      </c>
      <c r="H6" s="13" cm="1">
        <f t="array" aca="1" ref="H6" ca="1">INDIRECT(Table28[[#Headers],[June]]&amp;"_Balance[@[Closing Balance]]")</f>
        <v>336</v>
      </c>
      <c r="I6" s="13" cm="1">
        <f t="array" aca="1" ref="I6" ca="1">INDIRECT(Table28[[#Headers],[July]]&amp;"_Balance[@[Closing Balance]]")</f>
        <v>1386</v>
      </c>
      <c r="J6" s="13" cm="1">
        <f t="array" aca="1" ref="J6" ca="1">INDIRECT(Table28[[#Headers],[August]]&amp;"_Balance[@[Closing Balance]]")</f>
        <v>1086</v>
      </c>
      <c r="K6" s="13" cm="1">
        <f t="array" aca="1" ref="K6" ca="1">INDIRECT(Table28[[#Headers],[September]]&amp;"_Balance[@[Closing Balance]]")</f>
        <v>1086</v>
      </c>
      <c r="L6" s="13" cm="1">
        <f t="array" aca="1" ref="L6" ca="1">INDIRECT(Table28[[#Headers],[October]]&amp;"_Balance[@[Closing Balance]]")</f>
        <v>1086</v>
      </c>
      <c r="M6" s="13" cm="1">
        <f t="array" aca="1" ref="M6" ca="1">INDIRECT(Table28[[#Headers],[November]]&amp;"_Balance[@[Closing Balance]]")</f>
        <v>1086</v>
      </c>
      <c r="N6" s="13" cm="1">
        <f t="array" aca="1" ref="N6" ca="1">INDIRECT(Table28[[#Headers],[December]]&amp;"_Balance[@[Closing Balance]]")</f>
        <v>1086</v>
      </c>
    </row>
    <row r="7" spans="1:15" x14ac:dyDescent="0.25">
      <c r="A7" t="s">
        <v>26</v>
      </c>
      <c r="B7" t="s">
        <v>27</v>
      </c>
      <c r="C7" s="13" cm="1">
        <f t="array" aca="1" ref="C7" ca="1">INDIRECT(Table28[[#Headers],[January]]&amp;"_Balance[@[Closing Balance]]")</f>
        <v>180</v>
      </c>
      <c r="D7" s="13" cm="1">
        <f t="array" aca="1" ref="D7" ca="1">INDIRECT(Table28[[#Headers],[February]]&amp;"_Balance[@[Closing Balance]]")</f>
        <v>680</v>
      </c>
      <c r="E7" s="13" cm="1">
        <f t="array" aca="1" ref="E7" ca="1">INDIRECT(Table28[[#Headers],[March]]&amp;"_Balance[@[Closing Balance]]")</f>
        <v>670.5</v>
      </c>
      <c r="F7" s="13" cm="1">
        <f t="array" aca="1" ref="F7" ca="1">INDIRECT(Table28[[#Headers],[April]]&amp;"_Balance[@[Closing Balance]]")</f>
        <v>670.5</v>
      </c>
      <c r="G7" s="13" cm="1">
        <f t="array" aca="1" ref="G7" ca="1">INDIRECT(Table28[[#Headers],[May]]&amp;"_Balance[@[Closing Balance]]")</f>
        <v>590.5</v>
      </c>
      <c r="H7" s="13" cm="1">
        <f t="array" aca="1" ref="H7" ca="1">INDIRECT(Table28[[#Headers],[June]]&amp;"_Balance[@[Closing Balance]]")</f>
        <v>390.5</v>
      </c>
      <c r="I7" s="13" cm="1">
        <f t="array" aca="1" ref="I7" ca="1">INDIRECT(Table28[[#Headers],[July]]&amp;"_Balance[@[Closing Balance]]")</f>
        <v>390.5</v>
      </c>
      <c r="J7" s="13" cm="1">
        <f t="array" aca="1" ref="J7" ca="1">INDIRECT(Table28[[#Headers],[August]]&amp;"_Balance[@[Closing Balance]]")</f>
        <v>393</v>
      </c>
      <c r="K7" s="13" cm="1">
        <f t="array" aca="1" ref="K7" ca="1">INDIRECT(Table28[[#Headers],[September]]&amp;"_Balance[@[Closing Balance]]")</f>
        <v>393</v>
      </c>
      <c r="L7" s="13" cm="1">
        <f t="array" aca="1" ref="L7" ca="1">INDIRECT(Table28[[#Headers],[October]]&amp;"_Balance[@[Closing Balance]]")</f>
        <v>393</v>
      </c>
      <c r="M7" s="13" cm="1">
        <f t="array" aca="1" ref="M7" ca="1">INDIRECT(Table28[[#Headers],[November]]&amp;"_Balance[@[Closing Balance]]")</f>
        <v>793</v>
      </c>
      <c r="N7" s="13" cm="1">
        <f t="array" aca="1" ref="N7" ca="1">INDIRECT(Table28[[#Headers],[December]]&amp;"_Balance[@[Closing Balance]]")</f>
        <v>3893</v>
      </c>
    </row>
    <row r="8" spans="1:15" x14ac:dyDescent="0.25">
      <c r="A8" t="s">
        <v>26</v>
      </c>
      <c r="B8" t="s">
        <v>30</v>
      </c>
      <c r="C8" s="13" cm="1">
        <f t="array" aca="1" ref="C8" ca="1">INDIRECT(Table28[[#Headers],[January]]&amp;"_Balance[@[Closing Balance]]")</f>
        <v>0</v>
      </c>
      <c r="D8" s="13" cm="1">
        <f t="array" aca="1" ref="D8" ca="1">INDIRECT(Table28[[#Headers],[February]]&amp;"_Balance[@[Closing Balance]]")</f>
        <v>100</v>
      </c>
      <c r="E8" s="13" cm="1">
        <f t="array" aca="1" ref="E8" ca="1">INDIRECT(Table28[[#Headers],[March]]&amp;"_Balance[@[Closing Balance]]")</f>
        <v>75.510000000000005</v>
      </c>
      <c r="F8" s="13" cm="1">
        <f t="array" aca="1" ref="F8" ca="1">INDIRECT(Table28[[#Headers],[April]]&amp;"_Balance[@[Closing Balance]]")</f>
        <v>75.510000000000005</v>
      </c>
      <c r="G8" s="13" cm="1">
        <f t="array" aca="1" ref="G8" ca="1">INDIRECT(Table28[[#Headers],[May]]&amp;"_Balance[@[Closing Balance]]")</f>
        <v>75.510000000000005</v>
      </c>
      <c r="H8" s="13" cm="1">
        <f t="array" aca="1" ref="H8" ca="1">INDIRECT(Table28[[#Headers],[June]]&amp;"_Balance[@[Closing Balance]]")</f>
        <v>75.510000000000005</v>
      </c>
      <c r="I8" s="13" cm="1">
        <f t="array" aca="1" ref="I8" ca="1">INDIRECT(Table28[[#Headers],[July]]&amp;"_Balance[@[Closing Balance]]")</f>
        <v>45.510000000000005</v>
      </c>
      <c r="J8" s="13" cm="1">
        <f t="array" aca="1" ref="J8" ca="1">INDIRECT(Table28[[#Headers],[August]]&amp;"_Balance[@[Closing Balance]]")</f>
        <v>45.510000000000005</v>
      </c>
      <c r="K8" s="13" cm="1">
        <f t="array" aca="1" ref="K8" ca="1">INDIRECT(Table28[[#Headers],[September]]&amp;"_Balance[@[Closing Balance]]")</f>
        <v>45.510000000000005</v>
      </c>
      <c r="L8" s="13" cm="1">
        <f t="array" aca="1" ref="L8" ca="1">INDIRECT(Table28[[#Headers],[October]]&amp;"_Balance[@[Closing Balance]]")</f>
        <v>45.510000000000005</v>
      </c>
      <c r="M8" s="13" cm="1">
        <f t="array" aca="1" ref="M8" ca="1">INDIRECT(Table28[[#Headers],[November]]&amp;"_Balance[@[Closing Balance]]")</f>
        <v>45.510000000000005</v>
      </c>
      <c r="N8" s="13" cm="1">
        <f t="array" aca="1" ref="N8" ca="1">INDIRECT(Table28[[#Headers],[December]]&amp;"_Balance[@[Closing Balance]]")</f>
        <v>45.510000000000005</v>
      </c>
    </row>
    <row r="9" spans="1:15" x14ac:dyDescent="0.25">
      <c r="A9" t="s">
        <v>42</v>
      </c>
      <c r="C9" s="14">
        <f ca="1">SUBTOTAL(109,Table28[January])</f>
        <v>5036</v>
      </c>
      <c r="D9" s="14">
        <f ca="1">SUBTOTAL(109,Table28[February])</f>
        <v>7500.5</v>
      </c>
      <c r="E9" s="14">
        <f ca="1">SUBTOTAL(109,Table28[March])</f>
        <v>8256.11</v>
      </c>
      <c r="F9" s="14">
        <f ca="1">SUBTOTAL(109,Table28[April])</f>
        <v>8982.9499999999989</v>
      </c>
      <c r="G9" s="14">
        <f ca="1">SUBTOTAL(109,Table28[May])</f>
        <v>10272.950000000001</v>
      </c>
      <c r="H9" s="14">
        <f ca="1">SUBTOTAL(109,Table28[June])</f>
        <v>11442.95</v>
      </c>
      <c r="I9" s="14">
        <f ca="1">SUBTOTAL(109,Table28[July])</f>
        <v>14357.95</v>
      </c>
      <c r="J9" s="14">
        <f ca="1">SUBTOTAL(109,Table28[August])</f>
        <v>15768.45</v>
      </c>
      <c r="K9" s="14">
        <f ca="1">SUBTOTAL(109,Table28[September])</f>
        <v>17519.95</v>
      </c>
      <c r="L9" s="14">
        <f ca="1">SUBTOTAL(109,Table28[October])</f>
        <v>19189.95</v>
      </c>
      <c r="M9" s="14">
        <f ca="1">SUBTOTAL(109,Table28[November])</f>
        <v>20589.95</v>
      </c>
      <c r="N9" s="14">
        <f ca="1">SUBTOTAL(109,Table28[December])</f>
        <v>25009.95</v>
      </c>
    </row>
    <row r="11" spans="1:15" x14ac:dyDescent="0.25">
      <c r="B11" s="18"/>
      <c r="C11" s="18" t="s">
        <v>47</v>
      </c>
      <c r="D11" s="18" t="s">
        <v>48</v>
      </c>
      <c r="E11" s="18" t="s">
        <v>49</v>
      </c>
      <c r="F11" s="18" t="s">
        <v>50</v>
      </c>
      <c r="G11" s="18" t="s">
        <v>51</v>
      </c>
      <c r="H11" s="18" t="s">
        <v>52</v>
      </c>
      <c r="I11" s="18" t="s">
        <v>53</v>
      </c>
      <c r="J11" s="18" t="s">
        <v>54</v>
      </c>
      <c r="K11" s="18" t="s">
        <v>55</v>
      </c>
      <c r="L11" s="18" t="s">
        <v>56</v>
      </c>
      <c r="M11" s="18" t="s">
        <v>57</v>
      </c>
      <c r="N11" s="18" t="s">
        <v>58</v>
      </c>
    </row>
    <row r="12" spans="1:15" x14ac:dyDescent="0.25">
      <c r="B12" s="18" t="str" cm="1">
        <f t="array" ref="B12:B14">_xlfn.UNIQUE(Categories[Type])</f>
        <v>Expenses</v>
      </c>
      <c r="C12" s="19" cm="1">
        <f t="array" aca="1" ref="C12" ca="1">INDIRECT(C11&amp;"!B15")</f>
        <v>-4810</v>
      </c>
      <c r="D12" s="19" cm="1">
        <f t="array" aca="1" ref="D12" ca="1">INDIRECT(D11&amp;"!B15")</f>
        <v>-4100.5</v>
      </c>
      <c r="E12" s="19" cm="1">
        <f t="array" aca="1" ref="E12" ca="1">INDIRECT(E11&amp;"!B15")</f>
        <v>-3899.39</v>
      </c>
      <c r="F12" s="19" cm="1">
        <f t="array" aca="1" ref="F12" ca="1">INDIRECT(F11&amp;"!B15")</f>
        <v>-3973.16</v>
      </c>
      <c r="G12" s="19" cm="1">
        <f t="array" aca="1" ref="G12" ca="1">INDIRECT(G11&amp;"!B15")</f>
        <v>-3210</v>
      </c>
      <c r="H12" s="19" cm="1">
        <f t="array" aca="1" ref="H12" ca="1">INDIRECT(H11&amp;"!B15")</f>
        <v>-3730</v>
      </c>
      <c r="I12" s="19" cm="1">
        <f t="array" aca="1" ref="I12" ca="1">INDIRECT(I11&amp;"!B15")</f>
        <v>-3005</v>
      </c>
      <c r="J12" s="19" cm="1">
        <f t="array" aca="1" ref="J12" ca="1">INDIRECT(J11&amp;"!B15")</f>
        <v>-3989.5</v>
      </c>
      <c r="K12" s="19" cm="1">
        <f t="array" aca="1" ref="K12" ca="1">INDIRECT(K11&amp;"!B15")</f>
        <v>-2748.5</v>
      </c>
      <c r="L12" s="19" cm="1">
        <f t="array" aca="1" ref="L12" ca="1">INDIRECT(L11&amp;"!B15")</f>
        <v>-2830</v>
      </c>
      <c r="M12" s="19" cm="1">
        <f t="array" aca="1" ref="M12" ca="1">INDIRECT(M11&amp;"!B15")</f>
        <v>-3500</v>
      </c>
      <c r="N12" s="19" cm="1">
        <f t="array" aca="1" ref="N12" ca="1">INDIRECT(N11&amp;"!B15")</f>
        <v>-4080</v>
      </c>
    </row>
    <row r="13" spans="1:15" x14ac:dyDescent="0.25">
      <c r="B13" s="20" t="str">
        <v>Income</v>
      </c>
      <c r="C13" s="19" cm="1">
        <f t="array" aca="1" ref="C13" ca="1">INDIRECT(C11&amp;"!B16")</f>
        <v>5655.5</v>
      </c>
      <c r="D13" s="19" cm="1">
        <f t="array" aca="1" ref="D13" ca="1">INDIRECT(D11&amp;"!B16")</f>
        <v>6565</v>
      </c>
      <c r="E13" s="19" cm="1">
        <f t="array" aca="1" ref="E13" ca="1">INDIRECT(E11&amp;"!B16")</f>
        <v>4655</v>
      </c>
      <c r="F13" s="19" cm="1">
        <f t="array" aca="1" ref="F13" ca="1">INDIRECT(F11&amp;"!B16")</f>
        <v>4700</v>
      </c>
      <c r="G13" s="19" cm="1">
        <f t="array" aca="1" ref="G13" ca="1">INDIRECT(G11&amp;"!B16")</f>
        <v>4500</v>
      </c>
      <c r="H13" s="19" cm="1">
        <f t="array" aca="1" ref="H13" ca="1">INDIRECT(H11&amp;"!B16")</f>
        <v>4900</v>
      </c>
      <c r="I13" s="19" cm="1">
        <f t="array" aca="1" ref="I13" ca="1">INDIRECT(I11&amp;"!B16")</f>
        <v>5920</v>
      </c>
      <c r="J13" s="19" cm="1">
        <f t="array" aca="1" ref="J13" ca="1">INDIRECT(J11&amp;"!B16")</f>
        <v>5400</v>
      </c>
      <c r="K13" s="19" cm="1">
        <f t="array" aca="1" ref="K13" ca="1">INDIRECT(K11&amp;"!B16")</f>
        <v>4500</v>
      </c>
      <c r="L13" s="19" cm="1">
        <f t="array" aca="1" ref="L13" ca="1">INDIRECT(L11&amp;"!B16")</f>
        <v>4500</v>
      </c>
      <c r="M13" s="19" cm="1">
        <f t="array" aca="1" ref="M13" ca="1">INDIRECT(M11&amp;"!B16")</f>
        <v>4900</v>
      </c>
      <c r="N13" s="19" cm="1">
        <f t="array" aca="1" ref="N13" ca="1">INDIRECT(N11&amp;"!B16")</f>
        <v>8500</v>
      </c>
    </row>
    <row r="14" spans="1:15" x14ac:dyDescent="0.25">
      <c r="B14" s="18" t="str">
        <v>Transaction</v>
      </c>
      <c r="C14" s="19" cm="1">
        <f t="array" aca="1" ref="C14" ca="1">INDIRECT(C11&amp;"!B17")</f>
        <v>0</v>
      </c>
      <c r="D14" s="19" cm="1">
        <f t="array" aca="1" ref="D14" ca="1">INDIRECT(D11&amp;"!B17")</f>
        <v>0</v>
      </c>
      <c r="E14" s="19" cm="1">
        <f t="array" aca="1" ref="E14" ca="1">INDIRECT(E11&amp;"!B17")</f>
        <v>0</v>
      </c>
      <c r="F14" s="19" cm="1">
        <f t="array" aca="1" ref="F14" ca="1">INDIRECT(F11&amp;"!B17")</f>
        <v>0</v>
      </c>
      <c r="G14" s="19" cm="1">
        <f t="array" aca="1" ref="G14" ca="1">INDIRECT(G11&amp;"!B17")</f>
        <v>0</v>
      </c>
      <c r="H14" s="19" cm="1">
        <f t="array" aca="1" ref="H14" ca="1">INDIRECT(H11&amp;"!B17")</f>
        <v>0</v>
      </c>
      <c r="I14" s="19" cm="1">
        <f t="array" aca="1" ref="I14" ca="1">INDIRECT(I11&amp;"!B17")</f>
        <v>0</v>
      </c>
      <c r="J14" s="19" cm="1">
        <f t="array" aca="1" ref="J14" ca="1">INDIRECT(J11&amp;"!B17")</f>
        <v>0</v>
      </c>
      <c r="K14" s="19" cm="1">
        <f t="array" aca="1" ref="K14" ca="1">INDIRECT(K11&amp;"!B17")</f>
        <v>0</v>
      </c>
      <c r="L14" s="19" cm="1">
        <f t="array" aca="1" ref="L14" ca="1">INDIRECT(L11&amp;"!B17")</f>
        <v>0</v>
      </c>
      <c r="M14" s="19" cm="1">
        <f t="array" aca="1" ref="M14" ca="1">INDIRECT(M11&amp;"!B17")</f>
        <v>0</v>
      </c>
      <c r="N14" s="19" cm="1">
        <f t="array" aca="1" ref="N14" ca="1">INDIRECT(N11&amp;"!B17")</f>
        <v>0</v>
      </c>
    </row>
    <row r="15" spans="1:15" x14ac:dyDescent="0.25">
      <c r="B15" s="18" t="s">
        <v>59</v>
      </c>
      <c r="C15" s="19">
        <f ca="1">SUM(C12:C13)</f>
        <v>845.5</v>
      </c>
      <c r="D15" s="19">
        <f t="shared" ref="D15:N15" ca="1" si="0">SUM(D12:D13)</f>
        <v>2464.5</v>
      </c>
      <c r="E15" s="19">
        <f t="shared" ca="1" si="0"/>
        <v>755.61000000000013</v>
      </c>
      <c r="F15" s="19">
        <f t="shared" ca="1" si="0"/>
        <v>726.84000000000015</v>
      </c>
      <c r="G15" s="19">
        <f t="shared" ca="1" si="0"/>
        <v>1290</v>
      </c>
      <c r="H15" s="19">
        <f t="shared" ca="1" si="0"/>
        <v>1170</v>
      </c>
      <c r="I15" s="19">
        <f t="shared" ca="1" si="0"/>
        <v>2915</v>
      </c>
      <c r="J15" s="19">
        <f t="shared" ca="1" si="0"/>
        <v>1410.5</v>
      </c>
      <c r="K15" s="19">
        <f t="shared" ca="1" si="0"/>
        <v>1751.5</v>
      </c>
      <c r="L15" s="19">
        <f t="shared" ca="1" si="0"/>
        <v>1670</v>
      </c>
      <c r="M15" s="19">
        <f t="shared" ca="1" si="0"/>
        <v>1400</v>
      </c>
      <c r="N15" s="19">
        <f t="shared" ca="1" si="0"/>
        <v>4420</v>
      </c>
      <c r="O15" s="13">
        <f ca="1">SUM(C15:N15)</f>
        <v>20819.45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4453-2B67-48D6-966A-029357983EBB}">
  <dimension ref="A1:H21"/>
  <sheetViews>
    <sheetView zoomScaleNormal="100" workbookViewId="0">
      <selection activeCell="B17" sqref="B17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v>2000</v>
      </c>
      <c r="D2" s="13">
        <f>SUMIFS(Operations[Amount], Operations[Bank],January_Balance[[#This Row],[Bank]],Operations[Product],January_Balance[[#This Row],[Product]],Operations[Month],$B$12)</f>
        <v>1100</v>
      </c>
      <c r="E2" s="13">
        <f>January_Balance[[#This Row],[Opening balance]]+January_Balance[[#This Row],[Operations]]</f>
        <v>3100</v>
      </c>
      <c r="G2" t="s">
        <v>2</v>
      </c>
      <c r="H2" s="13">
        <f>SUMIFS(Operations[Amount],Operations[Month],$B$12,Operations[Category],G2)</f>
        <v>-1715</v>
      </c>
    </row>
    <row r="3" spans="1:8" x14ac:dyDescent="0.25">
      <c r="A3" t="s">
        <v>20</v>
      </c>
      <c r="B3" t="s">
        <v>23</v>
      </c>
      <c r="C3" s="13">
        <v>0</v>
      </c>
      <c r="D3" s="13">
        <f>SUMIFS(Operations[Amount], Operations[Bank],January_Balance[[#This Row],[Bank]],Operations[Product],January_Balance[[#This Row],[Product]],Operations[Month],$B$12)</f>
        <v>-175</v>
      </c>
      <c r="E3" s="13">
        <f>January_Balance[[#This Row],[Opening balance]]+January_Balance[[#This Row],[Operations]]</f>
        <v>-175</v>
      </c>
      <c r="G3" t="s">
        <v>3</v>
      </c>
      <c r="H3" s="13">
        <f>SUMIFS(Operations[Amount],Operations[Month],$B$12,Operations[Category],G3)</f>
        <v>-85</v>
      </c>
    </row>
    <row r="4" spans="1:8" x14ac:dyDescent="0.25">
      <c r="A4" t="s">
        <v>20</v>
      </c>
      <c r="B4" t="s">
        <v>24</v>
      </c>
      <c r="C4" s="13">
        <v>2000</v>
      </c>
      <c r="D4" s="13">
        <f>SUMIFS(Operations[Amount], Operations[Bank],January_Balance[[#This Row],[Bank]],Operations[Product],January_Balance[[#This Row],[Product]],Operations[Month],$B$12)</f>
        <v>-400</v>
      </c>
      <c r="E4" s="13">
        <f>January_Balance[[#This Row],[Opening balance]]+January_Balance[[#This Row],[Operations]]</f>
        <v>1600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v>100</v>
      </c>
      <c r="D5" s="13">
        <f>SUMIFS(Operations[Amount], Operations[Bank],January_Balance[[#This Row],[Bank]],Operations[Product],January_Balance[[#This Row],[Product]],Operations[Month],$B$12)</f>
        <v>-35</v>
      </c>
      <c r="E5" s="13">
        <f>January_Balance[[#This Row],[Opening balance]]+January_Balance[[#This Row],[Operations]]</f>
        <v>65</v>
      </c>
      <c r="G5" t="s">
        <v>4</v>
      </c>
      <c r="H5" s="13">
        <f>SUMIFS(Operations[Amount],Operations[Month],$B$12,Operations[Category],G5)</f>
        <v>-80</v>
      </c>
    </row>
    <row r="6" spans="1:8" x14ac:dyDescent="0.25">
      <c r="A6" t="s">
        <v>21</v>
      </c>
      <c r="B6" t="s">
        <v>25</v>
      </c>
      <c r="C6" s="13">
        <v>10.5</v>
      </c>
      <c r="D6" s="13">
        <f>SUMIFS(Operations[Amount], Operations[Bank],January_Balance[[#This Row],[Bank]],Operations[Product],January_Balance[[#This Row],[Product]],Operations[Month],$B$12)</f>
        <v>255.5</v>
      </c>
      <c r="E6" s="13">
        <f>January_Balance[[#This Row],[Opening balance]]+January_Balance[[#This Row],[Operations]]</f>
        <v>266</v>
      </c>
      <c r="G6" t="s">
        <v>5</v>
      </c>
      <c r="H6" s="13">
        <f>SUMIFS(Operations[Amount],Operations[Month],$B$12,Operations[Category],G6)</f>
        <v>-80</v>
      </c>
    </row>
    <row r="7" spans="1:8" x14ac:dyDescent="0.25">
      <c r="A7" t="s">
        <v>26</v>
      </c>
      <c r="B7" t="s">
        <v>27</v>
      </c>
      <c r="C7" s="13">
        <v>30</v>
      </c>
      <c r="D7" s="13">
        <f>SUMIFS(Operations[Amount], Operations[Bank],January_Balance[[#This Row],[Bank]],Operations[Product],January_Balance[[#This Row],[Product]],Operations[Month],$B$12)</f>
        <v>150</v>
      </c>
      <c r="E7" s="13">
        <f>January_Balance[[#This Row],[Opening balance]]+January_Balance[[#This Row],[Operations]]</f>
        <v>180</v>
      </c>
      <c r="G7" t="s">
        <v>6</v>
      </c>
      <c r="H7" s="13">
        <f>SUMIFS(Operations[Amount],Operations[Month],$B$12,Operations[Category],G7)</f>
        <v>-100</v>
      </c>
    </row>
    <row r="8" spans="1:8" x14ac:dyDescent="0.25">
      <c r="A8" t="s">
        <v>26</v>
      </c>
      <c r="B8" t="s">
        <v>30</v>
      </c>
      <c r="C8" s="13">
        <v>50</v>
      </c>
      <c r="D8" s="13">
        <f>SUMIFS(Operations[Amount], Operations[Bank],January_Balance[[#This Row],[Bank]],Operations[Product],January_Balance[[#This Row],[Product]],Operations[Month],$B$12)</f>
        <v>-50</v>
      </c>
      <c r="E8" s="13">
        <f>January_Balance[[#This Row],[Opening balance]]+January_Balance[[#This Row],[Operations]]</f>
        <v>0</v>
      </c>
      <c r="G8" t="s">
        <v>7</v>
      </c>
      <c r="H8" s="13">
        <f>SUMIFS(Operations[Amount],Operations[Month],$B$12,Operations[Category],G8)</f>
        <v>-150</v>
      </c>
    </row>
    <row r="9" spans="1:8" x14ac:dyDescent="0.25">
      <c r="A9" t="s">
        <v>42</v>
      </c>
      <c r="C9" s="15">
        <f>SUBTOTAL(109,January_Balance[Opening balance])</f>
        <v>4190.5</v>
      </c>
      <c r="D9" s="15">
        <f>SUBTOTAL(109,January_Balance[Operations])</f>
        <v>845.5</v>
      </c>
      <c r="E9" s="15">
        <f>SUBTOTAL(109,January_Balance[Closing Balance])</f>
        <v>5036</v>
      </c>
      <c r="G9" t="s">
        <v>8</v>
      </c>
      <c r="H9" s="13">
        <f>SUMIFS(Operations[Amount],Operations[Month],$B$12,Operations[Category],G9)</f>
        <v>-100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1</v>
      </c>
      <c r="G12" t="s">
        <v>11</v>
      </c>
      <c r="H12" s="13">
        <f>SUMIFS(Operations[Amount],Operations[Month],$B$12,Operations[Category],G12)</f>
        <v>-500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-4810</v>
      </c>
      <c r="G15" t="s">
        <v>29</v>
      </c>
      <c r="H15" s="13">
        <f>SUMIFS(Operations[Amount],Operations[Month],$B$12,Operations[Category],G15)</f>
        <v>250</v>
      </c>
    </row>
    <row r="16" spans="1:8" x14ac:dyDescent="0.25">
      <c r="A16" s="18" t="str">
        <v>Income</v>
      </c>
      <c r="B16" s="19">
        <f>SUMIFS(Operations[Amount],Operations[Month],$B$12,Operations[Type],A16)</f>
        <v>5655.5</v>
      </c>
      <c r="G16" t="s">
        <v>14</v>
      </c>
      <c r="H16" s="13">
        <f>SUMIFS(Operations[Amount],Operations[Month],$B$12,Operations[Category],G16)</f>
        <v>105.5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B18" s="13"/>
      <c r="G18" t="s">
        <v>16</v>
      </c>
      <c r="H18" s="13">
        <f>SUMIFS(Operations[Amount],Operations[Month],$B$12,Operations[Category],G18)</f>
        <v>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800</v>
      </c>
    </row>
    <row r="21" spans="1:8" x14ac:dyDescent="0.25">
      <c r="G21" t="s">
        <v>42</v>
      </c>
      <c r="H21" s="15">
        <f>SUBTOTAL(109,January_Categories[Sum])</f>
        <v>845.5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EBB7-C79A-43BA-889D-2E6DAFE31765}">
  <dimension ref="A1:H21"/>
  <sheetViews>
    <sheetView zoomScaleNormal="100" workbookViewId="0">
      <selection activeCell="E25" sqref="E25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January_Balance[[#This Row],[Closing Balance]]</f>
        <v>3100</v>
      </c>
      <c r="D2" s="13">
        <f>SUMIFS(Operations[Amount], Operations[Bank],February_Balance[[#This Row],[Bank]],Operations[Product],February_Balance[[#This Row],[Product]],Operations[Month],$B$12)</f>
        <v>2039.5</v>
      </c>
      <c r="E2" s="13">
        <f>February_Balance[[#This Row],[Opening balance]]+February_Balance[[#This Row],[Operations]]</f>
        <v>5139.5</v>
      </c>
      <c r="G2" t="s">
        <v>2</v>
      </c>
      <c r="H2" s="13">
        <f>SUMIFS(Operations[Amount],Operations[Month],$B$12,Operations[Category],G2)</f>
        <v>-405.5</v>
      </c>
    </row>
    <row r="3" spans="1:8" x14ac:dyDescent="0.25">
      <c r="A3" t="s">
        <v>20</v>
      </c>
      <c r="B3" t="s">
        <v>23</v>
      </c>
      <c r="C3" s="13">
        <f>January_Balance[[#This Row],[Closing Balance]]</f>
        <v>-175</v>
      </c>
      <c r="D3" s="13">
        <f>SUMIFS(Operations[Amount], Operations[Bank],February_Balance[[#This Row],[Bank]],Operations[Product],February_Balance[[#This Row],[Product]],Operations[Month],$B$12)</f>
        <v>175</v>
      </c>
      <c r="E3" s="13">
        <f>February_Balance[[#This Row],[Opening balance]]+February_Balance[[#This Row],[Operations]]</f>
        <v>0</v>
      </c>
      <c r="G3" t="s">
        <v>3</v>
      </c>
      <c r="H3" s="13">
        <f>SUMIFS(Operations[Amount],Operations[Month],$B$12,Operations[Category],G3)</f>
        <v>-350</v>
      </c>
    </row>
    <row r="4" spans="1:8" x14ac:dyDescent="0.25">
      <c r="A4" t="s">
        <v>20</v>
      </c>
      <c r="B4" t="s">
        <v>24</v>
      </c>
      <c r="C4" s="13">
        <f>January_Balance[[#This Row],[Closing Balance]]</f>
        <v>1600</v>
      </c>
      <c r="D4" s="13">
        <f>SUMIFS(Operations[Amount], Operations[Bank],February_Balance[[#This Row],[Bank]],Operations[Product],February_Balance[[#This Row],[Product]],Operations[Month],$B$12)</f>
        <v>-400</v>
      </c>
      <c r="E4" s="13">
        <f>February_Balance[[#This Row],[Opening balance]]+February_Balance[[#This Row],[Operations]]</f>
        <v>1200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January_Balance[[#This Row],[Closing Balance]]</f>
        <v>65</v>
      </c>
      <c r="D5" s="13">
        <f>SUMIFS(Operations[Amount], Operations[Bank],February_Balance[[#This Row],[Bank]],Operations[Product],February_Balance[[#This Row],[Product]],Operations[Month],$B$12)</f>
        <v>35</v>
      </c>
      <c r="E5" s="13">
        <f>February_Balance[[#This Row],[Opening balance]]+February_Balance[[#This Row],[Operations]]</f>
        <v>100</v>
      </c>
      <c r="G5" t="s">
        <v>4</v>
      </c>
      <c r="H5" s="13">
        <f>SUMIFS(Operations[Amount],Operations[Month],$B$12,Operations[Category],G5)</f>
        <v>0</v>
      </c>
    </row>
    <row r="6" spans="1:8" x14ac:dyDescent="0.25">
      <c r="A6" t="s">
        <v>21</v>
      </c>
      <c r="B6" t="s">
        <v>25</v>
      </c>
      <c r="C6" s="13">
        <f>January_Balance[[#This Row],[Closing Balance]]</f>
        <v>266</v>
      </c>
      <c r="D6" s="13">
        <f>SUMIFS(Operations[Amount], Operations[Bank],February_Balance[[#This Row],[Bank]],Operations[Product],February_Balance[[#This Row],[Product]],Operations[Month],$B$12)</f>
        <v>15</v>
      </c>
      <c r="E6" s="13">
        <f>February_Balance[[#This Row],[Opening balance]]+February_Balance[[#This Row],[Operations]]</f>
        <v>281</v>
      </c>
      <c r="G6" t="s">
        <v>5</v>
      </c>
      <c r="H6" s="13">
        <f>SUMIFS(Operations[Amount],Operations[Month],$B$12,Operations[Category],G6)</f>
        <v>-80</v>
      </c>
    </row>
    <row r="7" spans="1:8" x14ac:dyDescent="0.25">
      <c r="A7" t="s">
        <v>26</v>
      </c>
      <c r="B7" t="s">
        <v>27</v>
      </c>
      <c r="C7" s="13">
        <f>January_Balance[[#This Row],[Closing Balance]]</f>
        <v>180</v>
      </c>
      <c r="D7" s="13">
        <f>SUMIFS(Operations[Amount], Operations[Bank],February_Balance[[#This Row],[Bank]],Operations[Product],February_Balance[[#This Row],[Product]],Operations[Month],$B$12)</f>
        <v>500</v>
      </c>
      <c r="E7" s="13">
        <f>February_Balance[[#This Row],[Opening balance]]+February_Balance[[#This Row],[Operations]]</f>
        <v>680</v>
      </c>
      <c r="G7" t="s">
        <v>6</v>
      </c>
      <c r="H7" s="13">
        <f>SUMIFS(Operations[Amount],Operations[Month],$B$12,Operations[Category],G7)</f>
        <v>-250</v>
      </c>
    </row>
    <row r="8" spans="1:8" x14ac:dyDescent="0.25">
      <c r="A8" t="s">
        <v>26</v>
      </c>
      <c r="B8" t="s">
        <v>30</v>
      </c>
      <c r="C8" s="13">
        <f>January_Balance[[#This Row],[Closing Balance]]</f>
        <v>0</v>
      </c>
      <c r="D8" s="13">
        <f>SUMIFS(Operations[Amount], Operations[Bank],February_Balance[[#This Row],[Bank]],Operations[Product],February_Balance[[#This Row],[Product]],Operations[Month],$B$12)</f>
        <v>100</v>
      </c>
      <c r="E8" s="13">
        <f>February_Balance[[#This Row],[Opening balance]]+February_Balance[[#This Row],[Operations]]</f>
        <v>100</v>
      </c>
      <c r="G8" t="s">
        <v>7</v>
      </c>
      <c r="H8" s="13">
        <f>SUMIFS(Operations[Amount],Operations[Month],$B$12,Operations[Category],G8)</f>
        <v>-150</v>
      </c>
    </row>
    <row r="9" spans="1:8" x14ac:dyDescent="0.25">
      <c r="A9" t="s">
        <v>42</v>
      </c>
      <c r="C9" s="14">
        <f>SUBTOTAL(109,February_Balance[Opening balance])</f>
        <v>5036</v>
      </c>
      <c r="D9" s="14">
        <f>SUBTOTAL(109,February_Balance[Operations])</f>
        <v>2464.5</v>
      </c>
      <c r="E9" s="14">
        <f>SUBTOTAL(109,February_Balance[Closing Balance])</f>
        <v>7500.5</v>
      </c>
      <c r="G9" t="s">
        <v>8</v>
      </c>
      <c r="H9" s="13">
        <f>SUMIFS(Operations[Amount],Operations[Month],$B$12,Operations[Category],G9)</f>
        <v>-100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2</v>
      </c>
      <c r="G12" t="s">
        <v>11</v>
      </c>
      <c r="H12" s="13">
        <f>SUMIFS(Operations[Amount],Operations[Month],$B$12,Operations[Category],G12)</f>
        <v>-765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-4100.5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6565</v>
      </c>
      <c r="G16" t="s">
        <v>14</v>
      </c>
      <c r="H16" s="13">
        <f>SUMIFS(Operations[Amount],Operations[Month],$B$12,Operations[Category],G16)</f>
        <v>115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1950</v>
      </c>
    </row>
    <row r="21" spans="1:8" x14ac:dyDescent="0.25">
      <c r="G21" t="s">
        <v>42</v>
      </c>
      <c r="H21" s="14">
        <f>SUBTOTAL(109,February_Categories[Sum])</f>
        <v>2464.5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FA1C-AF0E-4C90-9134-DDFE5C7F294F}">
  <dimension ref="A1:H21"/>
  <sheetViews>
    <sheetView zoomScaleNormal="100" workbookViewId="0">
      <selection activeCell="F29" sqref="F29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February_Balance[[#This Row],[Closing Balance]]</f>
        <v>5139.5</v>
      </c>
      <c r="D2" s="13">
        <f>SUMIFS(Operations[Amount], Operations[Bank],March_Balance[[#This Row],[Bank]],Operations[Product],March_Balance[[#This Row],[Product]],Operations[Month],$B$12)</f>
        <v>821.59999999999991</v>
      </c>
      <c r="E2" s="13">
        <f>March_Balance[[#This Row],[Opening balance]]+March_Balance[[#This Row],[Operations]]</f>
        <v>5961.1</v>
      </c>
      <c r="G2" t="s">
        <v>2</v>
      </c>
      <c r="H2" s="13">
        <f>SUMIFS(Operations[Amount],Operations[Month],$B$12,Operations[Category],G2)</f>
        <v>-734.99</v>
      </c>
    </row>
    <row r="3" spans="1:8" x14ac:dyDescent="0.25">
      <c r="A3" t="s">
        <v>20</v>
      </c>
      <c r="B3" t="s">
        <v>23</v>
      </c>
      <c r="C3" s="13">
        <f>February_Balance[[#This Row],[Closing Balance]]</f>
        <v>0</v>
      </c>
      <c r="D3" s="13">
        <f>SUMIFS(Operations[Amount], Operations[Bank],March_Balance[[#This Row],[Bank]],Operations[Product],March_Balance[[#This Row],[Product]],Operations[Month],$B$12)</f>
        <v>-104.5</v>
      </c>
      <c r="E3" s="13">
        <f>March_Balance[[#This Row],[Opening balance]]+March_Balance[[#This Row],[Operations]]</f>
        <v>-104.5</v>
      </c>
      <c r="G3" t="s">
        <v>3</v>
      </c>
      <c r="H3" s="13">
        <f>SUMIFS(Operations[Amount],Operations[Month],$B$12,Operations[Category],G3)</f>
        <v>-200</v>
      </c>
    </row>
    <row r="4" spans="1:8" x14ac:dyDescent="0.25">
      <c r="A4" t="s">
        <v>20</v>
      </c>
      <c r="B4" t="s">
        <v>24</v>
      </c>
      <c r="C4" s="13">
        <f>February_Balance[[#This Row],[Closing Balance]]</f>
        <v>1200</v>
      </c>
      <c r="D4" s="13">
        <f>SUMIFS(Operations[Amount], Operations[Bank],March_Balance[[#This Row],[Bank]],Operations[Product],March_Balance[[#This Row],[Product]],Operations[Month],$B$12)</f>
        <v>0</v>
      </c>
      <c r="E4" s="13">
        <f>March_Balance[[#This Row],[Opening balance]]+March_Balance[[#This Row],[Operations]]</f>
        <v>1200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February_Balance[[#This Row],[Closing Balance]]</f>
        <v>100</v>
      </c>
      <c r="D5" s="13">
        <f>SUMIFS(Operations[Amount], Operations[Bank],March_Balance[[#This Row],[Bank]],Operations[Product],March_Balance[[#This Row],[Product]],Operations[Month],$B$12)</f>
        <v>67.5</v>
      </c>
      <c r="E5" s="13">
        <f>March_Balance[[#This Row],[Opening balance]]+March_Balance[[#This Row],[Operations]]</f>
        <v>167.5</v>
      </c>
      <c r="G5" t="s">
        <v>4</v>
      </c>
      <c r="H5" s="13">
        <f>SUMIFS(Operations[Amount],Operations[Month],$B$12,Operations[Category],G5)</f>
        <v>-469.9</v>
      </c>
    </row>
    <row r="6" spans="1:8" x14ac:dyDescent="0.25">
      <c r="A6" t="s">
        <v>21</v>
      </c>
      <c r="B6" t="s">
        <v>25</v>
      </c>
      <c r="C6" s="13">
        <f>February_Balance[[#This Row],[Closing Balance]]</f>
        <v>281</v>
      </c>
      <c r="D6" s="13">
        <f>SUMIFS(Operations[Amount], Operations[Bank],March_Balance[[#This Row],[Bank]],Operations[Product],March_Balance[[#This Row],[Product]],Operations[Month],$B$12)</f>
        <v>5</v>
      </c>
      <c r="E6" s="13">
        <f>March_Balance[[#This Row],[Opening balance]]+March_Balance[[#This Row],[Operations]]</f>
        <v>286</v>
      </c>
      <c r="G6" t="s">
        <v>5</v>
      </c>
      <c r="H6" s="13">
        <f>SUMIFS(Operations[Amount],Operations[Month],$B$12,Operations[Category],G6)</f>
        <v>-82.5</v>
      </c>
    </row>
    <row r="7" spans="1:8" x14ac:dyDescent="0.25">
      <c r="A7" t="s">
        <v>26</v>
      </c>
      <c r="B7" t="s">
        <v>27</v>
      </c>
      <c r="C7" s="13">
        <f>February_Balance[[#This Row],[Closing Balance]]</f>
        <v>680</v>
      </c>
      <c r="D7" s="13">
        <f>SUMIFS(Operations[Amount], Operations[Bank],March_Balance[[#This Row],[Bank]],Operations[Product],March_Balance[[#This Row],[Product]],Operations[Month],$B$12)</f>
        <v>-9.5</v>
      </c>
      <c r="E7" s="13">
        <f>March_Balance[[#This Row],[Opening balance]]+March_Balance[[#This Row],[Operations]]</f>
        <v>670.5</v>
      </c>
      <c r="G7" t="s">
        <v>6</v>
      </c>
      <c r="H7" s="13">
        <f>SUMIFS(Operations[Amount],Operations[Month],$B$12,Operations[Category],G7)</f>
        <v>-9.5</v>
      </c>
    </row>
    <row r="8" spans="1:8" x14ac:dyDescent="0.25">
      <c r="A8" t="s">
        <v>26</v>
      </c>
      <c r="B8" t="s">
        <v>30</v>
      </c>
      <c r="C8" s="13">
        <f>February_Balance[[#This Row],[Closing Balance]]</f>
        <v>100</v>
      </c>
      <c r="D8" s="13">
        <f>SUMIFS(Operations[Amount], Operations[Bank],March_Balance[[#This Row],[Bank]],Operations[Product],March_Balance[[#This Row],[Product]],Operations[Month],$B$12)</f>
        <v>-24.49</v>
      </c>
      <c r="E8" s="13">
        <f>March_Balance[[#This Row],[Opening balance]]+March_Balance[[#This Row],[Operations]]</f>
        <v>75.510000000000005</v>
      </c>
      <c r="G8" t="s">
        <v>7</v>
      </c>
      <c r="H8" s="13">
        <f>SUMIFS(Operations[Amount],Operations[Month],$B$12,Operations[Category],G8)</f>
        <v>-23</v>
      </c>
    </row>
    <row r="9" spans="1:8" x14ac:dyDescent="0.25">
      <c r="A9" t="s">
        <v>42</v>
      </c>
      <c r="C9" s="14">
        <f>SUBTOTAL(109,March_Balance[Opening balance])</f>
        <v>7500.5</v>
      </c>
      <c r="D9" s="14">
        <f>SUBTOTAL(109,March_Balance[Operations])</f>
        <v>755.6099999999999</v>
      </c>
      <c r="E9" s="14">
        <f>SUBTOTAL(109,March_Balance[Closing Balance])</f>
        <v>8256.11</v>
      </c>
      <c r="G9" t="s">
        <v>8</v>
      </c>
      <c r="H9" s="13">
        <f>SUMIFS(Operations[Amount],Operations[Month],$B$12,Operations[Category],G9)</f>
        <v>-79.5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3</v>
      </c>
      <c r="G12" t="s">
        <v>11</v>
      </c>
      <c r="H12" s="13">
        <f>SUMIFS(Operations[Amount],Operations[Month],$B$12,Operations[Category],G12)</f>
        <v>-300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-3899.39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4655</v>
      </c>
      <c r="G16" t="s">
        <v>14</v>
      </c>
      <c r="H16" s="13">
        <f>SUMIFS(Operations[Amount],Operations[Month],$B$12,Operations[Category],G16)</f>
        <v>150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5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SUBTOTAL(109,March_Categories[Sum])</f>
        <v>755.61000000000013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CC2F-2378-459D-8782-E8BC1E49A5A3}">
  <dimension ref="A1:H21"/>
  <sheetViews>
    <sheetView zoomScaleNormal="100" workbookViewId="0">
      <selection activeCell="F27" sqref="F27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March_Balance[[#This Row],[Closing Balance]]</f>
        <v>5961.1</v>
      </c>
      <c r="D2" s="13">
        <f>SUMIFS(Operations[Amount], Operations[Bank],April_Balance[[#This Row],[Bank]],Operations[Product],April_Balance[[#This Row],[Product]],Operations[Month],$B$12)</f>
        <v>562.72999999999968</v>
      </c>
      <c r="E2" s="13">
        <f>April_Balance[[#This Row],[Opening balance]]+April_Balance[[#This Row],[Operations]]</f>
        <v>6523.83</v>
      </c>
      <c r="G2" t="s">
        <v>2</v>
      </c>
      <c r="H2" s="13">
        <f>SUMIFS(Operations[Amount],Operations[Month],$B$12,Operations[Category],G2)</f>
        <v>-372.26</v>
      </c>
    </row>
    <row r="3" spans="1:8" x14ac:dyDescent="0.25">
      <c r="A3" t="s">
        <v>20</v>
      </c>
      <c r="B3" t="s">
        <v>23</v>
      </c>
      <c r="C3" s="13">
        <f>March_Balance[[#This Row],[Closing Balance]]</f>
        <v>-104.5</v>
      </c>
      <c r="D3" s="13">
        <f>SUMIFS(Operations[Amount], Operations[Bank],April_Balance[[#This Row],[Bank]],Operations[Product],April_Balance[[#This Row],[Product]],Operations[Month],$B$12)</f>
        <v>13.110000000000007</v>
      </c>
      <c r="E3" s="13">
        <f>April_Balance[[#This Row],[Opening balance]]+April_Balance[[#This Row],[Operations]]</f>
        <v>-91.389999999999986</v>
      </c>
      <c r="G3" t="s">
        <v>3</v>
      </c>
      <c r="H3" s="13">
        <f>SUMIFS(Operations[Amount],Operations[Month],$B$12,Operations[Category],G3)</f>
        <v>-1057.9000000000001</v>
      </c>
    </row>
    <row r="4" spans="1:8" x14ac:dyDescent="0.25">
      <c r="A4" t="s">
        <v>20</v>
      </c>
      <c r="B4" t="s">
        <v>24</v>
      </c>
      <c r="C4" s="13">
        <f>March_Balance[[#This Row],[Closing Balance]]</f>
        <v>1200</v>
      </c>
      <c r="D4" s="13">
        <f>SUMIFS(Operations[Amount], Operations[Bank],April_Balance[[#This Row],[Bank]],Operations[Product],April_Balance[[#This Row],[Product]],Operations[Month],$B$12)</f>
        <v>0</v>
      </c>
      <c r="E4" s="13">
        <f>April_Balance[[#This Row],[Opening balance]]+April_Balance[[#This Row],[Operations]]</f>
        <v>1200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March_Balance[[#This Row],[Closing Balance]]</f>
        <v>167.5</v>
      </c>
      <c r="D5" s="13">
        <f>SUMIFS(Operations[Amount], Operations[Bank],April_Balance[[#This Row],[Bank]],Operations[Product],April_Balance[[#This Row],[Product]],Operations[Month],$B$12)</f>
        <v>101</v>
      </c>
      <c r="E5" s="13">
        <f>April_Balance[[#This Row],[Opening balance]]+April_Balance[[#This Row],[Operations]]</f>
        <v>268.5</v>
      </c>
      <c r="G5" t="s">
        <v>4</v>
      </c>
      <c r="H5" s="13">
        <f>SUMIFS(Operations[Amount],Operations[Month],$B$12,Operations[Category],G5)</f>
        <v>-149</v>
      </c>
    </row>
    <row r="6" spans="1:8" x14ac:dyDescent="0.25">
      <c r="A6" t="s">
        <v>21</v>
      </c>
      <c r="B6" t="s">
        <v>25</v>
      </c>
      <c r="C6" s="13">
        <f>March_Balance[[#This Row],[Closing Balance]]</f>
        <v>286</v>
      </c>
      <c r="D6" s="13">
        <f>SUMIFS(Operations[Amount], Operations[Bank],April_Balance[[#This Row],[Bank]],Operations[Product],April_Balance[[#This Row],[Product]],Operations[Month],$B$12)</f>
        <v>50</v>
      </c>
      <c r="E6" s="13">
        <f>April_Balance[[#This Row],[Opening balance]]+April_Balance[[#This Row],[Operations]]</f>
        <v>336</v>
      </c>
      <c r="G6" t="s">
        <v>5</v>
      </c>
      <c r="H6" s="13">
        <f>SUMIFS(Operations[Amount],Operations[Month],$B$12,Operations[Category],G6)</f>
        <v>-82.5</v>
      </c>
    </row>
    <row r="7" spans="1:8" x14ac:dyDescent="0.25">
      <c r="A7" t="s">
        <v>26</v>
      </c>
      <c r="B7" t="s">
        <v>27</v>
      </c>
      <c r="C7" s="13">
        <f>March_Balance[[#This Row],[Closing Balance]]</f>
        <v>670.5</v>
      </c>
      <c r="D7" s="13">
        <f>SUMIFS(Operations[Amount], Operations[Bank],April_Balance[[#This Row],[Bank]],Operations[Product],April_Balance[[#This Row],[Product]],Operations[Month],$B$12)</f>
        <v>0</v>
      </c>
      <c r="E7" s="13">
        <f>April_Balance[[#This Row],[Opening balance]]+April_Balance[[#This Row],[Operations]]</f>
        <v>670.5</v>
      </c>
      <c r="G7" t="s">
        <v>6</v>
      </c>
      <c r="H7" s="13">
        <f>SUMIFS(Operations[Amount],Operations[Month],$B$12,Operations[Category],G7)</f>
        <v>-23.5</v>
      </c>
    </row>
    <row r="8" spans="1:8" x14ac:dyDescent="0.25">
      <c r="A8" t="s">
        <v>26</v>
      </c>
      <c r="B8" t="s">
        <v>30</v>
      </c>
      <c r="C8" s="13">
        <f>March_Balance[[#This Row],[Closing Balance]]</f>
        <v>75.510000000000005</v>
      </c>
      <c r="D8" s="13">
        <f>SUMIFS(Operations[Amount], Operations[Bank],April_Balance[[#This Row],[Bank]],Operations[Product],April_Balance[[#This Row],[Product]],Operations[Month],$B$12)</f>
        <v>0</v>
      </c>
      <c r="E8" s="13">
        <f>April_Balance[[#This Row],[Opening balance]]+April_Balance[[#This Row],[Operations]]</f>
        <v>75.510000000000005</v>
      </c>
      <c r="G8" t="s">
        <v>7</v>
      </c>
      <c r="H8" s="13">
        <f>SUMIFS(Operations[Amount],Operations[Month],$B$12,Operations[Category],G8)</f>
        <v>-49</v>
      </c>
    </row>
    <row r="9" spans="1:8" x14ac:dyDescent="0.25">
      <c r="A9" t="s">
        <v>42</v>
      </c>
      <c r="C9" s="14">
        <f>SUBTOTAL(109,April_Balance[Opening balance])</f>
        <v>8256.11</v>
      </c>
      <c r="D9" s="14">
        <f>SUBTOTAL(109,April_Balance[Operations])</f>
        <v>726.83999999999969</v>
      </c>
      <c r="E9" s="14">
        <f>SUBTOTAL(109,April_Balance[Closing Balance])</f>
        <v>8982.9499999999989</v>
      </c>
      <c r="G9" t="s">
        <v>8</v>
      </c>
      <c r="H9" s="13">
        <f>SUMIFS(Operations[Amount],Operations[Month],$B$12,Operations[Category],G9)</f>
        <v>-139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4</v>
      </c>
      <c r="G12" t="s">
        <v>11</v>
      </c>
      <c r="H12" s="13">
        <f>SUMIFS(Operations[Amount],Operations[Month],$B$12,Operations[Category],G12)</f>
        <v>-100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-3973.16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4700</v>
      </c>
      <c r="G16" t="s">
        <v>14</v>
      </c>
      <c r="H16" s="13">
        <f>SUMIFS(Operations[Amount],Operations[Month],$B$12,Operations[Category],G16)</f>
        <v>150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50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SUBTOTAL(109,April_Categories[Sum])</f>
        <v>726.84000000000015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6D42-D295-402C-8BF0-79CA829DFAE1}">
  <dimension ref="A1:H21"/>
  <sheetViews>
    <sheetView zoomScaleNormal="100" workbookViewId="0">
      <selection activeCell="F27" sqref="F27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April_Balance[[#This Row],[Closing Balance]]</f>
        <v>6523.83</v>
      </c>
      <c r="D2" s="13">
        <f>SUMIFS(Operations[Amount], Operations[Bank],May_Balance[[#This Row],[Bank]],Operations[Product],May_Balance[[#This Row],[Product]],Operations[Month],$B$12)</f>
        <v>2328.61</v>
      </c>
      <c r="E2" s="13">
        <f>May_Balance[[#This Row],[Opening balance]]+May_Balance[[#This Row],[Operations]]</f>
        <v>8852.44</v>
      </c>
      <c r="G2" t="s">
        <v>2</v>
      </c>
      <c r="H2" s="13">
        <f>SUMIFS(Operations[Amount],Operations[Month],$B$12,Operations[Category],G2)</f>
        <v>-1000</v>
      </c>
    </row>
    <row r="3" spans="1:8" x14ac:dyDescent="0.25">
      <c r="A3" t="s">
        <v>20</v>
      </c>
      <c r="B3" t="s">
        <v>23</v>
      </c>
      <c r="C3" s="13">
        <f>April_Balance[[#This Row],[Closing Balance]]</f>
        <v>-91.389999999999986</v>
      </c>
      <c r="D3" s="13">
        <f>SUMIFS(Operations[Amount], Operations[Bank],May_Balance[[#This Row],[Bank]],Operations[Product],May_Balance[[#This Row],[Product]],Operations[Month],$B$12)</f>
        <v>-908.61</v>
      </c>
      <c r="E3" s="13">
        <f>May_Balance[[#This Row],[Opening balance]]+May_Balance[[#This Row],[Operations]]</f>
        <v>-1000</v>
      </c>
      <c r="G3" t="s">
        <v>3</v>
      </c>
      <c r="H3" s="13">
        <f>SUMIFS(Operations[Amount],Operations[Month],$B$12,Operations[Category],G3)</f>
        <v>-80</v>
      </c>
    </row>
    <row r="4" spans="1:8" x14ac:dyDescent="0.25">
      <c r="A4" t="s">
        <v>20</v>
      </c>
      <c r="B4" t="s">
        <v>24</v>
      </c>
      <c r="C4" s="13">
        <f>April_Balance[[#This Row],[Closing Balance]]</f>
        <v>1200</v>
      </c>
      <c r="D4" s="13">
        <f>SUMIFS(Operations[Amount], Operations[Bank],May_Balance[[#This Row],[Bank]],Operations[Product],May_Balance[[#This Row],[Product]],Operations[Month],$B$12)</f>
        <v>0</v>
      </c>
      <c r="E4" s="13">
        <f>May_Balance[[#This Row],[Opening balance]]+May_Balance[[#This Row],[Operations]]</f>
        <v>1200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April_Balance[[#This Row],[Closing Balance]]</f>
        <v>268.5</v>
      </c>
      <c r="D5" s="13">
        <f>SUMIFS(Operations[Amount], Operations[Bank],May_Balance[[#This Row],[Bank]],Operations[Product],May_Balance[[#This Row],[Product]],Operations[Month],$B$12)</f>
        <v>-50</v>
      </c>
      <c r="E5" s="13">
        <f>May_Balance[[#This Row],[Opening balance]]+May_Balance[[#This Row],[Operations]]</f>
        <v>218.5</v>
      </c>
      <c r="G5" t="s">
        <v>4</v>
      </c>
      <c r="H5" s="13">
        <f>SUMIFS(Operations[Amount],Operations[Month],$B$12,Operations[Category],G5)</f>
        <v>0</v>
      </c>
    </row>
    <row r="6" spans="1:8" x14ac:dyDescent="0.25">
      <c r="A6" t="s">
        <v>21</v>
      </c>
      <c r="B6" t="s">
        <v>25</v>
      </c>
      <c r="C6" s="13">
        <f>April_Balance[[#This Row],[Closing Balance]]</f>
        <v>336</v>
      </c>
      <c r="D6" s="13">
        <f>SUMIFS(Operations[Amount], Operations[Bank],May_Balance[[#This Row],[Bank]],Operations[Product],May_Balance[[#This Row],[Product]],Operations[Month],$B$12)</f>
        <v>0</v>
      </c>
      <c r="E6" s="13">
        <f>May_Balance[[#This Row],[Opening balance]]+May_Balance[[#This Row],[Operations]]</f>
        <v>336</v>
      </c>
      <c r="G6" t="s">
        <v>5</v>
      </c>
      <c r="H6" s="13">
        <f>SUMIFS(Operations[Amount],Operations[Month],$B$12,Operations[Category],G6)</f>
        <v>-80</v>
      </c>
    </row>
    <row r="7" spans="1:8" x14ac:dyDescent="0.25">
      <c r="A7" t="s">
        <v>26</v>
      </c>
      <c r="B7" t="s">
        <v>27</v>
      </c>
      <c r="C7" s="13">
        <f>April_Balance[[#This Row],[Closing Balance]]</f>
        <v>670.5</v>
      </c>
      <c r="D7" s="13">
        <f>SUMIFS(Operations[Amount], Operations[Bank],May_Balance[[#This Row],[Bank]],Operations[Product],May_Balance[[#This Row],[Product]],Operations[Month],$B$12)</f>
        <v>-80</v>
      </c>
      <c r="E7" s="13">
        <f>May_Balance[[#This Row],[Opening balance]]+May_Balance[[#This Row],[Operations]]</f>
        <v>590.5</v>
      </c>
      <c r="G7" t="s">
        <v>6</v>
      </c>
      <c r="H7" s="13">
        <f>SUMIFS(Operations[Amount],Operations[Month],$B$12,Operations[Category],G7)</f>
        <v>0</v>
      </c>
    </row>
    <row r="8" spans="1:8" x14ac:dyDescent="0.25">
      <c r="A8" t="s">
        <v>26</v>
      </c>
      <c r="B8" t="s">
        <v>30</v>
      </c>
      <c r="C8" s="13">
        <f>April_Balance[[#This Row],[Closing Balance]]</f>
        <v>75.510000000000005</v>
      </c>
      <c r="D8" s="13">
        <f>SUMIFS(Operations[Amount], Operations[Bank],May_Balance[[#This Row],[Bank]],Operations[Product],May_Balance[[#This Row],[Product]],Operations[Month],$B$12)</f>
        <v>0</v>
      </c>
      <c r="E8" s="13">
        <f>May_Balance[[#This Row],[Opening balance]]+May_Balance[[#This Row],[Operations]]</f>
        <v>75.510000000000005</v>
      </c>
      <c r="G8" t="s">
        <v>7</v>
      </c>
      <c r="H8" s="13">
        <f>SUMIFS(Operations[Amount],Operations[Month],$B$12,Operations[Category],G8)</f>
        <v>-50</v>
      </c>
    </row>
    <row r="9" spans="1:8" x14ac:dyDescent="0.25">
      <c r="A9" t="s">
        <v>42</v>
      </c>
      <c r="C9" s="14">
        <f>SUBTOTAL(109,May_Balance[Opening balance])</f>
        <v>8982.9499999999989</v>
      </c>
      <c r="D9" s="14">
        <f>SUBTOTAL(109,May_Balance[Operations])</f>
        <v>1290</v>
      </c>
      <c r="E9" s="14">
        <f>SUBTOTAL(109,May_Balance[Closing Balance])</f>
        <v>10272.950000000001</v>
      </c>
      <c r="G9" t="s">
        <v>8</v>
      </c>
      <c r="H9" s="13">
        <f>SUMIFS(Operations[Amount],Operations[Month],$B$12,Operations[Category],G9)</f>
        <v>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5</v>
      </c>
      <c r="G12" t="s">
        <v>11</v>
      </c>
      <c r="H12" s="13">
        <f>SUMIFS(Operations[Amount],Operations[Month],$B$12,Operations[Category],G12)</f>
        <v>0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-3210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4500</v>
      </c>
      <c r="G16" t="s">
        <v>14</v>
      </c>
      <c r="H16" s="13">
        <f>SUMIFS(Operations[Amount],Operations[Month],$B$12,Operations[Category],G16)</f>
        <v>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SUBTOTAL(109,May_Categories[Sum])</f>
        <v>1290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A790-3DD3-4BA7-9758-1A7BB3720992}">
  <dimension ref="A1:H21"/>
  <sheetViews>
    <sheetView zoomScaleNormal="100" workbookViewId="0">
      <selection activeCell="G25" sqref="G25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May_Balance[[#This Row],[Closing Balance]]</f>
        <v>8852.44</v>
      </c>
      <c r="D2" s="13">
        <f>SUMIFS(Operations[Amount], Operations[Bank],June_Balance[[#This Row],[Bank]],Operations[Product],June_Balance[[#This Row],[Product]],Operations[Month],$B$12)</f>
        <v>1420</v>
      </c>
      <c r="E2" s="13">
        <f>June_Balance[[#This Row],[Opening balance]]+June_Balance[[#This Row],[Operations]]</f>
        <v>10272.44</v>
      </c>
      <c r="G2" t="s">
        <v>2</v>
      </c>
      <c r="H2" s="13">
        <f>SUMIFS(Operations[Amount],Operations[Month],$B$12,Operations[Category],G2)</f>
        <v>-1000</v>
      </c>
    </row>
    <row r="3" spans="1:8" x14ac:dyDescent="0.25">
      <c r="A3" t="s">
        <v>20</v>
      </c>
      <c r="B3" t="s">
        <v>23</v>
      </c>
      <c r="C3" s="13">
        <f>May_Balance[[#This Row],[Closing Balance]]</f>
        <v>-1000</v>
      </c>
      <c r="D3" s="13">
        <f>SUMIFS(Operations[Amount], Operations[Bank],June_Balance[[#This Row],[Bank]],Operations[Product],June_Balance[[#This Row],[Product]],Operations[Month],$B$12)</f>
        <v>-300</v>
      </c>
      <c r="E3" s="13">
        <f>June_Balance[[#This Row],[Opening balance]]+June_Balance[[#This Row],[Operations]]</f>
        <v>-1300</v>
      </c>
      <c r="G3" t="s">
        <v>3</v>
      </c>
      <c r="H3" s="13">
        <f>SUMIFS(Operations[Amount],Operations[Month],$B$12,Operations[Category],G3)</f>
        <v>-200</v>
      </c>
    </row>
    <row r="4" spans="1:8" x14ac:dyDescent="0.25">
      <c r="A4" t="s">
        <v>20</v>
      </c>
      <c r="B4" t="s">
        <v>24</v>
      </c>
      <c r="C4" s="13">
        <f>May_Balance[[#This Row],[Closing Balance]]</f>
        <v>1200</v>
      </c>
      <c r="D4" s="13">
        <f>SUMIFS(Operations[Amount], Operations[Bank],June_Balance[[#This Row],[Bank]],Operations[Product],June_Balance[[#This Row],[Product]],Operations[Month],$B$12)</f>
        <v>0</v>
      </c>
      <c r="E4" s="13">
        <f>June_Balance[[#This Row],[Opening balance]]+June_Balance[[#This Row],[Operations]]</f>
        <v>1200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May_Balance[[#This Row],[Closing Balance]]</f>
        <v>218.5</v>
      </c>
      <c r="D5" s="13">
        <f>SUMIFS(Operations[Amount], Operations[Bank],June_Balance[[#This Row],[Bank]],Operations[Product],June_Balance[[#This Row],[Product]],Operations[Month],$B$12)</f>
        <v>250</v>
      </c>
      <c r="E5" s="13">
        <f>June_Balance[[#This Row],[Opening balance]]+June_Balance[[#This Row],[Operations]]</f>
        <v>468.5</v>
      </c>
      <c r="G5" t="s">
        <v>4</v>
      </c>
      <c r="H5" s="13">
        <f>SUMIFS(Operations[Amount],Operations[Month],$B$12,Operations[Category],G5)</f>
        <v>-300</v>
      </c>
    </row>
    <row r="6" spans="1:8" x14ac:dyDescent="0.25">
      <c r="A6" t="s">
        <v>21</v>
      </c>
      <c r="B6" t="s">
        <v>25</v>
      </c>
      <c r="C6" s="13">
        <f>May_Balance[[#This Row],[Closing Balance]]</f>
        <v>336</v>
      </c>
      <c r="D6" s="13">
        <f>SUMIFS(Operations[Amount], Operations[Bank],June_Balance[[#This Row],[Bank]],Operations[Product],June_Balance[[#This Row],[Product]],Operations[Month],$B$12)</f>
        <v>0</v>
      </c>
      <c r="E6" s="13">
        <f>June_Balance[[#This Row],[Opening balance]]+June_Balance[[#This Row],[Operations]]</f>
        <v>336</v>
      </c>
      <c r="G6" t="s">
        <v>5</v>
      </c>
      <c r="H6" s="13">
        <f>SUMIFS(Operations[Amount],Operations[Month],$B$12,Operations[Category],G6)</f>
        <v>-80</v>
      </c>
    </row>
    <row r="7" spans="1:8" x14ac:dyDescent="0.25">
      <c r="A7" t="s">
        <v>26</v>
      </c>
      <c r="B7" t="s">
        <v>27</v>
      </c>
      <c r="C7" s="13">
        <f>May_Balance[[#This Row],[Closing Balance]]</f>
        <v>590.5</v>
      </c>
      <c r="D7" s="13">
        <f>SUMIFS(Operations[Amount], Operations[Bank],June_Balance[[#This Row],[Bank]],Operations[Product],June_Balance[[#This Row],[Product]],Operations[Month],$B$12)</f>
        <v>-200</v>
      </c>
      <c r="E7" s="13">
        <f>June_Balance[[#This Row],[Opening balance]]+June_Balance[[#This Row],[Operations]]</f>
        <v>390.5</v>
      </c>
      <c r="G7" t="s">
        <v>6</v>
      </c>
      <c r="H7" s="13">
        <f>SUMIFS(Operations[Amount],Operations[Month],$B$12,Operations[Category],G7)</f>
        <v>-100</v>
      </c>
    </row>
    <row r="8" spans="1:8" x14ac:dyDescent="0.25">
      <c r="A8" t="s">
        <v>26</v>
      </c>
      <c r="B8" t="s">
        <v>30</v>
      </c>
      <c r="C8" s="13">
        <f>May_Balance[[#This Row],[Closing Balance]]</f>
        <v>75.510000000000005</v>
      </c>
      <c r="D8" s="13">
        <f>SUMIFS(Operations[Amount], Operations[Bank],June_Balance[[#This Row],[Bank]],Operations[Product],June_Balance[[#This Row],[Product]],Operations[Month],$B$12)</f>
        <v>0</v>
      </c>
      <c r="E8" s="13">
        <f>June_Balance[[#This Row],[Opening balance]]+June_Balance[[#This Row],[Operations]]</f>
        <v>75.510000000000005</v>
      </c>
      <c r="G8" t="s">
        <v>7</v>
      </c>
      <c r="H8" s="13">
        <f>SUMIFS(Operations[Amount],Operations[Month],$B$12,Operations[Category],G8)</f>
        <v>-50</v>
      </c>
    </row>
    <row r="9" spans="1:8" x14ac:dyDescent="0.25">
      <c r="A9" t="s">
        <v>42</v>
      </c>
      <c r="C9" s="14">
        <f>SUBTOTAL(109,June_Balance[Opening balance])</f>
        <v>10272.950000000001</v>
      </c>
      <c r="D9" s="14">
        <f>SUBTOTAL(109,June_Balance[Operations])</f>
        <v>1170</v>
      </c>
      <c r="E9" s="14">
        <f>SUBTOTAL(109,June_Balance[Closing Balance])</f>
        <v>11442.95</v>
      </c>
      <c r="G9" t="s">
        <v>8</v>
      </c>
      <c r="H9" s="13">
        <f>SUMIFS(Operations[Amount],Operations[Month],$B$12,Operations[Category],G9)</f>
        <v>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6</v>
      </c>
      <c r="G12" t="s">
        <v>11</v>
      </c>
      <c r="H12" s="13">
        <f>SUMIFS(Operations[Amount],Operations[Month],$B$12,Operations[Category],G12)</f>
        <v>0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-3730</v>
      </c>
      <c r="G15" t="s">
        <v>29</v>
      </c>
      <c r="H15" s="13">
        <f>SUMIFS(Operations[Amount],Operations[Month],$B$12,Operations[Category],G15)</f>
        <v>400</v>
      </c>
    </row>
    <row r="16" spans="1:8" x14ac:dyDescent="0.25">
      <c r="A16" s="18" t="str">
        <v>Income</v>
      </c>
      <c r="B16" s="19">
        <f>SUMIFS(Operations[Amount],Operations[Month],$B$12,Operations[Type],A16)</f>
        <v>4900</v>
      </c>
      <c r="G16" t="s">
        <v>14</v>
      </c>
      <c r="H16" s="13">
        <f>SUMIFS(Operations[Amount],Operations[Month],$B$12,Operations[Category],G16)</f>
        <v>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SUBTOTAL(109,June_Categories[Sum])</f>
        <v>1170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7194-8739-4F01-BD20-E38C53D00828}">
  <dimension ref="A1:H21"/>
  <sheetViews>
    <sheetView zoomScaleNormal="100" workbookViewId="0">
      <selection activeCell="H27" sqref="H27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June_Balance[[#This Row],[Closing Balance]]</f>
        <v>10272.44</v>
      </c>
      <c r="D2" s="13">
        <f>SUMIFS(Operations[Amount], Operations[Bank],July_Balance[[#This Row],[Bank]],Operations[Product],July_Balance[[#This Row],[Product]],Operations[Month],$B$12)</f>
        <v>1010</v>
      </c>
      <c r="E2" s="13">
        <f>July_Balance[[#This Row],[Opening balance]]+July_Balance[[#This Row],[Operations]]</f>
        <v>11282.44</v>
      </c>
      <c r="G2" t="s">
        <v>2</v>
      </c>
      <c r="H2" s="13">
        <f>SUMIFS(Operations[Amount],Operations[Month],$B$12,Operations[Category],G2)</f>
        <v>-165</v>
      </c>
    </row>
    <row r="3" spans="1:8" x14ac:dyDescent="0.25">
      <c r="A3" t="s">
        <v>20</v>
      </c>
      <c r="B3" t="s">
        <v>23</v>
      </c>
      <c r="C3" s="13">
        <f>June_Balance[[#This Row],[Closing Balance]]</f>
        <v>-1300</v>
      </c>
      <c r="D3" s="13">
        <f>SUMIFS(Operations[Amount], Operations[Bank],July_Balance[[#This Row],[Bank]],Operations[Product],July_Balance[[#This Row],[Product]],Operations[Month],$B$12)</f>
        <v>1165</v>
      </c>
      <c r="E3" s="13">
        <f>July_Balance[[#This Row],[Opening balance]]+July_Balance[[#This Row],[Operations]]</f>
        <v>-135</v>
      </c>
      <c r="G3" t="s">
        <v>3</v>
      </c>
      <c r="H3" s="13">
        <f>SUMIFS(Operations[Amount],Operations[Month],$B$12,Operations[Category],G3)</f>
        <v>-700</v>
      </c>
    </row>
    <row r="4" spans="1:8" x14ac:dyDescent="0.25">
      <c r="A4" t="s">
        <v>20</v>
      </c>
      <c r="B4" t="s">
        <v>24</v>
      </c>
      <c r="C4" s="13">
        <f>June_Balance[[#This Row],[Closing Balance]]</f>
        <v>1200</v>
      </c>
      <c r="D4" s="13">
        <f>SUMIFS(Operations[Amount], Operations[Bank],July_Balance[[#This Row],[Bank]],Operations[Product],July_Balance[[#This Row],[Product]],Operations[Month],$B$12)</f>
        <v>-180</v>
      </c>
      <c r="E4" s="13">
        <f>July_Balance[[#This Row],[Opening balance]]+July_Balance[[#This Row],[Operations]]</f>
        <v>1020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June_Balance[[#This Row],[Closing Balance]]</f>
        <v>468.5</v>
      </c>
      <c r="D5" s="13">
        <f>SUMIFS(Operations[Amount], Operations[Bank],July_Balance[[#This Row],[Bank]],Operations[Product],July_Balance[[#This Row],[Product]],Operations[Month],$B$12)</f>
        <v>-100</v>
      </c>
      <c r="E5" s="13">
        <f>July_Balance[[#This Row],[Opening balance]]+July_Balance[[#This Row],[Operations]]</f>
        <v>368.5</v>
      </c>
      <c r="G5" t="s">
        <v>4</v>
      </c>
      <c r="H5" s="13">
        <f>SUMIFS(Operations[Amount],Operations[Month],$B$12,Operations[Category],G5)</f>
        <v>250</v>
      </c>
    </row>
    <row r="6" spans="1:8" x14ac:dyDescent="0.25">
      <c r="A6" t="s">
        <v>21</v>
      </c>
      <c r="B6" t="s">
        <v>25</v>
      </c>
      <c r="C6" s="13">
        <f>June_Balance[[#This Row],[Closing Balance]]</f>
        <v>336</v>
      </c>
      <c r="D6" s="13">
        <f>SUMIFS(Operations[Amount], Operations[Bank],July_Balance[[#This Row],[Bank]],Operations[Product],July_Balance[[#This Row],[Product]],Operations[Month],$B$12)</f>
        <v>1050</v>
      </c>
      <c r="E6" s="13">
        <f>July_Balance[[#This Row],[Opening balance]]+July_Balance[[#This Row],[Operations]]</f>
        <v>1386</v>
      </c>
      <c r="G6" t="s">
        <v>5</v>
      </c>
      <c r="H6" s="13">
        <f>SUMIFS(Operations[Amount],Operations[Month],$B$12,Operations[Category],G6)</f>
        <v>-90</v>
      </c>
    </row>
    <row r="7" spans="1:8" x14ac:dyDescent="0.25">
      <c r="A7" t="s">
        <v>26</v>
      </c>
      <c r="B7" t="s">
        <v>27</v>
      </c>
      <c r="C7" s="13">
        <f>June_Balance[[#This Row],[Closing Balance]]</f>
        <v>390.5</v>
      </c>
      <c r="D7" s="13">
        <f>SUMIFS(Operations[Amount], Operations[Bank],July_Balance[[#This Row],[Bank]],Operations[Product],July_Balance[[#This Row],[Product]],Operations[Month],$B$12)</f>
        <v>0</v>
      </c>
      <c r="E7" s="13">
        <f>July_Balance[[#This Row],[Opening balance]]+July_Balance[[#This Row],[Operations]]</f>
        <v>390.5</v>
      </c>
      <c r="G7" t="s">
        <v>6</v>
      </c>
      <c r="H7" s="13">
        <f>SUMIFS(Operations[Amount],Operations[Month],$B$12,Operations[Category],G7)</f>
        <v>-300</v>
      </c>
    </row>
    <row r="8" spans="1:8" x14ac:dyDescent="0.25">
      <c r="A8" t="s">
        <v>26</v>
      </c>
      <c r="B8" t="s">
        <v>30</v>
      </c>
      <c r="C8" s="13">
        <f>June_Balance[[#This Row],[Closing Balance]]</f>
        <v>75.510000000000005</v>
      </c>
      <c r="D8" s="13">
        <f>SUMIFS(Operations[Amount], Operations[Bank],July_Balance[[#This Row],[Bank]],Operations[Product],July_Balance[[#This Row],[Product]],Operations[Month],$B$12)</f>
        <v>-30</v>
      </c>
      <c r="E8" s="13">
        <f>July_Balance[[#This Row],[Opening balance]]+July_Balance[[#This Row],[Operations]]</f>
        <v>45.510000000000005</v>
      </c>
      <c r="G8" t="s">
        <v>7</v>
      </c>
      <c r="H8" s="13">
        <f>SUMIFS(Operations[Amount],Operations[Month],$B$12,Operations[Category],G8)</f>
        <v>0</v>
      </c>
    </row>
    <row r="9" spans="1:8" x14ac:dyDescent="0.25">
      <c r="A9" t="s">
        <v>42</v>
      </c>
      <c r="C9" s="14">
        <f>SUBTOTAL(109,July_Balance[Opening balance])</f>
        <v>11442.95</v>
      </c>
      <c r="D9" s="14">
        <f>SUBTOTAL(109,July_Balance[Operations])</f>
        <v>2915</v>
      </c>
      <c r="E9" s="14">
        <f>SUBTOTAL(109,July_Balance[Closing Balance])</f>
        <v>14357.95</v>
      </c>
      <c r="G9" t="s">
        <v>8</v>
      </c>
      <c r="H9" s="13">
        <f>SUMIFS(Operations[Amount],Operations[Month],$B$12,Operations[Category],G9)</f>
        <v>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7</v>
      </c>
      <c r="G12" t="s">
        <v>11</v>
      </c>
      <c r="H12" s="13">
        <f>SUMIFS(Operations[Amount],Operations[Month],$B$12,Operations[Category],G12)</f>
        <v>0</v>
      </c>
    </row>
    <row r="13" spans="1:8" x14ac:dyDescent="0.25">
      <c r="G13" t="s">
        <v>28</v>
      </c>
      <c r="H13" s="13">
        <f>SUMIFS(Operations[Amount],Operations[Month],$B$12,Operations[Category],G13)</f>
        <v>500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-3005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5920</v>
      </c>
      <c r="G16" t="s">
        <v>14</v>
      </c>
      <c r="H16" s="13">
        <f>SUMIFS(Operations[Amount],Operations[Month],$B$12,Operations[Category],G16)</f>
        <v>120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800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SUBTOTAL(109,July_Categories[Sum])</f>
        <v>2915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2EEB-6632-4688-B51F-E7CAF68BD96B}">
  <dimension ref="A1:H21"/>
  <sheetViews>
    <sheetView zoomScaleNormal="100" workbookViewId="0">
      <selection activeCell="H26" sqref="H26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July_Balance[[#This Row],[Closing Balance]]</f>
        <v>11282.44</v>
      </c>
      <c r="D2" s="13">
        <f>SUMIFS(Operations[Amount], Operations[Bank],August_Balance[[#This Row],[Bank]],Operations[Product],August_Balance[[#This Row],[Product]],Operations[Month],$B$12)</f>
        <v>2495</v>
      </c>
      <c r="E2" s="13">
        <f>August_Balance[[#This Row],[Opening balance]]+August_Balance[[#This Row],[Operations]]</f>
        <v>13777.44</v>
      </c>
      <c r="G2" t="s">
        <v>2</v>
      </c>
      <c r="H2" s="13">
        <f>SUMIFS(Operations[Amount],Operations[Month],$B$12,Operations[Category],G2)</f>
        <v>-749.5</v>
      </c>
    </row>
    <row r="3" spans="1:8" x14ac:dyDescent="0.25">
      <c r="A3" t="s">
        <v>20</v>
      </c>
      <c r="B3" t="s">
        <v>23</v>
      </c>
      <c r="C3" s="13">
        <f>July_Balance[[#This Row],[Closing Balance]]</f>
        <v>-135</v>
      </c>
      <c r="D3" s="13">
        <f>SUMIFS(Operations[Amount], Operations[Bank],August_Balance[[#This Row],[Bank]],Operations[Product],August_Balance[[#This Row],[Product]],Operations[Month],$B$12)</f>
        <v>33</v>
      </c>
      <c r="E3" s="13">
        <f>August_Balance[[#This Row],[Opening balance]]+August_Balance[[#This Row],[Operations]]</f>
        <v>-102</v>
      </c>
      <c r="G3" t="s">
        <v>3</v>
      </c>
      <c r="H3" s="13">
        <f>SUMIFS(Operations[Amount],Operations[Month],$B$12,Operations[Category],G3)</f>
        <v>-250</v>
      </c>
    </row>
    <row r="4" spans="1:8" x14ac:dyDescent="0.25">
      <c r="A4" t="s">
        <v>20</v>
      </c>
      <c r="B4" t="s">
        <v>24</v>
      </c>
      <c r="C4" s="13">
        <f>July_Balance[[#This Row],[Closing Balance]]</f>
        <v>1020</v>
      </c>
      <c r="D4" s="13">
        <f>SUMIFS(Operations[Amount], Operations[Bank],August_Balance[[#This Row],[Bank]],Operations[Product],August_Balance[[#This Row],[Product]],Operations[Month],$B$12)</f>
        <v>-1020</v>
      </c>
      <c r="E4" s="13">
        <f>August_Balance[[#This Row],[Opening balance]]+August_Balance[[#This Row],[Operations]]</f>
        <v>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July_Balance[[#This Row],[Closing Balance]]</f>
        <v>368.5</v>
      </c>
      <c r="D5" s="13">
        <f>SUMIFS(Operations[Amount], Operations[Bank],August_Balance[[#This Row],[Bank]],Operations[Product],August_Balance[[#This Row],[Product]],Operations[Month],$B$12)</f>
        <v>200</v>
      </c>
      <c r="E5" s="13">
        <f>August_Balance[[#This Row],[Opening balance]]+August_Balance[[#This Row],[Operations]]</f>
        <v>568.5</v>
      </c>
      <c r="G5" t="s">
        <v>4</v>
      </c>
      <c r="H5" s="13">
        <f>SUMIFS(Operations[Amount],Operations[Month],$B$12,Operations[Category],G5)</f>
        <v>-300</v>
      </c>
    </row>
    <row r="6" spans="1:8" x14ac:dyDescent="0.25">
      <c r="A6" t="s">
        <v>21</v>
      </c>
      <c r="B6" t="s">
        <v>25</v>
      </c>
      <c r="C6" s="13">
        <f>July_Balance[[#This Row],[Closing Balance]]</f>
        <v>1386</v>
      </c>
      <c r="D6" s="13">
        <f>SUMIFS(Operations[Amount], Operations[Bank],August_Balance[[#This Row],[Bank]],Operations[Product],August_Balance[[#This Row],[Product]],Operations[Month],$B$12)</f>
        <v>-300</v>
      </c>
      <c r="E6" s="13">
        <f>August_Balance[[#This Row],[Opening balance]]+August_Balance[[#This Row],[Operations]]</f>
        <v>1086</v>
      </c>
      <c r="G6" t="s">
        <v>5</v>
      </c>
      <c r="H6" s="13">
        <f>SUMIFS(Operations[Amount],Operations[Month],$B$12,Operations[Category],G6)</f>
        <v>-290</v>
      </c>
    </row>
    <row r="7" spans="1:8" x14ac:dyDescent="0.25">
      <c r="A7" t="s">
        <v>26</v>
      </c>
      <c r="B7" t="s">
        <v>27</v>
      </c>
      <c r="C7" s="13">
        <f>July_Balance[[#This Row],[Closing Balance]]</f>
        <v>390.5</v>
      </c>
      <c r="D7" s="13">
        <f>SUMIFS(Operations[Amount], Operations[Bank],August_Balance[[#This Row],[Bank]],Operations[Product],August_Balance[[#This Row],[Product]],Operations[Month],$B$12)</f>
        <v>2.5</v>
      </c>
      <c r="E7" s="13">
        <f>August_Balance[[#This Row],[Opening balance]]+August_Balance[[#This Row],[Operations]]</f>
        <v>393</v>
      </c>
      <c r="G7" t="s">
        <v>6</v>
      </c>
      <c r="H7" s="13">
        <f>SUMIFS(Operations[Amount],Operations[Month],$B$12,Operations[Category],G7)</f>
        <v>-400</v>
      </c>
    </row>
    <row r="8" spans="1:8" x14ac:dyDescent="0.25">
      <c r="A8" t="s">
        <v>26</v>
      </c>
      <c r="B8" t="s">
        <v>30</v>
      </c>
      <c r="C8" s="13">
        <f>July_Balance[[#This Row],[Closing Balance]]</f>
        <v>45.510000000000005</v>
      </c>
      <c r="D8" s="13">
        <f>SUMIFS(Operations[Amount], Operations[Bank],August_Balance[[#This Row],[Bank]],Operations[Product],August_Balance[[#This Row],[Product]],Operations[Month],$B$12)</f>
        <v>0</v>
      </c>
      <c r="E8" s="13">
        <f>August_Balance[[#This Row],[Opening balance]]+August_Balance[[#This Row],[Operations]]</f>
        <v>45.510000000000005</v>
      </c>
      <c r="G8" t="s">
        <v>7</v>
      </c>
      <c r="H8" s="13">
        <f>SUMIFS(Operations[Amount],Operations[Month],$B$12,Operations[Category],G8)</f>
        <v>0</v>
      </c>
    </row>
    <row r="9" spans="1:8" x14ac:dyDescent="0.25">
      <c r="A9" t="s">
        <v>42</v>
      </c>
      <c r="C9" s="14">
        <f>SUBTOTAL(109,August_Balance[Opening balance])</f>
        <v>14357.95</v>
      </c>
      <c r="D9" s="14">
        <f>SUBTOTAL(109,August_Balance[Operations])</f>
        <v>1410.5</v>
      </c>
      <c r="E9" s="14">
        <f>SUBTOTAL(109,August_Balance[Closing Balance])</f>
        <v>15768.45</v>
      </c>
      <c r="G9" t="s">
        <v>8</v>
      </c>
      <c r="H9" s="13">
        <f>SUMIFS(Operations[Amount],Operations[Month],$B$12,Operations[Category],G9)</f>
        <v>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8</v>
      </c>
      <c r="G12" t="s">
        <v>11</v>
      </c>
      <c r="H12" s="13">
        <f>SUMIFS(Operations[Amount],Operations[Month],$B$12,Operations[Category],G12)</f>
        <v>0</v>
      </c>
    </row>
    <row r="13" spans="1:8" x14ac:dyDescent="0.25">
      <c r="G13" t="s">
        <v>28</v>
      </c>
      <c r="H13" s="13">
        <f>SUMIFS(Operations[Amount],Operations[Month],$B$12,Operations[Category],G13)</f>
        <v>500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-3989.5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5400</v>
      </c>
      <c r="G16" t="s">
        <v>14</v>
      </c>
      <c r="H16" s="13">
        <f>SUMIFS(Operations[Amount],Operations[Month],$B$12,Operations[Category],G16)</f>
        <v>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400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SUBTOTAL(109,August_Categories[Sum])</f>
        <v>1410.5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FB9A-EDA0-4C2C-8DB8-4FB0E02BD986}">
  <dimension ref="A1:H21"/>
  <sheetViews>
    <sheetView zoomScaleNormal="100" workbookViewId="0">
      <selection activeCell="H23" sqref="H23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August_Balance[[#This Row],[Closing Balance]]</f>
        <v>13777.44</v>
      </c>
      <c r="D2" s="13">
        <f>SUMIFS(Operations[Amount], Operations[Bank],September_Balance[[#This Row],[Bank]],Operations[Product],September_Balance[[#This Row],[Product]],Operations[Month],$B$12)</f>
        <v>1689.5</v>
      </c>
      <c r="E2" s="13">
        <f>September_Balance[[#This Row],[Opening balance]]+September_Balance[[#This Row],[Operations]]</f>
        <v>15466.94</v>
      </c>
      <c r="G2" t="s">
        <v>2</v>
      </c>
      <c r="H2" s="13">
        <f>SUMIFS(Operations[Amount],Operations[Month],$B$12,Operations[Category],G2)</f>
        <v>-538.5</v>
      </c>
    </row>
    <row r="3" spans="1:8" x14ac:dyDescent="0.25">
      <c r="A3" t="s">
        <v>20</v>
      </c>
      <c r="B3" t="s">
        <v>23</v>
      </c>
      <c r="C3" s="13">
        <f>August_Balance[[#This Row],[Closing Balance]]</f>
        <v>-102</v>
      </c>
      <c r="D3" s="13">
        <f>SUMIFS(Operations[Amount], Operations[Bank],September_Balance[[#This Row],[Bank]],Operations[Product],September_Balance[[#This Row],[Product]],Operations[Month],$B$12)</f>
        <v>82</v>
      </c>
      <c r="E3" s="13">
        <f>September_Balance[[#This Row],[Opening balance]]+September_Balance[[#This Row],[Operations]]</f>
        <v>-20</v>
      </c>
      <c r="G3" t="s">
        <v>3</v>
      </c>
      <c r="H3" s="13">
        <f>SUMIFS(Operations[Amount],Operations[Month],$B$12,Operations[Category],G3)</f>
        <v>-20</v>
      </c>
    </row>
    <row r="4" spans="1:8" x14ac:dyDescent="0.25">
      <c r="A4" t="s">
        <v>20</v>
      </c>
      <c r="B4" t="s">
        <v>24</v>
      </c>
      <c r="C4" s="13">
        <f>August_Balance[[#This Row],[Closing Balance]]</f>
        <v>0</v>
      </c>
      <c r="D4" s="13">
        <f>SUMIFS(Operations[Amount], Operations[Bank],September_Balance[[#This Row],[Bank]],Operations[Product],September_Balance[[#This Row],[Product]],Operations[Month],$B$12)</f>
        <v>0</v>
      </c>
      <c r="E4" s="13">
        <f>September_Balance[[#This Row],[Opening balance]]+September_Balance[[#This Row],[Operations]]</f>
        <v>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August_Balance[[#This Row],[Closing Balance]]</f>
        <v>568.5</v>
      </c>
      <c r="D5" s="13">
        <f>SUMIFS(Operations[Amount], Operations[Bank],September_Balance[[#This Row],[Bank]],Operations[Product],September_Balance[[#This Row],[Product]],Operations[Month],$B$12)</f>
        <v>-20</v>
      </c>
      <c r="E5" s="13">
        <f>September_Balance[[#This Row],[Opening balance]]+September_Balance[[#This Row],[Operations]]</f>
        <v>548.5</v>
      </c>
      <c r="G5" t="s">
        <v>4</v>
      </c>
      <c r="H5" s="13">
        <f>SUMIFS(Operations[Amount],Operations[Month],$B$12,Operations[Category],G5)</f>
        <v>0</v>
      </c>
    </row>
    <row r="6" spans="1:8" x14ac:dyDescent="0.25">
      <c r="A6" t="s">
        <v>21</v>
      </c>
      <c r="B6" t="s">
        <v>25</v>
      </c>
      <c r="C6" s="13">
        <f>August_Balance[[#This Row],[Closing Balance]]</f>
        <v>1086</v>
      </c>
      <c r="D6" s="13">
        <f>SUMIFS(Operations[Amount], Operations[Bank],September_Balance[[#This Row],[Bank]],Operations[Product],September_Balance[[#This Row],[Product]],Operations[Month],$B$12)</f>
        <v>0</v>
      </c>
      <c r="E6" s="13">
        <f>September_Balance[[#This Row],[Opening balance]]+September_Balance[[#This Row],[Operations]]</f>
        <v>1086</v>
      </c>
      <c r="G6" t="s">
        <v>5</v>
      </c>
      <c r="H6" s="13">
        <f>SUMIFS(Operations[Amount],Operations[Month],$B$12,Operations[Category],G6)</f>
        <v>-150</v>
      </c>
    </row>
    <row r="7" spans="1:8" x14ac:dyDescent="0.25">
      <c r="A7" t="s">
        <v>26</v>
      </c>
      <c r="B7" t="s">
        <v>27</v>
      </c>
      <c r="C7" s="13">
        <f>August_Balance[[#This Row],[Closing Balance]]</f>
        <v>393</v>
      </c>
      <c r="D7" s="13">
        <f>SUMIFS(Operations[Amount], Operations[Bank],September_Balance[[#This Row],[Bank]],Operations[Product],September_Balance[[#This Row],[Product]],Operations[Month],$B$12)</f>
        <v>0</v>
      </c>
      <c r="E7" s="13">
        <f>September_Balance[[#This Row],[Opening balance]]+September_Balance[[#This Row],[Operations]]</f>
        <v>393</v>
      </c>
      <c r="G7" t="s">
        <v>6</v>
      </c>
      <c r="H7" s="13">
        <f>SUMIFS(Operations[Amount],Operations[Month],$B$12,Operations[Category],G7)</f>
        <v>0</v>
      </c>
    </row>
    <row r="8" spans="1:8" x14ac:dyDescent="0.25">
      <c r="A8" t="s">
        <v>26</v>
      </c>
      <c r="B8" t="s">
        <v>30</v>
      </c>
      <c r="C8" s="13">
        <f>August_Balance[[#This Row],[Closing Balance]]</f>
        <v>45.510000000000005</v>
      </c>
      <c r="D8" s="13">
        <f>SUMIFS(Operations[Amount], Operations[Bank],September_Balance[[#This Row],[Bank]],Operations[Product],September_Balance[[#This Row],[Product]],Operations[Month],$B$12)</f>
        <v>0</v>
      </c>
      <c r="E8" s="13">
        <f>September_Balance[[#This Row],[Opening balance]]+September_Balance[[#This Row],[Operations]]</f>
        <v>45.510000000000005</v>
      </c>
      <c r="G8" t="s">
        <v>7</v>
      </c>
      <c r="H8" s="13">
        <f>SUMIFS(Operations[Amount],Operations[Month],$B$12,Operations[Category],G8)</f>
        <v>-40</v>
      </c>
    </row>
    <row r="9" spans="1:8" x14ac:dyDescent="0.25">
      <c r="A9" t="s">
        <v>42</v>
      </c>
      <c r="C9" s="14">
        <f>SUBTOTAL(109,September_Balance[Opening balance])</f>
        <v>15768.45</v>
      </c>
      <c r="D9" s="14">
        <f>SUBTOTAL(109,September_Balance[Operations])</f>
        <v>1751.5</v>
      </c>
      <c r="E9" s="14">
        <f>SUBTOTAL(109,September_Balance[Closing Balance])</f>
        <v>17519.95</v>
      </c>
      <c r="G9" t="s">
        <v>8</v>
      </c>
      <c r="H9" s="13">
        <f>SUMIFS(Operations[Amount],Operations[Month],$B$12,Operations[Category],G9)</f>
        <v>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9</v>
      </c>
      <c r="G12" t="s">
        <v>11</v>
      </c>
      <c r="H12" s="13">
        <f>SUMIFS(Operations[Amount],Operations[Month],$B$12,Operations[Category],G12)</f>
        <v>0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-2748.5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4500</v>
      </c>
      <c r="G16" t="s">
        <v>14</v>
      </c>
      <c r="H16" s="13">
        <f>SUMIFS(Operations[Amount],Operations[Month],$B$12,Operations[Category],G16)</f>
        <v>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SUBTOTAL(109,September_Categories[Sum])</f>
        <v>1751.5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D295-6335-46EA-A055-CD1C0CF38233}">
  <dimension ref="A1:H21"/>
  <sheetViews>
    <sheetView zoomScaleNormal="100" workbookViewId="0">
      <selection activeCell="I28" sqref="I28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September_Balance[[#This Row],[Closing Balance]]</f>
        <v>15466.94</v>
      </c>
      <c r="D2" s="13">
        <f>SUMIFS(Operations[Amount], Operations[Bank],October_Balance[[#This Row],[Bank]],Operations[Product],October_Balance[[#This Row],[Product]],Operations[Month],$B$12)</f>
        <v>1690</v>
      </c>
      <c r="E2" s="13">
        <f>October_Balance[[#This Row],[Opening balance]]+October_Balance[[#This Row],[Operations]]</f>
        <v>17156.940000000002</v>
      </c>
      <c r="G2" t="s">
        <v>2</v>
      </c>
      <c r="H2" s="13">
        <f>SUMIFS(Operations[Amount],Operations[Month],$B$12,Operations[Category],G2)</f>
        <v>-600</v>
      </c>
    </row>
    <row r="3" spans="1:8" x14ac:dyDescent="0.25">
      <c r="A3" t="s">
        <v>20</v>
      </c>
      <c r="B3" t="s">
        <v>23</v>
      </c>
      <c r="C3" s="13">
        <f>September_Balance[[#This Row],[Closing Balance]]</f>
        <v>-20</v>
      </c>
      <c r="D3" s="13">
        <f>SUMIFS(Operations[Amount], Operations[Bank],October_Balance[[#This Row],[Bank]],Operations[Product],October_Balance[[#This Row],[Product]],Operations[Month],$B$12)</f>
        <v>-20</v>
      </c>
      <c r="E3" s="13">
        <f>October_Balance[[#This Row],[Opening balance]]+October_Balance[[#This Row],[Operations]]</f>
        <v>-40</v>
      </c>
      <c r="G3" t="s">
        <v>3</v>
      </c>
      <c r="H3" s="13">
        <f>SUMIFS(Operations[Amount],Operations[Month],$B$12,Operations[Category],G3)</f>
        <v>-40</v>
      </c>
    </row>
    <row r="4" spans="1:8" x14ac:dyDescent="0.25">
      <c r="A4" t="s">
        <v>20</v>
      </c>
      <c r="B4" t="s">
        <v>24</v>
      </c>
      <c r="C4" s="13">
        <f>September_Balance[[#This Row],[Closing Balance]]</f>
        <v>0</v>
      </c>
      <c r="D4" s="13">
        <f>SUMIFS(Operations[Amount], Operations[Bank],October_Balance[[#This Row],[Bank]],Operations[Product],October_Balance[[#This Row],[Product]],Operations[Month],$B$12)</f>
        <v>0</v>
      </c>
      <c r="E4" s="13">
        <f>October_Balance[[#This Row],[Opening balance]]+October_Balance[[#This Row],[Operations]]</f>
        <v>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September_Balance[[#This Row],[Closing Balance]]</f>
        <v>548.5</v>
      </c>
      <c r="D5" s="13">
        <f>SUMIFS(Operations[Amount], Operations[Bank],October_Balance[[#This Row],[Bank]],Operations[Product],October_Balance[[#This Row],[Product]],Operations[Month],$B$12)</f>
        <v>0</v>
      </c>
      <c r="E5" s="13">
        <f>October_Balance[[#This Row],[Opening balance]]+October_Balance[[#This Row],[Operations]]</f>
        <v>548.5</v>
      </c>
      <c r="G5" t="s">
        <v>4</v>
      </c>
      <c r="H5" s="13">
        <f>SUMIFS(Operations[Amount],Operations[Month],$B$12,Operations[Category],G5)</f>
        <v>0</v>
      </c>
    </row>
    <row r="6" spans="1:8" x14ac:dyDescent="0.25">
      <c r="A6" t="s">
        <v>21</v>
      </c>
      <c r="B6" t="s">
        <v>25</v>
      </c>
      <c r="C6" s="13">
        <f>September_Balance[[#This Row],[Closing Balance]]</f>
        <v>1086</v>
      </c>
      <c r="D6" s="13">
        <f>SUMIFS(Operations[Amount], Operations[Bank],October_Balance[[#This Row],[Bank]],Operations[Product],October_Balance[[#This Row],[Product]],Operations[Month],$B$12)</f>
        <v>0</v>
      </c>
      <c r="E6" s="13">
        <f>October_Balance[[#This Row],[Opening balance]]+October_Balance[[#This Row],[Operations]]</f>
        <v>1086</v>
      </c>
      <c r="G6" t="s">
        <v>5</v>
      </c>
      <c r="H6" s="13">
        <f>SUMIFS(Operations[Amount],Operations[Month],$B$12,Operations[Category],G6)</f>
        <v>-150</v>
      </c>
    </row>
    <row r="7" spans="1:8" x14ac:dyDescent="0.25">
      <c r="A7" t="s">
        <v>26</v>
      </c>
      <c r="B7" t="s">
        <v>27</v>
      </c>
      <c r="C7" s="13">
        <f>September_Balance[[#This Row],[Closing Balance]]</f>
        <v>393</v>
      </c>
      <c r="D7" s="13">
        <f>SUMIFS(Operations[Amount], Operations[Bank],October_Balance[[#This Row],[Bank]],Operations[Product],October_Balance[[#This Row],[Product]],Operations[Month],$B$12)</f>
        <v>0</v>
      </c>
      <c r="E7" s="13">
        <f>October_Balance[[#This Row],[Opening balance]]+October_Balance[[#This Row],[Operations]]</f>
        <v>393</v>
      </c>
      <c r="G7" t="s">
        <v>6</v>
      </c>
      <c r="H7" s="13">
        <f>SUMIFS(Operations[Amount],Operations[Month],$B$12,Operations[Category],G7)</f>
        <v>0</v>
      </c>
    </row>
    <row r="8" spans="1:8" x14ac:dyDescent="0.25">
      <c r="A8" t="s">
        <v>26</v>
      </c>
      <c r="B8" t="s">
        <v>30</v>
      </c>
      <c r="C8" s="13">
        <f>September_Balance[[#This Row],[Closing Balance]]</f>
        <v>45.510000000000005</v>
      </c>
      <c r="D8" s="13">
        <f>SUMIFS(Operations[Amount], Operations[Bank],October_Balance[[#This Row],[Bank]],Operations[Product],October_Balance[[#This Row],[Product]],Operations[Month],$B$12)</f>
        <v>0</v>
      </c>
      <c r="E8" s="13">
        <f>October_Balance[[#This Row],[Opening balance]]+October_Balance[[#This Row],[Operations]]</f>
        <v>45.510000000000005</v>
      </c>
      <c r="G8" t="s">
        <v>7</v>
      </c>
      <c r="H8" s="13">
        <f>SUMIFS(Operations[Amount],Operations[Month],$B$12,Operations[Category],G8)</f>
        <v>-40</v>
      </c>
    </row>
    <row r="9" spans="1:8" x14ac:dyDescent="0.25">
      <c r="A9" t="s">
        <v>42</v>
      </c>
      <c r="C9" s="14">
        <f>SUBTOTAL(109,October_Balance[Opening balance])</f>
        <v>17519.95</v>
      </c>
      <c r="D9" s="14">
        <f>SUBTOTAL(109,October_Balance[Operations])</f>
        <v>1670</v>
      </c>
      <c r="E9" s="14">
        <f>SUBTOTAL(109,October_Balance[Closing Balance])</f>
        <v>19189.95</v>
      </c>
      <c r="G9" t="s">
        <v>8</v>
      </c>
      <c r="H9" s="13">
        <f>SUMIFS(Operations[Amount],Operations[Month],$B$12,Operations[Category],G9)</f>
        <v>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10</v>
      </c>
      <c r="G12" t="s">
        <v>11</v>
      </c>
      <c r="H12" s="13">
        <f>SUMIFS(Operations[Amount],Operations[Month],$B$12,Operations[Category],G12)</f>
        <v>0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-2830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4500</v>
      </c>
      <c r="G16" t="s">
        <v>14</v>
      </c>
      <c r="H16" s="13">
        <f>SUMIFS(Operations[Amount],Operations[Month],$B$12,Operations[Category],G16)</f>
        <v>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SUBTOTAL(109,October_Categories[Sum])</f>
        <v>1670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9F42-F0B7-4417-B806-44F3D22206E3}">
  <dimension ref="A1:H21"/>
  <sheetViews>
    <sheetView zoomScaleNormal="100" workbookViewId="0">
      <selection activeCell="I24" sqref="I24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October_Balance[[#This Row],[Closing Balance]]</f>
        <v>17156.940000000002</v>
      </c>
      <c r="D2" s="13">
        <f>SUMIFS(Operations[Amount], Operations[Bank],November_Balance[[#This Row],[Bank]],Operations[Product],November_Balance[[#This Row],[Product]],Operations[Month],$B$12)</f>
        <v>960</v>
      </c>
      <c r="E2" s="13">
        <f>November_Balance[[#This Row],[Opening balance]]+November_Balance[[#This Row],[Operations]]</f>
        <v>18116.940000000002</v>
      </c>
      <c r="G2" t="s">
        <v>2</v>
      </c>
      <c r="H2" s="13">
        <f>SUMIFS(Operations[Amount],Operations[Month],$B$12,Operations[Category],G2)</f>
        <v>-506</v>
      </c>
    </row>
    <row r="3" spans="1:8" x14ac:dyDescent="0.25">
      <c r="A3" t="s">
        <v>20</v>
      </c>
      <c r="B3" t="s">
        <v>23</v>
      </c>
      <c r="C3" s="13">
        <f>October_Balance[[#This Row],[Closing Balance]]</f>
        <v>-40</v>
      </c>
      <c r="D3" s="13">
        <f>SUMIFS(Operations[Amount], Operations[Bank],November_Balance[[#This Row],[Bank]],Operations[Product],November_Balance[[#This Row],[Product]],Operations[Month],$B$12)</f>
        <v>40</v>
      </c>
      <c r="E3" s="13">
        <f>November_Balance[[#This Row],[Opening balance]]+November_Balance[[#This Row],[Operations]]</f>
        <v>0</v>
      </c>
      <c r="G3" t="s">
        <v>3</v>
      </c>
      <c r="H3" s="13">
        <f>SUMIFS(Operations[Amount],Operations[Month],$B$12,Operations[Category],G3)</f>
        <v>-214</v>
      </c>
    </row>
    <row r="4" spans="1:8" x14ac:dyDescent="0.25">
      <c r="A4" t="s">
        <v>20</v>
      </c>
      <c r="B4" t="s">
        <v>24</v>
      </c>
      <c r="C4" s="13">
        <f>October_Balance[[#This Row],[Closing Balance]]</f>
        <v>0</v>
      </c>
      <c r="D4" s="13">
        <f>SUMIFS(Operations[Amount], Operations[Bank],November_Balance[[#This Row],[Bank]],Operations[Product],November_Balance[[#This Row],[Product]],Operations[Month],$B$12)</f>
        <v>0</v>
      </c>
      <c r="E4" s="13">
        <f>November_Balance[[#This Row],[Opening balance]]+November_Balance[[#This Row],[Operations]]</f>
        <v>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October_Balance[[#This Row],[Closing Balance]]</f>
        <v>548.5</v>
      </c>
      <c r="D5" s="13">
        <f>SUMIFS(Operations[Amount], Operations[Bank],November_Balance[[#This Row],[Bank]],Operations[Product],November_Balance[[#This Row],[Product]],Operations[Month],$B$12)</f>
        <v>0</v>
      </c>
      <c r="E5" s="13">
        <f>November_Balance[[#This Row],[Opening balance]]+November_Balance[[#This Row],[Operations]]</f>
        <v>548.5</v>
      </c>
      <c r="G5" t="s">
        <v>4</v>
      </c>
      <c r="H5" s="13">
        <f>SUMIFS(Operations[Amount],Operations[Month],$B$12,Operations[Category],G5)</f>
        <v>-158</v>
      </c>
    </row>
    <row r="6" spans="1:8" x14ac:dyDescent="0.25">
      <c r="A6" t="s">
        <v>21</v>
      </c>
      <c r="B6" t="s">
        <v>25</v>
      </c>
      <c r="C6" s="13">
        <f>October_Balance[[#This Row],[Closing Balance]]</f>
        <v>1086</v>
      </c>
      <c r="D6" s="13">
        <f>SUMIFS(Operations[Amount], Operations[Bank],November_Balance[[#This Row],[Bank]],Operations[Product],November_Balance[[#This Row],[Product]],Operations[Month],$B$12)</f>
        <v>0</v>
      </c>
      <c r="E6" s="13">
        <f>November_Balance[[#This Row],[Opening balance]]+November_Balance[[#This Row],[Operations]]</f>
        <v>1086</v>
      </c>
      <c r="G6" t="s">
        <v>5</v>
      </c>
      <c r="H6" s="13">
        <f>SUMIFS(Operations[Amount],Operations[Month],$B$12,Operations[Category],G6)</f>
        <v>-208</v>
      </c>
    </row>
    <row r="7" spans="1:8" x14ac:dyDescent="0.25">
      <c r="A7" t="s">
        <v>26</v>
      </c>
      <c r="B7" t="s">
        <v>27</v>
      </c>
      <c r="C7" s="13">
        <f>October_Balance[[#This Row],[Closing Balance]]</f>
        <v>393</v>
      </c>
      <c r="D7" s="13">
        <f>SUMIFS(Operations[Amount], Operations[Bank],November_Balance[[#This Row],[Bank]],Operations[Product],November_Balance[[#This Row],[Product]],Operations[Month],$B$12)</f>
        <v>400</v>
      </c>
      <c r="E7" s="13">
        <f>November_Balance[[#This Row],[Opening balance]]+November_Balance[[#This Row],[Operations]]</f>
        <v>793</v>
      </c>
      <c r="G7" t="s">
        <v>6</v>
      </c>
      <c r="H7" s="13">
        <f>SUMIFS(Operations[Amount],Operations[Month],$B$12,Operations[Category],G7)</f>
        <v>-133</v>
      </c>
    </row>
    <row r="8" spans="1:8" x14ac:dyDescent="0.25">
      <c r="A8" t="s">
        <v>26</v>
      </c>
      <c r="B8" t="s">
        <v>30</v>
      </c>
      <c r="C8" s="13">
        <f>October_Balance[[#This Row],[Closing Balance]]</f>
        <v>45.510000000000005</v>
      </c>
      <c r="D8" s="13">
        <f>SUMIFS(Operations[Amount], Operations[Bank],November_Balance[[#This Row],[Bank]],Operations[Product],November_Balance[[#This Row],[Product]],Operations[Month],$B$12)</f>
        <v>0</v>
      </c>
      <c r="E8" s="13">
        <f>November_Balance[[#This Row],[Opening balance]]+November_Balance[[#This Row],[Operations]]</f>
        <v>45.510000000000005</v>
      </c>
      <c r="G8" t="s">
        <v>7</v>
      </c>
      <c r="H8" s="13">
        <f>SUMIFS(Operations[Amount],Operations[Month],$B$12,Operations[Category],G8)</f>
        <v>-47</v>
      </c>
    </row>
    <row r="9" spans="1:8" x14ac:dyDescent="0.25">
      <c r="A9" t="s">
        <v>42</v>
      </c>
      <c r="C9" s="14">
        <f>SUBTOTAL(109,November_Balance[Opening balance])</f>
        <v>19189.95</v>
      </c>
      <c r="D9" s="14">
        <f>SUBTOTAL(109,November_Balance[Operations])</f>
        <v>1400</v>
      </c>
      <c r="E9" s="14">
        <f>SUBTOTAL(109,November_Balance[Closing Balance])</f>
        <v>20589.95</v>
      </c>
      <c r="G9" t="s">
        <v>8</v>
      </c>
      <c r="H9" s="13">
        <f>SUMIFS(Operations[Amount],Operations[Month],$B$12,Operations[Category],G9)</f>
        <v>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11</v>
      </c>
      <c r="G12" t="s">
        <v>11</v>
      </c>
      <c r="H12" s="13">
        <f>SUMIFS(Operations[Amount],Operations[Month],$B$12,Operations[Category],G12)</f>
        <v>-234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-3500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4900</v>
      </c>
      <c r="G16" t="s">
        <v>14</v>
      </c>
      <c r="H16" s="13">
        <f>SUMIFS(Operations[Amount],Operations[Month],$B$12,Operations[Category],G16)</f>
        <v>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0</v>
      </c>
    </row>
    <row r="18" spans="1:8" x14ac:dyDescent="0.25">
      <c r="G18" t="s">
        <v>16</v>
      </c>
      <c r="H18" s="13">
        <f>SUMIFS(Operations[Amount],Operations[Month],$B$12,Operations[Category],G18)</f>
        <v>400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SUBTOTAL(109,November_Categories[Sum])</f>
        <v>1400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FBF5-BDD3-4A5A-A80C-B31A5866A6FC}">
  <dimension ref="A1:H21"/>
  <sheetViews>
    <sheetView zoomScaleNormal="100" workbookViewId="0">
      <selection activeCell="G27" sqref="G27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8" customWidth="1"/>
    <col min="4" max="4" width="13" customWidth="1"/>
    <col min="5" max="5" width="16.85546875" customWidth="1"/>
    <col min="7" max="7" width="15.140625" bestFit="1" customWidth="1"/>
    <col min="8" max="8" width="10.5703125" bestFit="1" customWidth="1"/>
  </cols>
  <sheetData>
    <row r="1" spans="1:8" x14ac:dyDescent="0.25">
      <c r="A1" t="s">
        <v>32</v>
      </c>
      <c r="B1" t="s">
        <v>33</v>
      </c>
      <c r="C1" t="s">
        <v>36</v>
      </c>
      <c r="D1" t="s">
        <v>37</v>
      </c>
      <c r="E1" t="s">
        <v>38</v>
      </c>
      <c r="G1" t="s">
        <v>0</v>
      </c>
      <c r="H1" t="s">
        <v>43</v>
      </c>
    </row>
    <row r="2" spans="1:8" x14ac:dyDescent="0.25">
      <c r="A2" t="s">
        <v>20</v>
      </c>
      <c r="B2" t="s">
        <v>22</v>
      </c>
      <c r="C2" s="13">
        <f>November_Balance[[#This Row],[Closing Balance]]</f>
        <v>18116.940000000002</v>
      </c>
      <c r="D2" s="13">
        <f>SUMIFS(Operations[Amount], Operations[Bank],December_Balance[[#This Row],[Bank]],Operations[Product],December_Balance[[#This Row],[Product]],Operations[Month],$B$12)</f>
        <v>1320</v>
      </c>
      <c r="E2" s="13">
        <f>December_Balance[[#This Row],[Opening balance]]+December_Balance[[#This Row],[Operations]]</f>
        <v>19436.940000000002</v>
      </c>
      <c r="G2" t="s">
        <v>2</v>
      </c>
      <c r="H2" s="13">
        <f>SUMIFS(Operations[Amount],Operations[Month],$B$12,Operations[Category],G2)</f>
        <v>-700</v>
      </c>
    </row>
    <row r="3" spans="1:8" x14ac:dyDescent="0.25">
      <c r="A3" t="s">
        <v>20</v>
      </c>
      <c r="B3" t="s">
        <v>23</v>
      </c>
      <c r="C3" s="13">
        <f>November_Balance[[#This Row],[Closing Balance]]</f>
        <v>0</v>
      </c>
      <c r="D3" s="13">
        <f>SUMIFS(Operations[Amount], Operations[Bank],December_Balance[[#This Row],[Bank]],Operations[Product],December_Balance[[#This Row],[Product]],Operations[Month],$B$12)</f>
        <v>0</v>
      </c>
      <c r="E3" s="13">
        <f>December_Balance[[#This Row],[Opening balance]]+December_Balance[[#This Row],[Operations]]</f>
        <v>0</v>
      </c>
      <c r="G3" t="s">
        <v>3</v>
      </c>
      <c r="H3" s="13">
        <f>SUMIFS(Operations[Amount],Operations[Month],$B$12,Operations[Category],G3)</f>
        <v>-450</v>
      </c>
    </row>
    <row r="4" spans="1:8" x14ac:dyDescent="0.25">
      <c r="A4" t="s">
        <v>20</v>
      </c>
      <c r="B4" t="s">
        <v>24</v>
      </c>
      <c r="C4" s="13">
        <f>November_Balance[[#This Row],[Closing Balance]]</f>
        <v>0</v>
      </c>
      <c r="D4" s="13">
        <f>SUMIFS(Operations[Amount], Operations[Bank],December_Balance[[#This Row],[Bank]],Operations[Product],December_Balance[[#This Row],[Product]],Operations[Month],$B$12)</f>
        <v>0</v>
      </c>
      <c r="E4" s="13">
        <f>December_Balance[[#This Row],[Opening balance]]+December_Balance[[#This Row],[Operations]]</f>
        <v>0</v>
      </c>
      <c r="G4" t="s">
        <v>44</v>
      </c>
      <c r="H4" s="13">
        <f>SUMIFS(Operations[Amount],Operations[Month],$B$12,Operations[Category],G4)</f>
        <v>-2000</v>
      </c>
    </row>
    <row r="5" spans="1:8" x14ac:dyDescent="0.25">
      <c r="A5" t="s">
        <v>21</v>
      </c>
      <c r="B5" t="s">
        <v>22</v>
      </c>
      <c r="C5" s="13">
        <f>November_Balance[[#This Row],[Closing Balance]]</f>
        <v>548.5</v>
      </c>
      <c r="D5" s="13">
        <f>SUMIFS(Operations[Amount], Operations[Bank],December_Balance[[#This Row],[Bank]],Operations[Product],December_Balance[[#This Row],[Product]],Operations[Month],$B$12)</f>
        <v>0</v>
      </c>
      <c r="E5" s="13">
        <f>December_Balance[[#This Row],[Opening balance]]+December_Balance[[#This Row],[Operations]]</f>
        <v>548.5</v>
      </c>
      <c r="G5" t="s">
        <v>4</v>
      </c>
      <c r="H5" s="13">
        <f>SUMIFS(Operations[Amount],Operations[Month],$B$12,Operations[Category],G5)</f>
        <v>-120</v>
      </c>
    </row>
    <row r="6" spans="1:8" x14ac:dyDescent="0.25">
      <c r="A6" t="s">
        <v>21</v>
      </c>
      <c r="B6" t="s">
        <v>25</v>
      </c>
      <c r="C6" s="13">
        <f>November_Balance[[#This Row],[Closing Balance]]</f>
        <v>1086</v>
      </c>
      <c r="D6" s="13">
        <f>SUMIFS(Operations[Amount], Operations[Bank],December_Balance[[#This Row],[Bank]],Operations[Product],December_Balance[[#This Row],[Product]],Operations[Month],$B$12)</f>
        <v>0</v>
      </c>
      <c r="E6" s="13">
        <f>December_Balance[[#This Row],[Opening balance]]+December_Balance[[#This Row],[Operations]]</f>
        <v>1086</v>
      </c>
      <c r="G6" t="s">
        <v>5</v>
      </c>
      <c r="H6" s="13">
        <f>SUMIFS(Operations[Amount],Operations[Month],$B$12,Operations[Category],G6)</f>
        <v>0</v>
      </c>
    </row>
    <row r="7" spans="1:8" x14ac:dyDescent="0.25">
      <c r="A7" t="s">
        <v>26</v>
      </c>
      <c r="B7" t="s">
        <v>27</v>
      </c>
      <c r="C7" s="13">
        <f>November_Balance[[#This Row],[Closing Balance]]</f>
        <v>793</v>
      </c>
      <c r="D7" s="13">
        <f>SUMIFS(Operations[Amount], Operations[Bank],December_Balance[[#This Row],[Bank]],Operations[Product],December_Balance[[#This Row],[Product]],Operations[Month],$B$12)</f>
        <v>3100</v>
      </c>
      <c r="E7" s="13">
        <f>December_Balance[[#This Row],[Opening balance]]+December_Balance[[#This Row],[Operations]]</f>
        <v>3893</v>
      </c>
      <c r="G7" t="s">
        <v>6</v>
      </c>
      <c r="H7" s="13">
        <f>SUMIFS(Operations[Amount],Operations[Month],$B$12,Operations[Category],G7)</f>
        <v>-10</v>
      </c>
    </row>
    <row r="8" spans="1:8" x14ac:dyDescent="0.25">
      <c r="A8" t="s">
        <v>26</v>
      </c>
      <c r="B8" t="s">
        <v>30</v>
      </c>
      <c r="C8" s="13">
        <f>November_Balance[[#This Row],[Closing Balance]]</f>
        <v>45.510000000000005</v>
      </c>
      <c r="D8" s="13">
        <f>SUMIFS(Operations[Amount], Operations[Bank],December_Balance[[#This Row],[Bank]],Operations[Product],December_Balance[[#This Row],[Product]],Operations[Month],$B$12)</f>
        <v>0</v>
      </c>
      <c r="E8" s="13">
        <f>December_Balance[[#This Row],[Opening balance]]+December_Balance[[#This Row],[Operations]]</f>
        <v>45.510000000000005</v>
      </c>
      <c r="G8" t="s">
        <v>7</v>
      </c>
      <c r="H8" s="13">
        <f>SUMIFS(Operations[Amount],Operations[Month],$B$12,Operations[Category],G8)</f>
        <v>0</v>
      </c>
    </row>
    <row r="9" spans="1:8" x14ac:dyDescent="0.25">
      <c r="A9" t="s">
        <v>42</v>
      </c>
      <c r="C9" s="14">
        <f>SUBTOTAL(109,December_Balance[Opening balance])</f>
        <v>20589.95</v>
      </c>
      <c r="D9" s="14">
        <f>SUBTOTAL(109,December_Balance[Operations])</f>
        <v>4420</v>
      </c>
      <c r="E9" s="14">
        <f>SUBTOTAL(109,December_Balance[Closing Balance])</f>
        <v>25009.95</v>
      </c>
      <c r="G9" t="s">
        <v>8</v>
      </c>
      <c r="H9" s="13">
        <f>SUMIFS(Operations[Amount],Operations[Month],$B$12,Operations[Category],G9)</f>
        <v>-100</v>
      </c>
    </row>
    <row r="10" spans="1:8" x14ac:dyDescent="0.25">
      <c r="G10" t="s">
        <v>9</v>
      </c>
      <c r="H10" s="13">
        <f>SUMIFS(Operations[Amount],Operations[Month],$B$12,Operations[Category],G10)</f>
        <v>0</v>
      </c>
    </row>
    <row r="11" spans="1:8" x14ac:dyDescent="0.25">
      <c r="G11" t="s">
        <v>10</v>
      </c>
      <c r="H11" s="13">
        <f>SUMIFS(Operations[Amount],Operations[Month],$B$12,Operations[Category],G11)</f>
        <v>0</v>
      </c>
    </row>
    <row r="12" spans="1:8" x14ac:dyDescent="0.25">
      <c r="A12" t="s">
        <v>35</v>
      </c>
      <c r="B12">
        <v>12</v>
      </c>
      <c r="G12" t="s">
        <v>11</v>
      </c>
      <c r="H12" s="13">
        <f>SUMIFS(Operations[Amount],Operations[Month],$B$12,Operations[Category],G12)</f>
        <v>-700</v>
      </c>
    </row>
    <row r="13" spans="1:8" x14ac:dyDescent="0.25">
      <c r="G13" t="s">
        <v>28</v>
      </c>
      <c r="H13" s="13">
        <f>SUMIFS(Operations[Amount],Operations[Month],$B$12,Operations[Category],G13)</f>
        <v>0</v>
      </c>
    </row>
    <row r="14" spans="1:8" x14ac:dyDescent="0.25">
      <c r="G14" t="s">
        <v>13</v>
      </c>
      <c r="H14" s="13">
        <f>SUMIFS(Operations[Amount],Operations[Month],$B$12,Operations[Category],G14)</f>
        <v>4500</v>
      </c>
    </row>
    <row r="15" spans="1:8" x14ac:dyDescent="0.25">
      <c r="A15" s="18" t="str" cm="1">
        <f t="array" ref="A15:A17">_xlfn.UNIQUE(Categories[Type])</f>
        <v>Expenses</v>
      </c>
      <c r="B15" s="19">
        <f>SUMIFS(Operations[Amount],Operations[Month],$B$12,Operations[Type],A15)</f>
        <v>-4080</v>
      </c>
      <c r="G15" t="s">
        <v>29</v>
      </c>
      <c r="H15" s="13">
        <f>SUMIFS(Operations[Amount],Operations[Month],$B$12,Operations[Category],G15)</f>
        <v>0</v>
      </c>
    </row>
    <row r="16" spans="1:8" x14ac:dyDescent="0.25">
      <c r="A16" s="18" t="str">
        <v>Income</v>
      </c>
      <c r="B16" s="19">
        <f>SUMIFS(Operations[Amount],Operations[Month],$B$12,Operations[Type],A16)</f>
        <v>8500</v>
      </c>
      <c r="G16" t="s">
        <v>14</v>
      </c>
      <c r="H16" s="13">
        <f>SUMIFS(Operations[Amount],Operations[Month],$B$12,Operations[Category],G16)</f>
        <v>0</v>
      </c>
    </row>
    <row r="17" spans="1:8" x14ac:dyDescent="0.25">
      <c r="A17" s="18" t="str">
        <v>Transaction</v>
      </c>
      <c r="B17" s="19">
        <f>SUMIFS(Operations[Amount],Operations[Month],$B$12,Operations[Type],A17)</f>
        <v>0</v>
      </c>
      <c r="G17" t="s">
        <v>15</v>
      </c>
      <c r="H17" s="13">
        <f>SUMIFS(Operations[Amount],Operations[Month],$B$12,Operations[Category],G17)</f>
        <v>2000</v>
      </c>
    </row>
    <row r="18" spans="1:8" x14ac:dyDescent="0.25">
      <c r="G18" t="s">
        <v>16</v>
      </c>
      <c r="H18" s="13">
        <f>SUMIFS(Operations[Amount],Operations[Month],$B$12,Operations[Category],G18)</f>
        <v>2000</v>
      </c>
    </row>
    <row r="19" spans="1:8" x14ac:dyDescent="0.25">
      <c r="G19" t="s">
        <v>18</v>
      </c>
      <c r="H19" s="13">
        <f>SUMIFS(Operations[Amount],Operations[Month],$B$12,Operations[Category],G19)</f>
        <v>0</v>
      </c>
    </row>
    <row r="20" spans="1:8" x14ac:dyDescent="0.25">
      <c r="G20" t="s">
        <v>17</v>
      </c>
      <c r="H20" s="13">
        <f>SUMIFS(Operations[Amount],Operations[Month],$B$12,Operations[Category],G20)</f>
        <v>0</v>
      </c>
    </row>
    <row r="21" spans="1:8" x14ac:dyDescent="0.25">
      <c r="G21" t="s">
        <v>42</v>
      </c>
      <c r="H21" s="14">
        <f>SUBTOTAL(109,December_Categories[Sum])</f>
        <v>4420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Dictionary</vt:lpstr>
      <vt:lpstr>Operations</vt:lpstr>
      <vt:lpstr>Balance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Category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en-A013-09</dc:creator>
  <cp:lastModifiedBy>en-A013-04</cp:lastModifiedBy>
  <dcterms:created xsi:type="dcterms:W3CDTF">2015-06-05T18:17:20Z</dcterms:created>
  <dcterms:modified xsi:type="dcterms:W3CDTF">2025-01-08T17:03:55Z</dcterms:modified>
</cp:coreProperties>
</file>