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ayfa1" sheetId="1" r:id="rId1"/>
    <sheet name="Sayfa2" sheetId="2" r:id="rId2"/>
    <sheet name="Sayfa3" sheetId="3" r:id="rId3"/>
  </sheets>
  <calcPr calcId="145621"/>
</workbook>
</file>

<file path=xl/calcChain.xml><?xml version="1.0" encoding="utf-8"?>
<calcChain xmlns="http://schemas.openxmlformats.org/spreadsheetml/2006/main">
  <c r="N5" i="1" l="1"/>
  <c r="L21" i="1"/>
  <c r="L24" i="1" s="1"/>
  <c r="L25" i="1" s="1"/>
  <c r="L26" i="1" s="1"/>
  <c r="L27" i="1" s="1"/>
  <c r="L23" i="1"/>
  <c r="L8" i="1" l="1"/>
  <c r="L5" i="1"/>
  <c r="E35" i="1" l="1"/>
  <c r="E34" i="1"/>
  <c r="E33" i="1"/>
  <c r="E36" i="1" s="1"/>
  <c r="B34" i="1" l="1"/>
  <c r="B33" i="1"/>
  <c r="E10" i="1"/>
  <c r="B20" i="1"/>
  <c r="B19" i="1"/>
  <c r="B17" i="1"/>
  <c r="B21" i="1" s="1"/>
  <c r="B7" i="1"/>
  <c r="B18" i="1" s="1"/>
  <c r="B11" i="1" l="1"/>
  <c r="B22" i="1"/>
  <c r="E3" i="1"/>
  <c r="L22" i="1" s="1"/>
  <c r="E4" i="1" l="1"/>
  <c r="E5" i="1" s="1"/>
  <c r="L17" i="1"/>
  <c r="L9" i="1"/>
  <c r="L10" i="1" s="1"/>
  <c r="L11" i="1" s="1"/>
  <c r="L14" i="1" s="1"/>
  <c r="L15" i="1" s="1"/>
  <c r="E18" i="1" l="1"/>
  <c r="E20" i="1" s="1"/>
  <c r="E22" i="1" s="1"/>
  <c r="E25" i="1" s="1"/>
  <c r="B27" i="1"/>
  <c r="B30" i="1" s="1"/>
  <c r="E19" i="1"/>
  <c r="B28" i="1"/>
  <c r="B31" i="1" s="1"/>
  <c r="B36" i="1" s="1"/>
  <c r="B39" i="1" s="1"/>
  <c r="E26" i="1" s="1"/>
  <c r="B35" i="1"/>
  <c r="B38" i="1" s="1"/>
  <c r="E28" i="1" l="1"/>
  <c r="E30" i="1" s="1"/>
</calcChain>
</file>

<file path=xl/sharedStrings.xml><?xml version="1.0" encoding="utf-8"?>
<sst xmlns="http://schemas.openxmlformats.org/spreadsheetml/2006/main" count="78" uniqueCount="75">
  <si>
    <t>vin (volt)</t>
  </si>
  <si>
    <t>B(tesla)</t>
  </si>
  <si>
    <t>f(hz)</t>
  </si>
  <si>
    <t>Fill</t>
  </si>
  <si>
    <t>cells</t>
  </si>
  <si>
    <t>required core area(m^2)</t>
  </si>
  <si>
    <t>real core area (m^2)</t>
  </si>
  <si>
    <t>primary cable dimensions (mm) AxB</t>
  </si>
  <si>
    <t>secondary cable dimensions (mm) AxB</t>
  </si>
  <si>
    <t>Insulation per layer hV (mm)</t>
  </si>
  <si>
    <t>Insulation per layer LV (mm)</t>
  </si>
  <si>
    <t>Nprimary(turn)</t>
  </si>
  <si>
    <t>Nsecondary turn</t>
  </si>
  <si>
    <t>Primary turns per layer</t>
  </si>
  <si>
    <t>Secondary turns per layer</t>
  </si>
  <si>
    <t>primary layers</t>
  </si>
  <si>
    <t>secondary layers</t>
  </si>
  <si>
    <t>Hprimary winding (mm)</t>
  </si>
  <si>
    <t>Hsecondary winding(mm)</t>
  </si>
  <si>
    <t>Lprimary(mm)</t>
  </si>
  <si>
    <t>Lsecondary(mm)</t>
  </si>
  <si>
    <t>gap height(mm)</t>
  </si>
  <si>
    <t>gap lenght(mm)</t>
  </si>
  <si>
    <t>Core height(mm)</t>
  </si>
  <si>
    <t>Core lenght(mm)</t>
  </si>
  <si>
    <t>Windings</t>
  </si>
  <si>
    <t>core depth(m)</t>
  </si>
  <si>
    <t>Core (square)</t>
  </si>
  <si>
    <t>Core volume(cm^3)</t>
  </si>
  <si>
    <t>Core density (gr/cm^3)</t>
  </si>
  <si>
    <t>Core weight (kg)</t>
  </si>
  <si>
    <t>Stacking factor</t>
  </si>
  <si>
    <t>Core loss at 1 teslaW/kg</t>
  </si>
  <si>
    <t>loss coefficient W/kg</t>
  </si>
  <si>
    <t>Core Loss kW</t>
  </si>
  <si>
    <t>L primary (m)</t>
  </si>
  <si>
    <t>Lsecondary (m)</t>
  </si>
  <si>
    <t>R per meter primary ohm/m</t>
  </si>
  <si>
    <t>R per metersecondary ohm/m</t>
  </si>
  <si>
    <t>Rprimary</t>
  </si>
  <si>
    <t>Rsecondary</t>
  </si>
  <si>
    <t>Loss primary</t>
  </si>
  <si>
    <t>Loss secondary</t>
  </si>
  <si>
    <t>Copper Loss kW</t>
  </si>
  <si>
    <t>Total Loss kW</t>
  </si>
  <si>
    <t>Efficiency</t>
  </si>
  <si>
    <t>Resistivity heat coefficient</t>
  </si>
  <si>
    <t>at full load</t>
  </si>
  <si>
    <t>General</t>
  </si>
  <si>
    <t>Skin Depth Calculation</t>
  </si>
  <si>
    <t>resistivity at 110 C</t>
  </si>
  <si>
    <t>angular frequency</t>
  </si>
  <si>
    <t>permeability</t>
  </si>
  <si>
    <t>skin depth(mm)</t>
  </si>
  <si>
    <t>Leakage Inductance</t>
  </si>
  <si>
    <t>Permability</t>
  </si>
  <si>
    <t>L path (m)</t>
  </si>
  <si>
    <t>operating H(A/m)</t>
  </si>
  <si>
    <t>H*L</t>
  </si>
  <si>
    <t>Area (m^2)</t>
  </si>
  <si>
    <t>Reluctance</t>
  </si>
  <si>
    <t>Magnetizing flux</t>
  </si>
  <si>
    <t>current</t>
  </si>
  <si>
    <t>turns</t>
  </si>
  <si>
    <t>Inductance</t>
  </si>
  <si>
    <t>X(j*ohm)</t>
  </si>
  <si>
    <t>Windings are assumed square</t>
  </si>
  <si>
    <t>L1avg primary winding (mm)</t>
  </si>
  <si>
    <t>L1avg secondary winding (mm)</t>
  </si>
  <si>
    <t>Circuit Reluctance</t>
  </si>
  <si>
    <t>Area(m^2)</t>
  </si>
  <si>
    <t>Mag ind (Henry)</t>
  </si>
  <si>
    <t>Mag reactance</t>
  </si>
  <si>
    <t>Mag current</t>
  </si>
  <si>
    <t>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</si>
</sst>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abSelected="1" topLeftCell="A7" zoomScale="85" zoomScaleNormal="85" workbookViewId="0">
      <selection activeCell="N6" sqref="N6"/>
    </sheetView>
  </sheetViews>
  <sheetFormatPr defaultRowHeight="15" x14ac:dyDescent="0.25"/>
  <cols>
    <col min="1" max="1" width="35.85546875" bestFit="1" customWidth="1"/>
    <col min="2" max="2" width="12" bestFit="1" customWidth="1"/>
    <col min="4" max="4" width="22.85546875" bestFit="1" customWidth="1"/>
    <col min="5" max="5" width="10" bestFit="1" customWidth="1"/>
    <col min="7" max="7" width="21.140625" bestFit="1" customWidth="1"/>
    <col min="8" max="8" width="12" bestFit="1" customWidth="1"/>
    <col min="9" max="9" width="16.7109375" customWidth="1"/>
    <col min="11" max="11" width="18.5703125" bestFit="1" customWidth="1"/>
    <col min="12" max="12" width="12.28515625" bestFit="1" customWidth="1"/>
  </cols>
  <sheetData>
    <row r="1" spans="1:14" x14ac:dyDescent="0.25">
      <c r="A1" s="3" t="s">
        <v>3</v>
      </c>
      <c r="B1" s="1"/>
      <c r="C1" t="s">
        <v>4</v>
      </c>
    </row>
    <row r="2" spans="1:14" x14ac:dyDescent="0.25">
      <c r="A2" s="4" t="s">
        <v>48</v>
      </c>
      <c r="D2" s="2" t="s">
        <v>27</v>
      </c>
    </row>
    <row r="3" spans="1:14" x14ac:dyDescent="0.25">
      <c r="A3" t="s">
        <v>0</v>
      </c>
      <c r="B3" s="1">
        <v>3000</v>
      </c>
      <c r="D3" t="s">
        <v>5</v>
      </c>
      <c r="E3">
        <f>B3/(4.44*B4*B5*B6)</f>
        <v>6.7567567567567557E-2</v>
      </c>
    </row>
    <row r="4" spans="1:14" x14ac:dyDescent="0.25">
      <c r="A4" t="s">
        <v>11</v>
      </c>
      <c r="B4" s="1">
        <v>20</v>
      </c>
      <c r="D4" t="s">
        <v>6</v>
      </c>
      <c r="E4">
        <f>E3/E8</f>
        <v>7.5075075075075062E-2</v>
      </c>
      <c r="K4" s="2" t="s">
        <v>54</v>
      </c>
    </row>
    <row r="5" spans="1:14" x14ac:dyDescent="0.25">
      <c r="A5" t="s">
        <v>1</v>
      </c>
      <c r="B5" s="1">
        <v>1</v>
      </c>
      <c r="D5" t="s">
        <v>26</v>
      </c>
      <c r="E5">
        <f>E4^(1/2)</f>
        <v>0.27399831217559545</v>
      </c>
      <c r="K5" t="s">
        <v>55</v>
      </c>
      <c r="L5" s="1">
        <f>1.29/800</f>
        <v>1.6125E-3</v>
      </c>
      <c r="M5" t="s">
        <v>74</v>
      </c>
      <c r="N5">
        <f>L5*10000000/4/3.14</f>
        <v>1283.8375796178343</v>
      </c>
    </row>
    <row r="6" spans="1:14" x14ac:dyDescent="0.25">
      <c r="A6" t="s">
        <v>2</v>
      </c>
      <c r="B6" s="1">
        <v>500</v>
      </c>
      <c r="K6" t="s">
        <v>56</v>
      </c>
      <c r="L6" s="1">
        <v>2.1259999999999999</v>
      </c>
    </row>
    <row r="7" spans="1:14" x14ac:dyDescent="0.25">
      <c r="A7" t="s">
        <v>12</v>
      </c>
      <c r="B7">
        <f>B4*100</f>
        <v>2000</v>
      </c>
      <c r="K7" t="s">
        <v>57</v>
      </c>
      <c r="L7" s="1">
        <v>620</v>
      </c>
    </row>
    <row r="8" spans="1:14" x14ac:dyDescent="0.25">
      <c r="D8" t="s">
        <v>31</v>
      </c>
      <c r="E8" s="1">
        <v>0.9</v>
      </c>
      <c r="K8" t="s">
        <v>58</v>
      </c>
      <c r="L8">
        <f>L6*L7</f>
        <v>1318.12</v>
      </c>
    </row>
    <row r="9" spans="1:14" x14ac:dyDescent="0.25">
      <c r="A9" t="s">
        <v>7</v>
      </c>
      <c r="B9" s="1">
        <v>27</v>
      </c>
      <c r="C9" s="1">
        <v>27</v>
      </c>
      <c r="D9" t="s">
        <v>32</v>
      </c>
      <c r="E9" s="1">
        <v>7.5</v>
      </c>
      <c r="K9" t="s">
        <v>59</v>
      </c>
      <c r="L9">
        <f>E3</f>
        <v>6.7567567567567557E-2</v>
      </c>
    </row>
    <row r="10" spans="1:14" x14ac:dyDescent="0.25">
      <c r="A10" t="s">
        <v>8</v>
      </c>
      <c r="B10" s="1">
        <v>2.9</v>
      </c>
      <c r="C10" s="1">
        <v>2.9</v>
      </c>
      <c r="D10" t="s">
        <v>33</v>
      </c>
      <c r="E10">
        <f>E9*B5</f>
        <v>7.5</v>
      </c>
      <c r="K10" t="s">
        <v>60</v>
      </c>
      <c r="L10">
        <f>L6/L5/L9</f>
        <v>19513.054263565893</v>
      </c>
    </row>
    <row r="11" spans="1:14" x14ac:dyDescent="0.25">
      <c r="A11" t="s">
        <v>9</v>
      </c>
      <c r="B11">
        <f>300*B16/(B7*8)</f>
        <v>1.5</v>
      </c>
      <c r="K11" t="s">
        <v>61</v>
      </c>
      <c r="L11">
        <f>L8/L10</f>
        <v>6.7550675675675659E-2</v>
      </c>
    </row>
    <row r="12" spans="1:14" x14ac:dyDescent="0.25">
      <c r="A12" t="s">
        <v>10</v>
      </c>
      <c r="B12">
        <v>0.5</v>
      </c>
      <c r="K12" t="s">
        <v>62</v>
      </c>
      <c r="L12" s="1">
        <v>2200</v>
      </c>
    </row>
    <row r="13" spans="1:14" x14ac:dyDescent="0.25">
      <c r="K13" t="s">
        <v>63</v>
      </c>
      <c r="L13" s="1">
        <v>20</v>
      </c>
    </row>
    <row r="14" spans="1:14" x14ac:dyDescent="0.25">
      <c r="A14" s="4" t="s">
        <v>25</v>
      </c>
      <c r="D14" s="5"/>
      <c r="K14" t="s">
        <v>64</v>
      </c>
      <c r="L14">
        <f>L13*L11/L12</f>
        <v>6.1409705159705136E-4</v>
      </c>
    </row>
    <row r="15" spans="1:14" x14ac:dyDescent="0.25">
      <c r="A15" t="s">
        <v>13</v>
      </c>
      <c r="B15" s="1">
        <v>10</v>
      </c>
      <c r="D15" s="2"/>
      <c r="K15" t="s">
        <v>65</v>
      </c>
      <c r="L15">
        <f>L14*2*3.14*B6</f>
        <v>1.9282647420147414</v>
      </c>
    </row>
    <row r="16" spans="1:14" x14ac:dyDescent="0.25">
      <c r="A16" t="s">
        <v>14</v>
      </c>
      <c r="B16" s="1">
        <v>80</v>
      </c>
      <c r="D16" t="s">
        <v>21</v>
      </c>
      <c r="E16" s="1">
        <v>300</v>
      </c>
    </row>
    <row r="17" spans="1:12" x14ac:dyDescent="0.25">
      <c r="A17" t="s">
        <v>15</v>
      </c>
      <c r="B17">
        <f>B4/B15</f>
        <v>2</v>
      </c>
      <c r="D17" t="s">
        <v>22</v>
      </c>
      <c r="E17" s="1">
        <v>250</v>
      </c>
      <c r="L17">
        <f>L13*L13*E3*L5/L6</f>
        <v>2.0499097404083292E-2</v>
      </c>
    </row>
    <row r="18" spans="1:12" x14ac:dyDescent="0.25">
      <c r="A18" t="s">
        <v>16</v>
      </c>
      <c r="B18">
        <f>B7/B16</f>
        <v>25</v>
      </c>
      <c r="D18" t="s">
        <v>23</v>
      </c>
      <c r="E18">
        <f>E5*1000*2+E16</f>
        <v>847.99662435119092</v>
      </c>
    </row>
    <row r="19" spans="1:12" x14ac:dyDescent="0.25">
      <c r="A19" t="s">
        <v>17</v>
      </c>
      <c r="B19">
        <f>B15*C9</f>
        <v>270</v>
      </c>
      <c r="D19" t="s">
        <v>24</v>
      </c>
      <c r="E19">
        <f>E5*1000*2+E17</f>
        <v>797.99662435119092</v>
      </c>
    </row>
    <row r="20" spans="1:12" x14ac:dyDescent="0.25">
      <c r="A20" t="s">
        <v>18</v>
      </c>
      <c r="B20">
        <f>B16*C10</f>
        <v>232</v>
      </c>
      <c r="D20" t="s">
        <v>28</v>
      </c>
      <c r="E20">
        <f>(E19*E18*(E5*1000*E8)-E16*E17*(E5*1000*E8))/1000</f>
        <v>148377.92220962039</v>
      </c>
      <c r="K20" s="2" t="s">
        <v>69</v>
      </c>
    </row>
    <row r="21" spans="1:12" x14ac:dyDescent="0.25">
      <c r="A21" t="s">
        <v>19</v>
      </c>
      <c r="B21">
        <f>B17*(B9+B12)</f>
        <v>55</v>
      </c>
      <c r="D21" t="s">
        <v>29</v>
      </c>
      <c r="E21" s="1">
        <v>7.5</v>
      </c>
      <c r="K21" t="s">
        <v>56</v>
      </c>
      <c r="L21">
        <f>(2*(E16+E5*1000)+2*(E17+E5*1000))/1000</f>
        <v>2.1959932487023814</v>
      </c>
    </row>
    <row r="22" spans="1:12" x14ac:dyDescent="0.25">
      <c r="A22" t="s">
        <v>20</v>
      </c>
      <c r="B22">
        <f>B18*(B10+B11)</f>
        <v>110.00000000000001</v>
      </c>
      <c r="D22" t="s">
        <v>30</v>
      </c>
      <c r="E22">
        <f>E20*E21/1000</f>
        <v>1112.8344165721528</v>
      </c>
      <c r="K22" t="s">
        <v>70</v>
      </c>
      <c r="L22">
        <f>E3</f>
        <v>6.7567567567567557E-2</v>
      </c>
    </row>
    <row r="23" spans="1:12" x14ac:dyDescent="0.25">
      <c r="K23" t="s">
        <v>55</v>
      </c>
      <c r="L23" s="1">
        <f>1.29/800</f>
        <v>1.6125E-3</v>
      </c>
    </row>
    <row r="24" spans="1:12" x14ac:dyDescent="0.25">
      <c r="K24" t="s">
        <v>60</v>
      </c>
      <c r="L24">
        <f>L21/L22/L23</f>
        <v>20155.472918322634</v>
      </c>
    </row>
    <row r="25" spans="1:12" x14ac:dyDescent="0.25">
      <c r="A25" s="2" t="s">
        <v>66</v>
      </c>
      <c r="D25" s="2" t="s">
        <v>34</v>
      </c>
      <c r="E25">
        <f>E10*E22/1000</f>
        <v>8.3462581242911451</v>
      </c>
      <c r="K25" t="s">
        <v>71</v>
      </c>
      <c r="L25">
        <f>B4*B4/L24</f>
        <v>1.984572635040352E-2</v>
      </c>
    </row>
    <row r="26" spans="1:12" x14ac:dyDescent="0.25">
      <c r="D26" s="2" t="s">
        <v>43</v>
      </c>
      <c r="E26">
        <f>(B38+B39)/1000</f>
        <v>8.8724595680022063</v>
      </c>
      <c r="F26" t="s">
        <v>47</v>
      </c>
      <c r="K26" t="s">
        <v>72</v>
      </c>
      <c r="L26">
        <f>L25*2*3.14*500</f>
        <v>62.315580740267052</v>
      </c>
    </row>
    <row r="27" spans="1:12" x14ac:dyDescent="0.25">
      <c r="A27" t="s">
        <v>67</v>
      </c>
      <c r="B27">
        <f>(B21/2)+E5*1000</f>
        <v>301.49831217559546</v>
      </c>
      <c r="K27" t="s">
        <v>73</v>
      </c>
      <c r="L27">
        <f>B3/L26</f>
        <v>48.142053148859794</v>
      </c>
    </row>
    <row r="28" spans="1:12" x14ac:dyDescent="0.25">
      <c r="A28" t="s">
        <v>68</v>
      </c>
      <c r="B28">
        <f>(B22/2)+E5*1000</f>
        <v>328.99831217559546</v>
      </c>
      <c r="D28" s="2" t="s">
        <v>44</v>
      </c>
      <c r="E28">
        <f>E26+E25</f>
        <v>17.218717692293353</v>
      </c>
    </row>
    <row r="30" spans="1:12" x14ac:dyDescent="0.25">
      <c r="A30" t="s">
        <v>35</v>
      </c>
      <c r="B30">
        <f>2+(B27*4*B4/1000)</f>
        <v>26.119864974047637</v>
      </c>
      <c r="D30" s="2" t="s">
        <v>45</v>
      </c>
      <c r="E30">
        <f>6500/(6500+E28)</f>
        <v>0.99735796534715804</v>
      </c>
    </row>
    <row r="31" spans="1:12" x14ac:dyDescent="0.25">
      <c r="A31" t="s">
        <v>36</v>
      </c>
      <c r="B31">
        <f>2+(B28*4*B7/1000)</f>
        <v>2633.9864974047637</v>
      </c>
    </row>
    <row r="32" spans="1:12" x14ac:dyDescent="0.25">
      <c r="A32" t="s">
        <v>46</v>
      </c>
      <c r="B32" s="1">
        <v>1.3</v>
      </c>
      <c r="D32" s="2" t="s">
        <v>49</v>
      </c>
    </row>
    <row r="33" spans="1:5" x14ac:dyDescent="0.25">
      <c r="A33" t="s">
        <v>37</v>
      </c>
      <c r="B33">
        <f>(1.68*B32/100000000)/(625/1000000)</f>
        <v>3.4944000000000003E-5</v>
      </c>
      <c r="D33" t="s">
        <v>50</v>
      </c>
      <c r="E33" s="6">
        <f>1.3*1.68*10^-8</f>
        <v>2.1840000000000002E-8</v>
      </c>
    </row>
    <row r="34" spans="1:5" x14ac:dyDescent="0.25">
      <c r="A34" t="s">
        <v>38</v>
      </c>
      <c r="B34">
        <f>(1.68*B32/100000000)/(6.25/1000000)</f>
        <v>3.4944000000000004E-3</v>
      </c>
      <c r="D34" t="s">
        <v>51</v>
      </c>
      <c r="E34" s="6">
        <f>2*3.14*500</f>
        <v>3140</v>
      </c>
    </row>
    <row r="35" spans="1:5" x14ac:dyDescent="0.25">
      <c r="A35" t="s">
        <v>39</v>
      </c>
      <c r="B35">
        <f>B33*B30</f>
        <v>9.1273256165312069E-4</v>
      </c>
      <c r="D35" t="s">
        <v>52</v>
      </c>
      <c r="E35" s="1">
        <f>1.257*10^-6</f>
        <v>1.2569999999999998E-6</v>
      </c>
    </row>
    <row r="36" spans="1:5" x14ac:dyDescent="0.25">
      <c r="A36" t="s">
        <v>40</v>
      </c>
      <c r="B36">
        <f>B31*B34</f>
        <v>9.2042024165312064</v>
      </c>
      <c r="D36" t="s">
        <v>53</v>
      </c>
      <c r="E36">
        <f>1000*(2*E33/E34/E35)^(1/2)</f>
        <v>3.3266633376694261</v>
      </c>
    </row>
    <row r="38" spans="1:5" x14ac:dyDescent="0.25">
      <c r="A38" t="s">
        <v>41</v>
      </c>
      <c r="B38">
        <f>2200*2200*B35</f>
        <v>4417.6255984011041</v>
      </c>
    </row>
    <row r="39" spans="1:5" x14ac:dyDescent="0.25">
      <c r="A39" t="s">
        <v>42</v>
      </c>
      <c r="B39">
        <f>22*22*B36</f>
        <v>4454.8339696011035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2016-04-10T11:33:07Z</dcterms:modified>
</cp:coreProperties>
</file>