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hitee3_oregonstate_edu/Documents/Desktop/Experiments/Nat vs. Art and Feeding Regimen 2023-24/"/>
    </mc:Choice>
  </mc:AlternateContent>
  <xr:revisionPtr revIDLastSave="1407" documentId="13_ncr:1_{9F07C411-3BE6-43BE-AEFC-DD2344AE890A}" xr6:coauthVersionLast="47" xr6:coauthVersionMax="47" xr10:uidLastSave="{5F94D0F7-A2C0-4ABC-B1BD-DD04F2785F06}"/>
  <bookViews>
    <workbookView xWindow="28680" yWindow="-120" windowWidth="24240" windowHeight="13020" firstSheet="1" activeTab="7" xr2:uid="{CA4694A1-031D-4C46-8A0B-3D64DF327DE1}"/>
  </bookViews>
  <sheets>
    <sheet name="total energy reserves" sheetId="1" r:id="rId1"/>
    <sheet name="Sheet1" sheetId="4" r:id="rId2"/>
    <sheet name="carbs" sheetId="5" r:id="rId3"/>
    <sheet name="lipids" sheetId="6" r:id="rId4"/>
    <sheet name="protein" sheetId="7" r:id="rId5"/>
    <sheet name="Pedal disk size" sheetId="2" r:id="rId6"/>
    <sheet name="algae" sheetId="8" r:id="rId7"/>
    <sheet name="Pedal disk size 2" sheetId="3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92" i="2"/>
  <c r="E92" i="2" s="1"/>
  <c r="B92" i="2"/>
  <c r="C92" i="2" s="1"/>
  <c r="E91" i="2"/>
  <c r="D91" i="2"/>
  <c r="C91" i="2"/>
  <c r="B91" i="2"/>
  <c r="D32" i="3"/>
  <c r="B32" i="3"/>
  <c r="C32" i="3" s="1"/>
  <c r="B31" i="3"/>
  <c r="D29" i="3"/>
  <c r="E29" i="3" s="1"/>
  <c r="B29" i="3"/>
  <c r="D27" i="3"/>
  <c r="E27" i="3" s="1"/>
  <c r="B27" i="3"/>
  <c r="D26" i="3"/>
  <c r="E26" i="3" s="1"/>
  <c r="B26" i="3"/>
  <c r="C26" i="3" s="1"/>
  <c r="D25" i="3"/>
  <c r="E25" i="3" s="1"/>
  <c r="B25" i="3"/>
  <c r="C25" i="3" s="1"/>
  <c r="B24" i="3"/>
  <c r="C24" i="3" s="1"/>
  <c r="B23" i="3"/>
  <c r="C23" i="3" s="1"/>
  <c r="B41" i="3"/>
  <c r="C41" i="3" s="1"/>
  <c r="D40" i="3"/>
  <c r="E40" i="3" s="1"/>
  <c r="B40" i="3"/>
  <c r="C40" i="3" s="1"/>
  <c r="D39" i="3"/>
  <c r="E39" i="3" s="1"/>
  <c r="B39" i="3"/>
  <c r="C39" i="3" s="1"/>
  <c r="D38" i="3"/>
  <c r="E38" i="3" s="1"/>
  <c r="B38" i="3"/>
  <c r="C38" i="3" s="1"/>
  <c r="D37" i="3"/>
  <c r="B37" i="3"/>
  <c r="C37" i="3" s="1"/>
  <c r="D36" i="3"/>
  <c r="B36" i="3"/>
  <c r="C36" i="3" s="1"/>
  <c r="D35" i="3"/>
  <c r="E35" i="3" s="1"/>
  <c r="B35" i="3"/>
  <c r="C35" i="3" s="1"/>
  <c r="D34" i="3"/>
  <c r="E34" i="3" s="1"/>
  <c r="B34" i="3"/>
  <c r="C34" i="3" s="1"/>
  <c r="B33" i="3"/>
  <c r="C33" i="3" s="1"/>
  <c r="D10" i="3"/>
  <c r="E10" i="3" s="1"/>
  <c r="B10" i="3"/>
  <c r="D9" i="3"/>
  <c r="E9" i="3" s="1"/>
  <c r="B9" i="3"/>
  <c r="D8" i="3"/>
  <c r="E8" i="3" s="1"/>
  <c r="B8" i="3"/>
  <c r="C8" i="3" s="1"/>
  <c r="D7" i="3"/>
  <c r="E7" i="3" s="1"/>
  <c r="D6" i="3"/>
  <c r="B6" i="3"/>
  <c r="C6" i="3" s="1"/>
  <c r="D5" i="3"/>
  <c r="B5" i="3"/>
  <c r="C5" i="3" s="1"/>
  <c r="B4" i="3"/>
  <c r="C4" i="3" s="1"/>
  <c r="D3" i="3"/>
  <c r="E3" i="3" s="1"/>
  <c r="B3" i="3"/>
  <c r="C3" i="3" s="1"/>
  <c r="D2" i="3"/>
  <c r="B2" i="3"/>
  <c r="C2" i="3" s="1"/>
  <c r="D22" i="3"/>
  <c r="E22" i="3" s="1"/>
  <c r="B22" i="3"/>
  <c r="C22" i="3" s="1"/>
  <c r="D21" i="3"/>
  <c r="E21" i="3" s="1"/>
  <c r="B20" i="3"/>
  <c r="C20" i="3" s="1"/>
  <c r="B19" i="3"/>
  <c r="C19" i="3" s="1"/>
  <c r="D18" i="3"/>
  <c r="E18" i="3" s="1"/>
  <c r="B18" i="3"/>
  <c r="C18" i="3" s="1"/>
  <c r="D17" i="3"/>
  <c r="E17" i="3" s="1"/>
  <c r="B17" i="3"/>
  <c r="C17" i="3" s="1"/>
  <c r="B16" i="3"/>
  <c r="C16" i="3" s="1"/>
  <c r="D15" i="3"/>
  <c r="E15" i="3" s="1"/>
  <c r="B15" i="3"/>
  <c r="C15" i="3" s="1"/>
  <c r="B14" i="3"/>
  <c r="C14" i="3" s="1"/>
  <c r="D13" i="3"/>
  <c r="E13" i="3" s="1"/>
  <c r="B13" i="3"/>
  <c r="C13" i="3" s="1"/>
  <c r="B12" i="3"/>
  <c r="D12" i="3"/>
  <c r="E12" i="3" s="1"/>
  <c r="B11" i="3"/>
  <c r="C11" i="3" s="1"/>
  <c r="D11" i="3"/>
  <c r="E11" i="3" s="1"/>
  <c r="D61" i="3"/>
  <c r="E61" i="3" s="1"/>
  <c r="B61" i="3"/>
  <c r="C61" i="3" s="1"/>
  <c r="B59" i="3"/>
  <c r="C59" i="3" s="1"/>
  <c r="D58" i="3"/>
  <c r="D57" i="3"/>
  <c r="B57" i="3"/>
  <c r="C57" i="3" s="1"/>
  <c r="D56" i="3"/>
  <c r="E56" i="3" s="1"/>
  <c r="D55" i="3"/>
  <c r="E55" i="3" s="1"/>
  <c r="B55" i="3"/>
  <c r="C55" i="3" s="1"/>
  <c r="B69" i="3"/>
  <c r="C69" i="3" s="1"/>
  <c r="B68" i="3"/>
  <c r="C68" i="3" s="1"/>
  <c r="B67" i="3"/>
  <c r="C67" i="3" s="1"/>
  <c r="D66" i="3"/>
  <c r="E66" i="3" s="1"/>
  <c r="D65" i="3"/>
  <c r="E65" i="3" s="1"/>
  <c r="B64" i="3"/>
  <c r="C64" i="3" s="1"/>
  <c r="D63" i="3"/>
  <c r="E63" i="3" s="1"/>
  <c r="B63" i="3"/>
  <c r="C63" i="3" s="1"/>
  <c r="B62" i="3"/>
  <c r="C62" i="3" s="1"/>
  <c r="D48" i="3"/>
  <c r="E48" i="3" s="1"/>
  <c r="B48" i="3"/>
  <c r="C48" i="3" s="1"/>
  <c r="D47" i="3"/>
  <c r="E47" i="3" s="1"/>
  <c r="B47" i="3"/>
  <c r="C47" i="3" s="1"/>
  <c r="D46" i="3"/>
  <c r="E46" i="3" s="1"/>
  <c r="B46" i="3"/>
  <c r="C46" i="3" s="1"/>
  <c r="D45" i="3"/>
  <c r="E45" i="3" s="1"/>
  <c r="D44" i="3"/>
  <c r="E44" i="3" s="1"/>
  <c r="B44" i="3"/>
  <c r="C44" i="3" s="1"/>
  <c r="D43" i="3"/>
  <c r="E43" i="3" s="1"/>
  <c r="D42" i="3"/>
  <c r="E42" i="3" s="1"/>
  <c r="B42" i="3"/>
  <c r="C42" i="3" s="1"/>
  <c r="D54" i="3"/>
  <c r="E54" i="3" s="1"/>
  <c r="B54" i="3"/>
  <c r="C54" i="3" s="1"/>
  <c r="D52" i="3"/>
  <c r="E52" i="3" s="1"/>
  <c r="D51" i="3"/>
  <c r="E51" i="3" s="1"/>
  <c r="B51" i="3"/>
  <c r="D50" i="3"/>
  <c r="E50" i="3" s="1"/>
  <c r="B50" i="3"/>
  <c r="C50" i="3" s="1"/>
  <c r="D49" i="3"/>
  <c r="E49" i="3" s="1"/>
  <c r="B49" i="3"/>
  <c r="C49" i="3" s="1"/>
  <c r="E2" i="3"/>
  <c r="E69" i="3"/>
  <c r="E68" i="3"/>
  <c r="E67" i="3"/>
  <c r="E64" i="3"/>
  <c r="E62" i="3"/>
  <c r="E60" i="3"/>
  <c r="E59" i="3"/>
  <c r="E58" i="3"/>
  <c r="E57" i="3"/>
  <c r="E53" i="3"/>
  <c r="E41" i="3"/>
  <c r="E37" i="3"/>
  <c r="E36" i="3"/>
  <c r="E33" i="3"/>
  <c r="E32" i="3"/>
  <c r="E31" i="3"/>
  <c r="E30" i="3"/>
  <c r="E28" i="3"/>
  <c r="E24" i="3"/>
  <c r="E23" i="3"/>
  <c r="E20" i="3"/>
  <c r="E19" i="3"/>
  <c r="E16" i="3"/>
  <c r="E14" i="3"/>
  <c r="E6" i="3"/>
  <c r="E5" i="3"/>
  <c r="E4" i="3"/>
  <c r="C66" i="3"/>
  <c r="C65" i="3"/>
  <c r="C60" i="3"/>
  <c r="C58" i="3"/>
  <c r="C56" i="3"/>
  <c r="C53" i="3"/>
  <c r="C52" i="3"/>
  <c r="C51" i="3"/>
  <c r="C45" i="3"/>
  <c r="C43" i="3"/>
  <c r="C31" i="3"/>
  <c r="C30" i="3"/>
  <c r="C29" i="3"/>
  <c r="C28" i="3"/>
  <c r="C27" i="3"/>
  <c r="C21" i="3"/>
  <c r="C12" i="3"/>
  <c r="C10" i="3"/>
  <c r="C9" i="3"/>
  <c r="C7" i="3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I31" i="4"/>
  <c r="P31" i="4" s="1"/>
  <c r="E31" i="4"/>
  <c r="F31" i="4" s="1"/>
  <c r="G31" i="4" s="1"/>
  <c r="Q31" i="4" s="1"/>
  <c r="B31" i="4"/>
  <c r="C31" i="4" s="1"/>
  <c r="D31" i="4" s="1"/>
  <c r="I30" i="4"/>
  <c r="E30" i="4"/>
  <c r="F30" i="4" s="1"/>
  <c r="G30" i="4" s="1"/>
  <c r="Q30" i="4" s="1"/>
  <c r="B30" i="4"/>
  <c r="C30" i="4" s="1"/>
  <c r="D30" i="4" s="1"/>
  <c r="I29" i="4"/>
  <c r="P29" i="4" s="1"/>
  <c r="E29" i="4"/>
  <c r="F29" i="4" s="1"/>
  <c r="G29" i="4" s="1"/>
  <c r="Q29" i="4" s="1"/>
  <c r="C29" i="4"/>
  <c r="D29" i="4" s="1"/>
  <c r="B29" i="4"/>
  <c r="P28" i="4"/>
  <c r="I28" i="4"/>
  <c r="E28" i="4"/>
  <c r="F28" i="4" s="1"/>
  <c r="G28" i="4" s="1"/>
  <c r="Q28" i="4" s="1"/>
  <c r="B28" i="4"/>
  <c r="C28" i="4" s="1"/>
  <c r="D28" i="4" s="1"/>
  <c r="I27" i="4"/>
  <c r="P27" i="4" s="1"/>
  <c r="F27" i="4"/>
  <c r="G27" i="4" s="1"/>
  <c r="Q27" i="4" s="1"/>
  <c r="E27" i="4"/>
  <c r="B27" i="4"/>
  <c r="C27" i="4" s="1"/>
  <c r="D27" i="4" s="1"/>
  <c r="I26" i="4"/>
  <c r="M26" i="4" s="1"/>
  <c r="E26" i="4"/>
  <c r="F26" i="4" s="1"/>
  <c r="G26" i="4" s="1"/>
  <c r="Q26" i="4" s="1"/>
  <c r="B26" i="4"/>
  <c r="C26" i="4" s="1"/>
  <c r="D26" i="4" s="1"/>
  <c r="I25" i="4"/>
  <c r="P25" i="4" s="1"/>
  <c r="F25" i="4"/>
  <c r="G25" i="4" s="1"/>
  <c r="Q25" i="4" s="1"/>
  <c r="E25" i="4"/>
  <c r="C25" i="4"/>
  <c r="D25" i="4" s="1"/>
  <c r="B25" i="4"/>
  <c r="P24" i="4"/>
  <c r="I24" i="4"/>
  <c r="E24" i="4"/>
  <c r="F24" i="4" s="1"/>
  <c r="G24" i="4" s="1"/>
  <c r="Q24" i="4" s="1"/>
  <c r="B24" i="4"/>
  <c r="C24" i="4" s="1"/>
  <c r="D24" i="4" s="1"/>
  <c r="I23" i="4"/>
  <c r="P23" i="4" s="1"/>
  <c r="E23" i="4"/>
  <c r="F23" i="4" s="1"/>
  <c r="G23" i="4" s="1"/>
  <c r="Q23" i="4" s="1"/>
  <c r="B23" i="4"/>
  <c r="C23" i="4" s="1"/>
  <c r="D23" i="4" s="1"/>
  <c r="I22" i="4"/>
  <c r="E22" i="4"/>
  <c r="F22" i="4" s="1"/>
  <c r="G22" i="4" s="1"/>
  <c r="Q22" i="4" s="1"/>
  <c r="B22" i="4"/>
  <c r="C22" i="4" s="1"/>
  <c r="D22" i="4" s="1"/>
  <c r="I21" i="4"/>
  <c r="P21" i="4" s="1"/>
  <c r="F21" i="4"/>
  <c r="G21" i="4" s="1"/>
  <c r="Q21" i="4" s="1"/>
  <c r="E21" i="4"/>
  <c r="C21" i="4"/>
  <c r="D21" i="4" s="1"/>
  <c r="B21" i="4"/>
  <c r="I20" i="4"/>
  <c r="M20" i="4" s="1"/>
  <c r="E20" i="4"/>
  <c r="F20" i="4" s="1"/>
  <c r="G20" i="4" s="1"/>
  <c r="Q20" i="4" s="1"/>
  <c r="B20" i="4"/>
  <c r="C20" i="4" s="1"/>
  <c r="D20" i="4" s="1"/>
  <c r="J19" i="4"/>
  <c r="R19" i="4" s="1"/>
  <c r="I19" i="4"/>
  <c r="P19" i="4" s="1"/>
  <c r="E19" i="4"/>
  <c r="F19" i="4" s="1"/>
  <c r="G19" i="4" s="1"/>
  <c r="C19" i="4"/>
  <c r="D19" i="4" s="1"/>
  <c r="B19" i="4"/>
  <c r="R18" i="4"/>
  <c r="J18" i="4"/>
  <c r="I18" i="4"/>
  <c r="P18" i="4" s="1"/>
  <c r="E18" i="4"/>
  <c r="F18" i="4" s="1"/>
  <c r="G18" i="4" s="1"/>
  <c r="B18" i="4"/>
  <c r="C18" i="4" s="1"/>
  <c r="D18" i="4" s="1"/>
  <c r="J17" i="4"/>
  <c r="N17" i="4" s="1"/>
  <c r="I17" i="4"/>
  <c r="P17" i="4" s="1"/>
  <c r="E17" i="4"/>
  <c r="F17" i="4" s="1"/>
  <c r="G17" i="4" s="1"/>
  <c r="B17" i="4"/>
  <c r="C17" i="4" s="1"/>
  <c r="D17" i="4" s="1"/>
  <c r="O17" i="4" s="1"/>
  <c r="J16" i="4"/>
  <c r="I16" i="4"/>
  <c r="E16" i="4"/>
  <c r="F16" i="4" s="1"/>
  <c r="G16" i="4" s="1"/>
  <c r="Q16" i="4" s="1"/>
  <c r="B16" i="4"/>
  <c r="C16" i="4" s="1"/>
  <c r="D16" i="4" s="1"/>
  <c r="J15" i="4"/>
  <c r="I15" i="4"/>
  <c r="E15" i="4"/>
  <c r="F15" i="4" s="1"/>
  <c r="G15" i="4" s="1"/>
  <c r="Q15" i="4" s="1"/>
  <c r="B15" i="4"/>
  <c r="C15" i="4" s="1"/>
  <c r="D15" i="4" s="1"/>
  <c r="P14" i="4"/>
  <c r="J14" i="4"/>
  <c r="R14" i="4" s="1"/>
  <c r="I14" i="4"/>
  <c r="F14" i="4"/>
  <c r="G14" i="4" s="1"/>
  <c r="Q14" i="4" s="1"/>
  <c r="E14" i="4"/>
  <c r="B14" i="4"/>
  <c r="C14" i="4" s="1"/>
  <c r="D14" i="4" s="1"/>
  <c r="J13" i="4"/>
  <c r="N13" i="4" s="1"/>
  <c r="I13" i="4"/>
  <c r="P13" i="4" s="1"/>
  <c r="E13" i="4"/>
  <c r="F13" i="4" s="1"/>
  <c r="G13" i="4" s="1"/>
  <c r="Q13" i="4" s="1"/>
  <c r="D13" i="4"/>
  <c r="O13" i="4" s="1"/>
  <c r="C13" i="4"/>
  <c r="B13" i="4"/>
  <c r="R12" i="4"/>
  <c r="N12" i="4"/>
  <c r="J12" i="4"/>
  <c r="I12" i="4"/>
  <c r="P12" i="4" s="1"/>
  <c r="G12" i="4"/>
  <c r="Q12" i="4" s="1"/>
  <c r="F12" i="4"/>
  <c r="E12" i="4"/>
  <c r="B12" i="4"/>
  <c r="C12" i="4" s="1"/>
  <c r="D12" i="4" s="1"/>
  <c r="O12" i="4" s="1"/>
  <c r="J11" i="4"/>
  <c r="R11" i="4" s="1"/>
  <c r="I11" i="4"/>
  <c r="P11" i="4" s="1"/>
  <c r="F11" i="4"/>
  <c r="G11" i="4" s="1"/>
  <c r="E11" i="4"/>
  <c r="C11" i="4"/>
  <c r="D11" i="4" s="1"/>
  <c r="B11" i="4"/>
  <c r="P10" i="4"/>
  <c r="J10" i="4"/>
  <c r="R10" i="4" s="1"/>
  <c r="I10" i="4"/>
  <c r="E10" i="4"/>
  <c r="F10" i="4" s="1"/>
  <c r="G10" i="4" s="1"/>
  <c r="B10" i="4"/>
  <c r="C10" i="4" s="1"/>
  <c r="D10" i="4" s="1"/>
  <c r="J9" i="4"/>
  <c r="R9" i="4" s="1"/>
  <c r="I9" i="4"/>
  <c r="P9" i="4" s="1"/>
  <c r="E9" i="4"/>
  <c r="F9" i="4" s="1"/>
  <c r="G9" i="4" s="1"/>
  <c r="B9" i="4"/>
  <c r="C9" i="4" s="1"/>
  <c r="D9" i="4" s="1"/>
  <c r="O9" i="4" s="1"/>
  <c r="R8" i="4"/>
  <c r="J8" i="4"/>
  <c r="I8" i="4"/>
  <c r="P8" i="4" s="1"/>
  <c r="E8" i="4"/>
  <c r="F8" i="4" s="1"/>
  <c r="G8" i="4" s="1"/>
  <c r="Q8" i="4" s="1"/>
  <c r="B8" i="4"/>
  <c r="C8" i="4" s="1"/>
  <c r="D8" i="4" s="1"/>
  <c r="J7" i="4"/>
  <c r="I7" i="4"/>
  <c r="G7" i="4"/>
  <c r="Q7" i="4" s="1"/>
  <c r="F7" i="4"/>
  <c r="E7" i="4"/>
  <c r="B7" i="4"/>
  <c r="C7" i="4" s="1"/>
  <c r="D7" i="4" s="1"/>
  <c r="J6" i="4"/>
  <c r="R6" i="4" s="1"/>
  <c r="I6" i="4"/>
  <c r="P6" i="4" s="1"/>
  <c r="E6" i="4"/>
  <c r="F6" i="4" s="1"/>
  <c r="G6" i="4" s="1"/>
  <c r="Q6" i="4" s="1"/>
  <c r="B6" i="4"/>
  <c r="C6" i="4" s="1"/>
  <c r="D6" i="4" s="1"/>
  <c r="J5" i="4"/>
  <c r="I5" i="4"/>
  <c r="P5" i="4" s="1"/>
  <c r="E5" i="4"/>
  <c r="F5" i="4" s="1"/>
  <c r="G5" i="4" s="1"/>
  <c r="Q5" i="4" s="1"/>
  <c r="B5" i="4"/>
  <c r="C5" i="4" s="1"/>
  <c r="D5" i="4" s="1"/>
  <c r="P4" i="4"/>
  <c r="J4" i="4"/>
  <c r="R4" i="4" s="1"/>
  <c r="I4" i="4"/>
  <c r="F4" i="4"/>
  <c r="G4" i="4" s="1"/>
  <c r="E4" i="4"/>
  <c r="C4" i="4"/>
  <c r="D4" i="4" s="1"/>
  <c r="O4" i="4" s="1"/>
  <c r="B4" i="4"/>
  <c r="R3" i="4"/>
  <c r="J3" i="4"/>
  <c r="I3" i="4"/>
  <c r="P3" i="4" s="1"/>
  <c r="E3" i="4"/>
  <c r="F3" i="4" s="1"/>
  <c r="G3" i="4" s="1"/>
  <c r="C3" i="4"/>
  <c r="D3" i="4" s="1"/>
  <c r="B3" i="4"/>
  <c r="P2" i="4"/>
  <c r="J2" i="4"/>
  <c r="R2" i="4" s="1"/>
  <c r="I2" i="4"/>
  <c r="E2" i="4"/>
  <c r="F2" i="4" s="1"/>
  <c r="G2" i="4" s="1"/>
  <c r="B2" i="4"/>
  <c r="C2" i="4" s="1"/>
  <c r="D2" i="4" s="1"/>
  <c r="R2" i="1"/>
  <c r="Q2" i="1"/>
  <c r="O2" i="1"/>
  <c r="N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7" i="2"/>
  <c r="G36" i="2"/>
  <c r="H32" i="2"/>
  <c r="H31" i="2"/>
  <c r="H30" i="2"/>
  <c r="G30" i="2"/>
  <c r="G25" i="2"/>
  <c r="H44" i="2"/>
  <c r="H42" i="2"/>
  <c r="H41" i="2"/>
  <c r="H40" i="2"/>
  <c r="H36" i="2"/>
  <c r="H35" i="2"/>
  <c r="H34" i="2"/>
  <c r="H33" i="2"/>
  <c r="H28" i="2"/>
  <c r="H27" i="2"/>
  <c r="H26" i="2"/>
  <c r="H13" i="2"/>
  <c r="G13" i="2"/>
  <c r="H12" i="2"/>
  <c r="G12" i="2"/>
  <c r="H11" i="2"/>
  <c r="H10" i="2"/>
  <c r="H9" i="2"/>
  <c r="G9" i="2"/>
  <c r="H8" i="2"/>
  <c r="G8" i="2"/>
  <c r="H7" i="2"/>
  <c r="G7" i="2"/>
  <c r="H6" i="2"/>
  <c r="H5" i="2"/>
  <c r="G5" i="2"/>
  <c r="H4" i="2"/>
  <c r="H3" i="2"/>
  <c r="G3" i="2"/>
  <c r="H2" i="2"/>
  <c r="H25" i="2"/>
  <c r="G24" i="2"/>
  <c r="H20" i="2"/>
  <c r="G18" i="2"/>
  <c r="G16" i="2"/>
  <c r="G15" i="2"/>
  <c r="G14" i="2"/>
  <c r="H14" i="2" s="1"/>
  <c r="H77" i="2"/>
  <c r="H75" i="2"/>
  <c r="G71" i="2"/>
  <c r="H71" i="2" s="1"/>
  <c r="H70" i="2"/>
  <c r="G78" i="2"/>
  <c r="H78" i="2" s="1"/>
  <c r="H59" i="2"/>
  <c r="H58" i="2"/>
  <c r="G59" i="2"/>
  <c r="G57" i="2"/>
  <c r="H55" i="2" s="1"/>
  <c r="G56" i="2"/>
  <c r="G53" i="2"/>
  <c r="G52" i="2"/>
  <c r="H52" i="2"/>
  <c r="G51" i="2"/>
  <c r="G50" i="2"/>
  <c r="G69" i="2"/>
  <c r="H69" i="2" s="1"/>
  <c r="G68" i="2"/>
  <c r="G66" i="2"/>
  <c r="G65" i="2"/>
  <c r="G64" i="2"/>
  <c r="H64" i="2" s="1"/>
  <c r="G63" i="2"/>
  <c r="H63" i="2" s="1"/>
  <c r="G62" i="2"/>
  <c r="H85" i="2"/>
  <c r="H84" i="2"/>
  <c r="H83" i="2"/>
  <c r="H82" i="2"/>
  <c r="H81" i="2"/>
  <c r="H80" i="2"/>
  <c r="H79" i="2"/>
  <c r="H74" i="2"/>
  <c r="H72" i="2"/>
  <c r="H68" i="2"/>
  <c r="H67" i="2"/>
  <c r="H66" i="2"/>
  <c r="H65" i="2"/>
  <c r="H62" i="2"/>
  <c r="H61" i="2"/>
  <c r="H60" i="2"/>
  <c r="H57" i="2"/>
  <c r="H56" i="2"/>
  <c r="H54" i="2"/>
  <c r="H53" i="2"/>
  <c r="H51" i="2"/>
  <c r="H50" i="2"/>
  <c r="H49" i="2"/>
  <c r="H48" i="2"/>
  <c r="H47" i="2"/>
  <c r="H46" i="2"/>
  <c r="H45" i="2"/>
  <c r="H43" i="2"/>
  <c r="H38" i="2"/>
  <c r="H24" i="2"/>
  <c r="H23" i="2"/>
  <c r="H21" i="2"/>
  <c r="H19" i="2"/>
  <c r="H18" i="2"/>
  <c r="H17" i="2"/>
  <c r="H16" i="2"/>
  <c r="H15" i="2"/>
  <c r="F2" i="2"/>
  <c r="E36" i="2"/>
  <c r="E35" i="2"/>
  <c r="F35" i="2" s="1"/>
  <c r="E31" i="2"/>
  <c r="E29" i="2"/>
  <c r="E48" i="2"/>
  <c r="E47" i="2"/>
  <c r="E45" i="2"/>
  <c r="E44" i="2"/>
  <c r="E43" i="2"/>
  <c r="E42" i="2"/>
  <c r="E39" i="2"/>
  <c r="F39" i="2" s="1"/>
  <c r="E9" i="2"/>
  <c r="F9" i="2" s="1"/>
  <c r="E8" i="2"/>
  <c r="F8" i="2" s="1"/>
  <c r="E6" i="2"/>
  <c r="E5" i="2"/>
  <c r="F5" i="2" s="1"/>
  <c r="E25" i="2"/>
  <c r="F25" i="2" s="1"/>
  <c r="E23" i="2"/>
  <c r="F23" i="2" s="1"/>
  <c r="E22" i="2"/>
  <c r="F22" i="2" s="1"/>
  <c r="E21" i="2"/>
  <c r="F21" i="2" s="1"/>
  <c r="F17" i="2"/>
  <c r="E17" i="2"/>
  <c r="E19" i="2"/>
  <c r="E18" i="2"/>
  <c r="E16" i="2"/>
  <c r="F16" i="2" s="1"/>
  <c r="E15" i="2"/>
  <c r="F15" i="2" s="1"/>
  <c r="F49" i="2"/>
  <c r="F48" i="2"/>
  <c r="F47" i="2"/>
  <c r="F46" i="2"/>
  <c r="F45" i="2"/>
  <c r="F44" i="2"/>
  <c r="F43" i="2"/>
  <c r="F42" i="2"/>
  <c r="F41" i="2"/>
  <c r="F40" i="2"/>
  <c r="F38" i="2"/>
  <c r="F37" i="2"/>
  <c r="F36" i="2"/>
  <c r="F34" i="2"/>
  <c r="F33" i="2"/>
  <c r="F32" i="2"/>
  <c r="F31" i="2"/>
  <c r="F30" i="2"/>
  <c r="F29" i="2"/>
  <c r="F28" i="2"/>
  <c r="F27" i="2"/>
  <c r="F26" i="2"/>
  <c r="F24" i="2"/>
  <c r="F20" i="2"/>
  <c r="F19" i="2"/>
  <c r="F18" i="2"/>
  <c r="F14" i="2"/>
  <c r="F13" i="2"/>
  <c r="F12" i="2"/>
  <c r="F11" i="2"/>
  <c r="F10" i="2"/>
  <c r="F7" i="2"/>
  <c r="F6" i="2"/>
  <c r="F4" i="2"/>
  <c r="F3" i="2"/>
  <c r="E77" i="2"/>
  <c r="F77" i="2" s="1"/>
  <c r="E76" i="2"/>
  <c r="F76" i="2" s="1"/>
  <c r="E74" i="2"/>
  <c r="F74" i="2" s="1"/>
  <c r="E72" i="2"/>
  <c r="F72" i="2" s="1"/>
  <c r="F75" i="2"/>
  <c r="F73" i="2"/>
  <c r="E60" i="2"/>
  <c r="F60" i="2" s="1"/>
  <c r="F61" i="2"/>
  <c r="F59" i="2"/>
  <c r="F58" i="2"/>
  <c r="F57" i="2"/>
  <c r="F56" i="2"/>
  <c r="F55" i="2"/>
  <c r="F54" i="2"/>
  <c r="F53" i="2"/>
  <c r="F51" i="2"/>
  <c r="E80" i="2"/>
  <c r="F80" i="2" s="1"/>
  <c r="E79" i="2"/>
  <c r="F79" i="2" s="1"/>
  <c r="E78" i="2"/>
  <c r="F78" i="2" s="1"/>
  <c r="F85" i="2"/>
  <c r="F84" i="2"/>
  <c r="F83" i="2"/>
  <c r="F82" i="2"/>
  <c r="F81" i="2"/>
  <c r="F71" i="2"/>
  <c r="F70" i="2"/>
  <c r="E65" i="2"/>
  <c r="F65" i="2" s="1"/>
  <c r="E64" i="2"/>
  <c r="F64" i="2" s="1"/>
  <c r="E63" i="2"/>
  <c r="F63" i="2" s="1"/>
  <c r="E62" i="2"/>
  <c r="F62" i="2" s="1"/>
  <c r="F67" i="2"/>
  <c r="F66" i="2"/>
  <c r="F50" i="2"/>
  <c r="F69" i="2"/>
  <c r="F68" i="2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G31" i="1"/>
  <c r="Q4" i="4" l="1"/>
  <c r="N4" i="4"/>
  <c r="P26" i="4"/>
  <c r="M28" i="4"/>
  <c r="M30" i="4"/>
  <c r="N5" i="4"/>
  <c r="R5" i="4"/>
  <c r="P30" i="4"/>
  <c r="M4" i="4"/>
  <c r="R13" i="4"/>
  <c r="M15" i="4"/>
  <c r="M7" i="4"/>
  <c r="M12" i="4"/>
  <c r="N15" i="4"/>
  <c r="N16" i="4"/>
  <c r="P20" i="4"/>
  <c r="M22" i="4"/>
  <c r="M16" i="4"/>
  <c r="N7" i="4"/>
  <c r="R16" i="4"/>
  <c r="P22" i="4"/>
  <c r="M24" i="4"/>
  <c r="Q2" i="4"/>
  <c r="N2" i="4"/>
  <c r="M2" i="4"/>
  <c r="O21" i="4"/>
  <c r="L21" i="4"/>
  <c r="L30" i="4"/>
  <c r="O30" i="4"/>
  <c r="O8" i="4"/>
  <c r="L8" i="4"/>
  <c r="M9" i="4"/>
  <c r="Q9" i="4"/>
  <c r="O15" i="4"/>
  <c r="L15" i="4"/>
  <c r="O16" i="4"/>
  <c r="L16" i="4"/>
  <c r="O23" i="4"/>
  <c r="L23" i="4"/>
  <c r="L7" i="4"/>
  <c r="O7" i="4"/>
  <c r="O11" i="4"/>
  <c r="L11" i="4"/>
  <c r="L25" i="4"/>
  <c r="O25" i="4"/>
  <c r="L14" i="4"/>
  <c r="O14" i="4"/>
  <c r="M17" i="4"/>
  <c r="Q17" i="4"/>
  <c r="L20" i="4"/>
  <c r="O20" i="4"/>
  <c r="L27" i="4"/>
  <c r="O27" i="4"/>
  <c r="L6" i="4"/>
  <c r="O6" i="4"/>
  <c r="N8" i="4"/>
  <c r="O10" i="4"/>
  <c r="L10" i="4"/>
  <c r="Q11" i="4"/>
  <c r="N11" i="4"/>
  <c r="M11" i="4"/>
  <c r="L22" i="4"/>
  <c r="O22" i="4"/>
  <c r="O29" i="4"/>
  <c r="L29" i="4"/>
  <c r="O3" i="4"/>
  <c r="L3" i="4"/>
  <c r="Q10" i="4"/>
  <c r="N10" i="4"/>
  <c r="M10" i="4"/>
  <c r="L13" i="4"/>
  <c r="O19" i="4"/>
  <c r="L19" i="4"/>
  <c r="L24" i="4"/>
  <c r="O24" i="4"/>
  <c r="O31" i="4"/>
  <c r="L31" i="4"/>
  <c r="M14" i="4"/>
  <c r="L18" i="4"/>
  <c r="O18" i="4"/>
  <c r="L26" i="4"/>
  <c r="O26" i="4"/>
  <c r="O2" i="4"/>
  <c r="L2" i="4"/>
  <c r="Q3" i="4"/>
  <c r="N3" i="4"/>
  <c r="M3" i="4"/>
  <c r="L5" i="4"/>
  <c r="O5" i="4"/>
  <c r="M6" i="4"/>
  <c r="Q18" i="4"/>
  <c r="N18" i="4"/>
  <c r="M18" i="4"/>
  <c r="Q19" i="4"/>
  <c r="N19" i="4"/>
  <c r="M19" i="4"/>
  <c r="L28" i="4"/>
  <c r="O28" i="4"/>
  <c r="M8" i="4"/>
  <c r="N9" i="4"/>
  <c r="L4" i="4"/>
  <c r="M5" i="4"/>
  <c r="N6" i="4"/>
  <c r="L12" i="4"/>
  <c r="M13" i="4"/>
  <c r="N14" i="4"/>
  <c r="P16" i="4"/>
  <c r="P7" i="4"/>
  <c r="P15" i="4"/>
  <c r="R17" i="4"/>
  <c r="R7" i="4"/>
  <c r="L9" i="4"/>
  <c r="R15" i="4"/>
  <c r="L17" i="4"/>
  <c r="M21" i="4"/>
  <c r="M23" i="4"/>
  <c r="M25" i="4"/>
  <c r="M27" i="4"/>
  <c r="M29" i="4"/>
  <c r="M31" i="4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6" i="1"/>
  <c r="E30" i="1"/>
  <c r="E29" i="1"/>
  <c r="E28" i="1"/>
  <c r="E27" i="1"/>
  <c r="E26" i="1"/>
  <c r="E22" i="1"/>
  <c r="E21" i="1"/>
  <c r="E20" i="1"/>
  <c r="E19" i="1"/>
  <c r="E18" i="1"/>
  <c r="E14" i="1"/>
  <c r="E13" i="1"/>
  <c r="E12" i="1"/>
  <c r="E11" i="1"/>
  <c r="E10" i="1"/>
  <c r="E6" i="1"/>
  <c r="E5" i="1"/>
  <c r="E4" i="1"/>
  <c r="E2" i="1"/>
  <c r="D31" i="1"/>
  <c r="E31" i="1" s="1"/>
  <c r="D30" i="1"/>
  <c r="D29" i="1"/>
  <c r="D28" i="1"/>
  <c r="D27" i="1"/>
  <c r="D26" i="1"/>
  <c r="D25" i="1"/>
  <c r="E25" i="1" s="1"/>
  <c r="D24" i="1"/>
  <c r="E24" i="1" s="1"/>
  <c r="D23" i="1"/>
  <c r="E23" i="1" s="1"/>
  <c r="D22" i="1"/>
  <c r="D21" i="1"/>
  <c r="D20" i="1"/>
  <c r="D19" i="1"/>
  <c r="D18" i="1"/>
  <c r="D17" i="1"/>
  <c r="E17" i="1" s="1"/>
  <c r="D16" i="1"/>
  <c r="E16" i="1" s="1"/>
  <c r="D15" i="1"/>
  <c r="E15" i="1" s="1"/>
  <c r="D14" i="1"/>
  <c r="D13" i="1"/>
  <c r="D12" i="1"/>
  <c r="D11" i="1"/>
  <c r="D10" i="1"/>
  <c r="D9" i="1"/>
  <c r="E9" i="1" s="1"/>
  <c r="D8" i="1"/>
  <c r="E8" i="1" s="1"/>
  <c r="D7" i="1"/>
  <c r="E7" i="1" s="1"/>
  <c r="D6" i="1"/>
  <c r="D5" i="1"/>
  <c r="D4" i="1"/>
  <c r="D3" i="1"/>
  <c r="E3" i="1" s="1"/>
  <c r="D2" i="1"/>
  <c r="T2" i="1"/>
  <c r="T19" i="1" l="1"/>
  <c r="T18" i="1"/>
  <c r="T17" i="1"/>
  <c r="T16" i="1"/>
  <c r="T11" i="1"/>
  <c r="T10" i="1"/>
  <c r="T9" i="1"/>
  <c r="T8" i="1"/>
  <c r="T3" i="1"/>
  <c r="R31" i="1"/>
  <c r="R30" i="1"/>
  <c r="R25" i="1"/>
  <c r="R24" i="1"/>
  <c r="R23" i="1"/>
  <c r="R22" i="1"/>
  <c r="R17" i="1"/>
  <c r="R16" i="1"/>
  <c r="R15" i="1"/>
  <c r="R14" i="1"/>
  <c r="R13" i="1"/>
  <c r="R12" i="1"/>
  <c r="R9" i="1"/>
  <c r="R8" i="1"/>
  <c r="R7" i="1"/>
  <c r="R6" i="1"/>
  <c r="R5" i="1"/>
  <c r="R4" i="1"/>
  <c r="R3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8" i="1" l="1"/>
  <c r="I28" i="1"/>
  <c r="F3" i="1"/>
  <c r="F19" i="1"/>
  <c r="I5" i="1"/>
  <c r="I21" i="1"/>
  <c r="I4" i="1"/>
  <c r="F11" i="1"/>
  <c r="F27" i="1"/>
  <c r="I13" i="1"/>
  <c r="I29" i="1"/>
  <c r="F4" i="1"/>
  <c r="F12" i="1"/>
  <c r="F20" i="1"/>
  <c r="F28" i="1"/>
  <c r="I6" i="1"/>
  <c r="I14" i="1"/>
  <c r="S14" i="1" s="1"/>
  <c r="I22" i="1"/>
  <c r="I30" i="1"/>
  <c r="I20" i="1"/>
  <c r="F13" i="1"/>
  <c r="Q13" i="1" s="1"/>
  <c r="I7" i="1"/>
  <c r="I31" i="1"/>
  <c r="F6" i="1"/>
  <c r="F22" i="1"/>
  <c r="Q22" i="1" s="1"/>
  <c r="I8" i="1"/>
  <c r="I24" i="1"/>
  <c r="F10" i="1"/>
  <c r="I12" i="1"/>
  <c r="F5" i="1"/>
  <c r="F29" i="1"/>
  <c r="I23" i="1"/>
  <c r="F14" i="1"/>
  <c r="F30" i="1"/>
  <c r="I16" i="1"/>
  <c r="F7" i="1"/>
  <c r="F15" i="1"/>
  <c r="F23" i="1"/>
  <c r="F31" i="1"/>
  <c r="I9" i="1"/>
  <c r="I17" i="1"/>
  <c r="S17" i="1" s="1"/>
  <c r="I25" i="1"/>
  <c r="F26" i="1"/>
  <c r="F21" i="1"/>
  <c r="I15" i="1"/>
  <c r="S15" i="1" s="1"/>
  <c r="F8" i="1"/>
  <c r="F16" i="1"/>
  <c r="F24" i="1"/>
  <c r="I10" i="1"/>
  <c r="S10" i="1" s="1"/>
  <c r="I18" i="1"/>
  <c r="I26" i="1"/>
  <c r="F9" i="1"/>
  <c r="F17" i="1"/>
  <c r="Q17" i="1" s="1"/>
  <c r="F25" i="1"/>
  <c r="I3" i="1"/>
  <c r="I11" i="1"/>
  <c r="I19" i="1"/>
  <c r="S19" i="1" s="1"/>
  <c r="I27" i="1"/>
  <c r="S27" i="1" s="1"/>
  <c r="R11" i="1"/>
  <c r="T12" i="1"/>
  <c r="R18" i="1"/>
  <c r="R26" i="1"/>
  <c r="T5" i="1"/>
  <c r="T13" i="1"/>
  <c r="O19" i="1"/>
  <c r="R19" i="1"/>
  <c r="R10" i="1"/>
  <c r="R20" i="1"/>
  <c r="R28" i="1"/>
  <c r="T7" i="1"/>
  <c r="T15" i="1"/>
  <c r="T14" i="1"/>
  <c r="R21" i="1"/>
  <c r="R29" i="1"/>
  <c r="T4" i="1"/>
  <c r="R27" i="1"/>
  <c r="T6" i="1"/>
  <c r="I2" i="1"/>
  <c r="S2" i="1" s="1"/>
  <c r="F2" i="1"/>
  <c r="P17" i="1" l="1"/>
  <c r="S12" i="1"/>
  <c r="O12" i="1"/>
  <c r="S5" i="1"/>
  <c r="P5" i="1"/>
  <c r="O5" i="1"/>
  <c r="N14" i="1"/>
  <c r="N15" i="1"/>
  <c r="N12" i="1"/>
  <c r="Q12" i="1"/>
  <c r="Q8" i="1"/>
  <c r="N8" i="1"/>
  <c r="O27" i="1"/>
  <c r="S9" i="1"/>
  <c r="O9" i="1"/>
  <c r="P9" i="1"/>
  <c r="N11" i="1"/>
  <c r="Q11" i="1"/>
  <c r="Q31" i="1"/>
  <c r="N31" i="1"/>
  <c r="S8" i="1"/>
  <c r="O8" i="1"/>
  <c r="P8" i="1"/>
  <c r="S20" i="1"/>
  <c r="O20" i="1"/>
  <c r="S4" i="1"/>
  <c r="O4" i="1"/>
  <c r="P4" i="1"/>
  <c r="S26" i="1"/>
  <c r="O26" i="1"/>
  <c r="Q23" i="1"/>
  <c r="N23" i="1"/>
  <c r="S23" i="1"/>
  <c r="O23" i="1"/>
  <c r="S30" i="1"/>
  <c r="O30" i="1"/>
  <c r="S21" i="1"/>
  <c r="O21" i="1"/>
  <c r="Q18" i="1"/>
  <c r="N18" i="1"/>
  <c r="Q9" i="1"/>
  <c r="N9" i="1"/>
  <c r="S18" i="1"/>
  <c r="O18" i="1"/>
  <c r="P18" i="1"/>
  <c r="Q21" i="1"/>
  <c r="N21" i="1"/>
  <c r="Q29" i="1"/>
  <c r="N29" i="1"/>
  <c r="S22" i="1"/>
  <c r="O22" i="1"/>
  <c r="N4" i="1"/>
  <c r="Q4" i="1"/>
  <c r="S11" i="1"/>
  <c r="P11" i="1"/>
  <c r="O11" i="1"/>
  <c r="Q26" i="1"/>
  <c r="N26" i="1"/>
  <c r="N5" i="1"/>
  <c r="Q5" i="1"/>
  <c r="Q6" i="1"/>
  <c r="N6" i="1"/>
  <c r="S29" i="1"/>
  <c r="O29" i="1"/>
  <c r="S24" i="1"/>
  <c r="O24" i="1"/>
  <c r="S3" i="1"/>
  <c r="P3" i="1"/>
  <c r="O3" i="1"/>
  <c r="S13" i="1"/>
  <c r="O13" i="1"/>
  <c r="P13" i="1"/>
  <c r="N13" i="1"/>
  <c r="S16" i="1"/>
  <c r="O16" i="1"/>
  <c r="P16" i="1"/>
  <c r="S7" i="1"/>
  <c r="O7" i="1"/>
  <c r="P7" i="1"/>
  <c r="S6" i="1"/>
  <c r="P6" i="1"/>
  <c r="O6" i="1"/>
  <c r="Q3" i="1"/>
  <c r="N3" i="1"/>
  <c r="N20" i="1"/>
  <c r="Q20" i="1"/>
  <c r="S25" i="1"/>
  <c r="O25" i="1"/>
  <c r="N7" i="1"/>
  <c r="Q7" i="1"/>
  <c r="S31" i="1"/>
  <c r="O31" i="1"/>
  <c r="Q19" i="1"/>
  <c r="N19" i="1"/>
  <c r="Q25" i="1"/>
  <c r="N25" i="1"/>
  <c r="Q24" i="1"/>
  <c r="N24" i="1"/>
  <c r="Q16" i="1"/>
  <c r="N16" i="1"/>
  <c r="Q30" i="1"/>
  <c r="N30" i="1"/>
  <c r="Q10" i="1"/>
  <c r="N10" i="1"/>
  <c r="Q28" i="1"/>
  <c r="N28" i="1"/>
  <c r="N27" i="1"/>
  <c r="S28" i="1"/>
  <c r="O28" i="1"/>
  <c r="O17" i="1"/>
  <c r="P10" i="1"/>
  <c r="Q27" i="1"/>
  <c r="Q15" i="1"/>
  <c r="O15" i="1"/>
  <c r="N17" i="1"/>
  <c r="P14" i="1"/>
  <c r="P12" i="1"/>
  <c r="O14" i="1"/>
  <c r="P19" i="1"/>
  <c r="Q14" i="1"/>
  <c r="N22" i="1"/>
  <c r="P15" i="1"/>
  <c r="O10" i="1"/>
  <c r="P2" i="1"/>
</calcChain>
</file>

<file path=xl/sharedStrings.xml><?xml version="1.0" encoding="utf-8"?>
<sst xmlns="http://schemas.openxmlformats.org/spreadsheetml/2006/main" count="820" uniqueCount="46">
  <si>
    <t>Carbs Reduced Absorbance Value</t>
  </si>
  <si>
    <t>Carbs mg/ml</t>
  </si>
  <si>
    <t>Carbs ug/ml</t>
  </si>
  <si>
    <t>Protein OD</t>
  </si>
  <si>
    <t>Protein mg/ml</t>
  </si>
  <si>
    <t>Protein ug/ml</t>
  </si>
  <si>
    <t>Lipid OD</t>
  </si>
  <si>
    <t>Lipid ug/ml</t>
  </si>
  <si>
    <t>algae/ml</t>
  </si>
  <si>
    <t>Symbiotic State</t>
  </si>
  <si>
    <t>Feeding Condition</t>
  </si>
  <si>
    <t>Light Condition</t>
  </si>
  <si>
    <t>Fed</t>
  </si>
  <si>
    <t>Starve</t>
  </si>
  <si>
    <t>Light</t>
  </si>
  <si>
    <t>Dark</t>
  </si>
  <si>
    <t xml:space="preserve">Sym </t>
  </si>
  <si>
    <t>Sym</t>
  </si>
  <si>
    <t>Apo</t>
  </si>
  <si>
    <t>Total Carbs (ug) per ug Host Protein</t>
  </si>
  <si>
    <t>Total Lipids (ug) per ug Host Protein</t>
  </si>
  <si>
    <t>Algae per ug Host Protein</t>
  </si>
  <si>
    <t>Lacerates per replicate</t>
  </si>
  <si>
    <t>Total Carbs (ug/mL) perLacerate</t>
  </si>
  <si>
    <t>Total Lipids (ug/mL) per Lacerate</t>
  </si>
  <si>
    <t>Algae per Lacerate</t>
  </si>
  <si>
    <t>Total Host Protein (ug/mL) per lacerate</t>
  </si>
  <si>
    <t>Pedal Disk diameter um start</t>
  </si>
  <si>
    <t>Pedal Disk area um start</t>
  </si>
  <si>
    <t>Pedal Disk diameter um end</t>
  </si>
  <si>
    <t>Pedal Disk area um end</t>
  </si>
  <si>
    <t>Adult number</t>
  </si>
  <si>
    <t>Group</t>
  </si>
  <si>
    <t>SFL</t>
  </si>
  <si>
    <t>SFD</t>
  </si>
  <si>
    <t>SSL</t>
  </si>
  <si>
    <t>SSD</t>
  </si>
  <si>
    <t>AFL</t>
  </si>
  <si>
    <t>AFD</t>
  </si>
  <si>
    <t>ASL</t>
  </si>
  <si>
    <t>ASD</t>
  </si>
  <si>
    <t>Pedal Disk diameter Day 0</t>
  </si>
  <si>
    <t>Pedal Disk diameter Day 31</t>
  </si>
  <si>
    <t>Starved</t>
  </si>
  <si>
    <t>Day 0</t>
  </si>
  <si>
    <t>Day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</si>
</sst>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B804-61B0-421D-8F7F-416C426D35EC}">
  <dimension ref="A1:T31"/>
  <sheetViews>
    <sheetView zoomScaleNormal="100" workbookViewId="0">
      <selection activeCell="C11" sqref="C11"/>
    </sheetView>
  </sheetViews>
  <sheetFormatPr defaultRowHeight="14.4" x14ac:dyDescent="0.3"/>
  <cols>
    <col min="1" max="1" width="14.6640625" customWidth="1"/>
    <col min="2" max="2" width="17.5546875" customWidth="1"/>
    <col min="3" max="3" width="14.44140625" customWidth="1"/>
    <col min="4" max="4" width="29.44140625" customWidth="1"/>
    <col min="5" max="5" width="13" customWidth="1"/>
    <col min="6" max="6" width="15" customWidth="1"/>
    <col min="7" max="7" width="13" customWidth="1"/>
    <col min="8" max="8" width="13.44140625" customWidth="1"/>
    <col min="9" max="9" width="14.21875" customWidth="1"/>
    <col min="10" max="11" width="10.88671875" customWidth="1"/>
    <col min="12" max="12" width="14" customWidth="1"/>
    <col min="13" max="13" width="19.44140625" customWidth="1"/>
    <col min="14" max="14" width="31.44140625" customWidth="1"/>
    <col min="15" max="15" width="32.77734375" customWidth="1"/>
    <col min="16" max="16" width="22.6640625" customWidth="1"/>
    <col min="17" max="17" width="30" customWidth="1"/>
    <col min="18" max="18" width="30.5546875" customWidth="1"/>
    <col min="19" max="19" width="36.109375" customWidth="1"/>
    <col min="20" max="20" width="21.5546875" customWidth="1"/>
  </cols>
  <sheetData>
    <row r="1" spans="1:20" x14ac:dyDescent="0.3">
      <c r="A1" t="s">
        <v>9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22</v>
      </c>
      <c r="N1" t="s">
        <v>19</v>
      </c>
      <c r="O1" t="s">
        <v>20</v>
      </c>
      <c r="P1" t="s">
        <v>21</v>
      </c>
      <c r="Q1" t="s">
        <v>23</v>
      </c>
      <c r="R1" t="s">
        <v>24</v>
      </c>
      <c r="S1" t="s">
        <v>26</v>
      </c>
      <c r="T1" t="s">
        <v>25</v>
      </c>
    </row>
    <row r="2" spans="1:20" x14ac:dyDescent="0.3">
      <c r="A2" t="s">
        <v>16</v>
      </c>
      <c r="B2" t="s">
        <v>12</v>
      </c>
      <c r="C2" t="s">
        <v>14</v>
      </c>
      <c r="D2">
        <f>(0.255+0.408+0.358)/3</f>
        <v>0.34033333333333332</v>
      </c>
      <c r="E2">
        <f>(D2-0.08)/0.373</f>
        <v>0.69794459338695258</v>
      </c>
      <c r="F2">
        <f>E2*1000</f>
        <v>697.94459338695253</v>
      </c>
      <c r="G2">
        <f>(0.053+0.049+0.051)/3</f>
        <v>5.0999999999999997E-2</v>
      </c>
      <c r="H2">
        <f t="shared" ref="H2:H16" si="0">G2/0.228</f>
        <v>0.22368421052631576</v>
      </c>
      <c r="I2">
        <f>H2*1000</f>
        <v>223.68421052631575</v>
      </c>
      <c r="J2">
        <v>0.17399999999999999</v>
      </c>
      <c r="K2">
        <f>(J2-0.013)/0.0033</f>
        <v>48.787878787878782</v>
      </c>
      <c r="L2">
        <f>(2.99+1.52+1.82)/3*100000/2</f>
        <v>105500</v>
      </c>
      <c r="M2">
        <v>30</v>
      </c>
      <c r="N2">
        <f>F2/I2</f>
        <v>3.1202228880828473</v>
      </c>
      <c r="O2">
        <f>K2/I2</f>
        <v>0.21811051693404634</v>
      </c>
      <c r="P2">
        <f t="shared" ref="P2:P19" si="1">L2/I2</f>
        <v>471.64705882352951</v>
      </c>
      <c r="Q2">
        <f>F2/M2</f>
        <v>23.264819779565084</v>
      </c>
      <c r="R2">
        <f>K2/M2</f>
        <v>1.6262626262626261</v>
      </c>
      <c r="S2">
        <f t="shared" ref="S2:S31" si="2">I2/M2</f>
        <v>7.4561403508771917</v>
      </c>
      <c r="T2">
        <f>L2/M2</f>
        <v>3516.6666666666665</v>
      </c>
    </row>
    <row r="3" spans="1:20" x14ac:dyDescent="0.3">
      <c r="A3" t="s">
        <v>16</v>
      </c>
      <c r="B3" t="s">
        <v>12</v>
      </c>
      <c r="C3" t="s">
        <v>14</v>
      </c>
      <c r="D3">
        <f>(0.36+0.408+0.309)/3</f>
        <v>0.35899999999999999</v>
      </c>
      <c r="E3">
        <f>(D3-0.08)/0.373</f>
        <v>0.74798927613941013</v>
      </c>
      <c r="F3">
        <f t="shared" ref="F3:F31" si="3">E3*1000</f>
        <v>747.98927613941009</v>
      </c>
      <c r="G3">
        <f>(0.034+0.03+0.037)/3</f>
        <v>3.3666666666666671E-2</v>
      </c>
      <c r="H3">
        <f t="shared" si="0"/>
        <v>0.1476608187134503</v>
      </c>
      <c r="I3">
        <f t="shared" ref="I3:I31" si="4">H3*1000</f>
        <v>147.66081871345031</v>
      </c>
      <c r="J3">
        <v>0.21299999999999999</v>
      </c>
      <c r="K3">
        <f t="shared" ref="K3:K31" si="5">(J3-0.013)/0.0033</f>
        <v>60.606060606060602</v>
      </c>
      <c r="L3">
        <f>(1.52+0.997+0.704)/3*100000/2</f>
        <v>53683.333333333336</v>
      </c>
      <c r="M3">
        <v>30</v>
      </c>
      <c r="N3">
        <f t="shared" ref="N3:N31" si="6">F3/I3</f>
        <v>5.0655907413797667</v>
      </c>
      <c r="O3">
        <f t="shared" ref="O3:O31" si="7">K3/I3</f>
        <v>0.41044104410441035</v>
      </c>
      <c r="P3">
        <f t="shared" si="1"/>
        <v>363.55841584158412</v>
      </c>
      <c r="Q3">
        <f t="shared" ref="Q3:Q31" si="8">F3/M3</f>
        <v>24.932975871313669</v>
      </c>
      <c r="R3">
        <f t="shared" ref="R3:R31" si="9">K3/M3</f>
        <v>2.0202020202020199</v>
      </c>
      <c r="S3">
        <f t="shared" si="2"/>
        <v>4.9220272904483435</v>
      </c>
      <c r="T3">
        <f t="shared" ref="T3:T19" si="10">L3/M3</f>
        <v>1789.4444444444446</v>
      </c>
    </row>
    <row r="4" spans="1:20" x14ac:dyDescent="0.3">
      <c r="A4" t="s">
        <v>16</v>
      </c>
      <c r="B4" t="s">
        <v>12</v>
      </c>
      <c r="C4" t="s">
        <v>14</v>
      </c>
      <c r="D4">
        <f>(0.411+0.288+0.35)/3</f>
        <v>0.34966666666666663</v>
      </c>
      <c r="E4">
        <f t="shared" ref="E4:E31" si="11">(D4-0.08)/0.373</f>
        <v>0.7229669347631813</v>
      </c>
      <c r="F4">
        <f t="shared" si="3"/>
        <v>722.96693476318126</v>
      </c>
      <c r="G4">
        <f>(0.049+0.049+0.046)/3</f>
        <v>4.8000000000000008E-2</v>
      </c>
      <c r="H4">
        <f t="shared" si="0"/>
        <v>0.2105263157894737</v>
      </c>
      <c r="I4">
        <f t="shared" si="4"/>
        <v>210.5263157894737</v>
      </c>
      <c r="J4">
        <v>0.155</v>
      </c>
      <c r="K4">
        <f t="shared" si="5"/>
        <v>43.030303030303024</v>
      </c>
      <c r="L4">
        <f>(1.47+1.76+0.411)/3*100000/2</f>
        <v>60683.333333333336</v>
      </c>
      <c r="M4">
        <v>30</v>
      </c>
      <c r="N4">
        <f t="shared" si="6"/>
        <v>3.4340929401251108</v>
      </c>
      <c r="O4">
        <f t="shared" si="7"/>
        <v>0.20439393939393935</v>
      </c>
      <c r="P4">
        <f t="shared" si="1"/>
        <v>288.24583333333334</v>
      </c>
      <c r="Q4">
        <f t="shared" si="8"/>
        <v>24.098897825439376</v>
      </c>
      <c r="R4">
        <f t="shared" si="9"/>
        <v>1.434343434343434</v>
      </c>
      <c r="S4">
        <f t="shared" si="2"/>
        <v>7.0175438596491233</v>
      </c>
      <c r="T4">
        <f t="shared" si="10"/>
        <v>2022.7777777777778</v>
      </c>
    </row>
    <row r="5" spans="1:20" x14ac:dyDescent="0.3">
      <c r="A5" t="s">
        <v>16</v>
      </c>
      <c r="B5" t="s">
        <v>12</v>
      </c>
      <c r="C5" t="s">
        <v>14</v>
      </c>
      <c r="D5">
        <f>(0.327+0.387+0.267)/3</f>
        <v>0.32700000000000001</v>
      </c>
      <c r="E5">
        <f t="shared" si="11"/>
        <v>0.66219839142091153</v>
      </c>
      <c r="F5">
        <f t="shared" si="3"/>
        <v>662.19839142091155</v>
      </c>
      <c r="G5">
        <f>(0.073+0.078+0.078)/3</f>
        <v>7.6333333333333322E-2</v>
      </c>
      <c r="H5">
        <f t="shared" si="0"/>
        <v>0.33479532163742687</v>
      </c>
      <c r="I5">
        <f t="shared" si="4"/>
        <v>334.79532163742687</v>
      </c>
      <c r="J5">
        <v>0.154</v>
      </c>
      <c r="K5">
        <f t="shared" si="5"/>
        <v>42.727272727272727</v>
      </c>
      <c r="L5">
        <f>(2.17+2.11+2.52)/3*100000/2</f>
        <v>113333.33333333331</v>
      </c>
      <c r="M5">
        <v>32</v>
      </c>
      <c r="N5">
        <f t="shared" si="6"/>
        <v>1.9779200861655177</v>
      </c>
      <c r="O5">
        <f t="shared" si="7"/>
        <v>0.12762207225089323</v>
      </c>
      <c r="P5">
        <f t="shared" si="1"/>
        <v>338.51528384279476</v>
      </c>
      <c r="Q5">
        <f t="shared" si="8"/>
        <v>20.693699731903486</v>
      </c>
      <c r="R5">
        <f t="shared" si="9"/>
        <v>1.3352272727272727</v>
      </c>
      <c r="S5">
        <f t="shared" si="2"/>
        <v>10.46235380116959</v>
      </c>
      <c r="T5">
        <f t="shared" si="10"/>
        <v>3541.6666666666661</v>
      </c>
    </row>
    <row r="6" spans="1:20" x14ac:dyDescent="0.3">
      <c r="A6" t="s">
        <v>16</v>
      </c>
      <c r="B6" t="s">
        <v>12</v>
      </c>
      <c r="C6" t="s">
        <v>14</v>
      </c>
      <c r="D6">
        <f>(0.296+0.256+0.26)/3</f>
        <v>0.27066666666666667</v>
      </c>
      <c r="E6">
        <f t="shared" si="11"/>
        <v>0.51117068811438782</v>
      </c>
      <c r="F6">
        <f t="shared" si="3"/>
        <v>511.17068811438781</v>
      </c>
      <c r="G6">
        <f>(0.067+0.065+0.065)/3</f>
        <v>6.5666666666666665E-2</v>
      </c>
      <c r="H6">
        <f t="shared" si="0"/>
        <v>0.28801169590643272</v>
      </c>
      <c r="I6">
        <f t="shared" si="4"/>
        <v>288.01169590643269</v>
      </c>
      <c r="J6">
        <v>0.189</v>
      </c>
      <c r="K6">
        <f t="shared" si="5"/>
        <v>53.333333333333329</v>
      </c>
      <c r="L6">
        <f>(2.46+1.7+2.23)/3*100000/2</f>
        <v>106500.00000000001</v>
      </c>
      <c r="M6">
        <v>32</v>
      </c>
      <c r="N6">
        <f t="shared" si="6"/>
        <v>1.77482614553422</v>
      </c>
      <c r="O6">
        <f t="shared" si="7"/>
        <v>0.18517766497461932</v>
      </c>
      <c r="P6">
        <f t="shared" si="1"/>
        <v>369.77664974619302</v>
      </c>
      <c r="Q6">
        <f t="shared" si="8"/>
        <v>15.974084003574619</v>
      </c>
      <c r="R6">
        <f t="shared" si="9"/>
        <v>1.6666666666666665</v>
      </c>
      <c r="S6">
        <f t="shared" si="2"/>
        <v>9.0003654970760216</v>
      </c>
      <c r="T6">
        <f t="shared" si="10"/>
        <v>3328.1250000000005</v>
      </c>
    </row>
    <row r="7" spans="1:20" x14ac:dyDescent="0.3">
      <c r="A7" t="s">
        <v>16</v>
      </c>
      <c r="B7" t="s">
        <v>12</v>
      </c>
      <c r="C7" t="s">
        <v>15</v>
      </c>
      <c r="D7">
        <f>(0.11+0.122+0.116)/3</f>
        <v>0.11599999999999999</v>
      </c>
      <c r="E7">
        <f t="shared" si="11"/>
        <v>9.6514745308310973E-2</v>
      </c>
      <c r="F7">
        <f t="shared" si="3"/>
        <v>96.514745308310978</v>
      </c>
      <c r="G7">
        <f>(0.037+0.029+0.037)/3</f>
        <v>3.4333333333333334E-2</v>
      </c>
      <c r="H7">
        <f t="shared" si="0"/>
        <v>0.15058479532163743</v>
      </c>
      <c r="I7">
        <f t="shared" si="4"/>
        <v>150.58479532163744</v>
      </c>
      <c r="J7">
        <v>0.14399999999999999</v>
      </c>
      <c r="K7">
        <f t="shared" si="5"/>
        <v>39.696969696969688</v>
      </c>
      <c r="L7">
        <f>(0.235+0.645+0.762)/3*100000/2</f>
        <v>27366.666666666668</v>
      </c>
      <c r="M7">
        <v>30</v>
      </c>
      <c r="N7">
        <f t="shared" si="6"/>
        <v>0.6409328717561622</v>
      </c>
      <c r="O7">
        <f t="shared" si="7"/>
        <v>0.26361871138570159</v>
      </c>
      <c r="P7">
        <f t="shared" si="1"/>
        <v>181.73592233009708</v>
      </c>
      <c r="Q7">
        <f t="shared" si="8"/>
        <v>3.2171581769436992</v>
      </c>
      <c r="R7">
        <f t="shared" si="9"/>
        <v>1.3232323232323229</v>
      </c>
      <c r="S7">
        <f t="shared" si="2"/>
        <v>5.0194931773879148</v>
      </c>
      <c r="T7">
        <f t="shared" si="10"/>
        <v>912.22222222222229</v>
      </c>
    </row>
    <row r="8" spans="1:20" x14ac:dyDescent="0.3">
      <c r="A8" t="s">
        <v>16</v>
      </c>
      <c r="B8" t="s">
        <v>12</v>
      </c>
      <c r="C8" t="s">
        <v>15</v>
      </c>
      <c r="D8">
        <f>(0.118+0.12+0.132)/3</f>
        <v>0.12333333333333334</v>
      </c>
      <c r="E8">
        <f t="shared" si="11"/>
        <v>0.1161751563896336</v>
      </c>
      <c r="F8">
        <f t="shared" si="3"/>
        <v>116.1751563896336</v>
      </c>
      <c r="G8">
        <f>(0.058+0.042+0.039)/3</f>
        <v>4.6333333333333337E-2</v>
      </c>
      <c r="H8">
        <f t="shared" si="0"/>
        <v>0.20321637426900585</v>
      </c>
      <c r="I8">
        <f t="shared" si="4"/>
        <v>203.21637426900585</v>
      </c>
      <c r="J8">
        <v>0.217</v>
      </c>
      <c r="K8">
        <f t="shared" si="5"/>
        <v>61.818181818181813</v>
      </c>
      <c r="L8">
        <f>(0.0586+0.176+0.235)/3*100000/2</f>
        <v>7826.6666666666661</v>
      </c>
      <c r="M8">
        <v>30</v>
      </c>
      <c r="N8">
        <f t="shared" si="6"/>
        <v>0.57168206453603865</v>
      </c>
      <c r="O8">
        <f t="shared" si="7"/>
        <v>0.30419882275997379</v>
      </c>
      <c r="P8">
        <f t="shared" si="1"/>
        <v>38.513956834532372</v>
      </c>
      <c r="Q8">
        <f t="shared" si="8"/>
        <v>3.8725052129877868</v>
      </c>
      <c r="R8">
        <f t="shared" si="9"/>
        <v>2.0606060606060606</v>
      </c>
      <c r="S8">
        <f t="shared" si="2"/>
        <v>6.7738791423001947</v>
      </c>
      <c r="T8">
        <f t="shared" si="10"/>
        <v>260.88888888888886</v>
      </c>
    </row>
    <row r="9" spans="1:20" x14ac:dyDescent="0.3">
      <c r="A9" t="s">
        <v>17</v>
      </c>
      <c r="B9" t="s">
        <v>12</v>
      </c>
      <c r="C9" t="s">
        <v>15</v>
      </c>
      <c r="D9">
        <f>(0.193+0.215+0.118)/3</f>
        <v>0.17533333333333334</v>
      </c>
      <c r="E9">
        <f t="shared" si="11"/>
        <v>0.25558534405719396</v>
      </c>
      <c r="F9">
        <f t="shared" si="3"/>
        <v>255.58534405719396</v>
      </c>
      <c r="G9">
        <f>(0.039+0.04+0.033)/3</f>
        <v>3.7333333333333336E-2</v>
      </c>
      <c r="H9">
        <f t="shared" si="0"/>
        <v>0.16374269005847955</v>
      </c>
      <c r="I9">
        <f t="shared" si="4"/>
        <v>163.74269005847955</v>
      </c>
      <c r="J9">
        <v>0.13100000000000001</v>
      </c>
      <c r="K9">
        <f t="shared" si="5"/>
        <v>35.757575757575758</v>
      </c>
      <c r="L9">
        <f>(0.469+0.704+0.0586)/3*100000/2</f>
        <v>20526.666666666668</v>
      </c>
      <c r="M9">
        <v>30</v>
      </c>
      <c r="N9">
        <f t="shared" si="6"/>
        <v>1.5608962083492914</v>
      </c>
      <c r="O9">
        <f t="shared" si="7"/>
        <v>0.21837662337662336</v>
      </c>
      <c r="P9">
        <f t="shared" si="1"/>
        <v>125.3592857142857</v>
      </c>
      <c r="Q9">
        <f t="shared" si="8"/>
        <v>8.5195114685731319</v>
      </c>
      <c r="R9">
        <f t="shared" si="9"/>
        <v>1.1919191919191918</v>
      </c>
      <c r="S9">
        <f t="shared" si="2"/>
        <v>5.458089668615985</v>
      </c>
      <c r="T9">
        <f t="shared" si="10"/>
        <v>684.22222222222229</v>
      </c>
    </row>
    <row r="10" spans="1:20" x14ac:dyDescent="0.3">
      <c r="A10" t="s">
        <v>16</v>
      </c>
      <c r="B10" t="s">
        <v>12</v>
      </c>
      <c r="C10" t="s">
        <v>15</v>
      </c>
      <c r="D10">
        <f>(0.147+0.253+0.165)/3</f>
        <v>0.18833333333333335</v>
      </c>
      <c r="E10">
        <f t="shared" si="11"/>
        <v>0.29043789097408407</v>
      </c>
      <c r="F10">
        <f t="shared" si="3"/>
        <v>290.43789097408404</v>
      </c>
      <c r="G10">
        <f>(0.054+0.051+0.047)/3</f>
        <v>5.0666666666666665E-2</v>
      </c>
      <c r="H10">
        <f t="shared" si="0"/>
        <v>0.22222222222222221</v>
      </c>
      <c r="I10">
        <f t="shared" si="4"/>
        <v>222.2222222222222</v>
      </c>
      <c r="J10">
        <v>0.16300000000000001</v>
      </c>
      <c r="K10">
        <f t="shared" si="5"/>
        <v>45.454545454545453</v>
      </c>
      <c r="L10">
        <f>(1.64+1.99+2.17)/3*100000/2</f>
        <v>96666.666666666672</v>
      </c>
      <c r="M10">
        <v>30</v>
      </c>
      <c r="N10">
        <f t="shared" si="6"/>
        <v>1.3069705093833783</v>
      </c>
      <c r="O10">
        <f t="shared" si="7"/>
        <v>0.20454545454545456</v>
      </c>
      <c r="P10">
        <f t="shared" si="1"/>
        <v>435.00000000000006</v>
      </c>
      <c r="Q10">
        <f t="shared" si="8"/>
        <v>9.6812630324694684</v>
      </c>
      <c r="R10">
        <f t="shared" si="9"/>
        <v>1.5151515151515151</v>
      </c>
      <c r="S10">
        <f t="shared" si="2"/>
        <v>7.4074074074074066</v>
      </c>
      <c r="T10">
        <f t="shared" si="10"/>
        <v>3222.2222222222222</v>
      </c>
    </row>
    <row r="11" spans="1:20" x14ac:dyDescent="0.3">
      <c r="A11" t="s">
        <v>16</v>
      </c>
      <c r="B11" t="s">
        <v>12</v>
      </c>
      <c r="C11" t="s">
        <v>15</v>
      </c>
      <c r="D11">
        <f>(0.221+0.179+0.215)/3</f>
        <v>0.20499999999999999</v>
      </c>
      <c r="E11">
        <f t="shared" si="11"/>
        <v>0.33512064343163533</v>
      </c>
      <c r="F11">
        <f t="shared" si="3"/>
        <v>335.12064343163536</v>
      </c>
      <c r="G11">
        <f>(0.074+0.065+0.066)/3</f>
        <v>6.8333333333333343E-2</v>
      </c>
      <c r="H11">
        <f t="shared" si="0"/>
        <v>0.29970760233918131</v>
      </c>
      <c r="I11">
        <f t="shared" si="4"/>
        <v>299.70760233918134</v>
      </c>
      <c r="J11">
        <v>0.107</v>
      </c>
      <c r="K11">
        <f t="shared" si="5"/>
        <v>28.484848484848484</v>
      </c>
      <c r="L11">
        <f>(1.23+1.47+1.17)/3*100000/2</f>
        <v>64500</v>
      </c>
      <c r="M11">
        <v>35</v>
      </c>
      <c r="N11">
        <f t="shared" si="6"/>
        <v>1.1181586346694563</v>
      </c>
      <c r="O11">
        <f t="shared" si="7"/>
        <v>9.5042128603104195E-2</v>
      </c>
      <c r="P11">
        <f t="shared" si="1"/>
        <v>215.20975609756093</v>
      </c>
      <c r="Q11">
        <f t="shared" si="8"/>
        <v>9.5748755266181522</v>
      </c>
      <c r="R11">
        <f t="shared" si="9"/>
        <v>0.81385281385281383</v>
      </c>
      <c r="S11">
        <f t="shared" si="2"/>
        <v>8.5630743525480373</v>
      </c>
      <c r="T11">
        <f t="shared" si="10"/>
        <v>1842.8571428571429</v>
      </c>
    </row>
    <row r="12" spans="1:20" x14ac:dyDescent="0.3">
      <c r="A12" t="s">
        <v>16</v>
      </c>
      <c r="B12" t="s">
        <v>43</v>
      </c>
      <c r="C12" t="s">
        <v>14</v>
      </c>
      <c r="D12">
        <f>(0.14+0.2+0.236)/3</f>
        <v>0.19200000000000003</v>
      </c>
      <c r="E12">
        <f t="shared" si="11"/>
        <v>0.3002680965147454</v>
      </c>
      <c r="F12">
        <f t="shared" si="3"/>
        <v>300.26809651474542</v>
      </c>
      <c r="G12">
        <f>(0.028+0.024+0.028)/3</f>
        <v>2.6666666666666668E-2</v>
      </c>
      <c r="H12">
        <f t="shared" si="0"/>
        <v>0.11695906432748539</v>
      </c>
      <c r="I12">
        <f t="shared" si="4"/>
        <v>116.95906432748539</v>
      </c>
      <c r="J12">
        <v>0.14199999999999999</v>
      </c>
      <c r="K12">
        <f t="shared" si="5"/>
        <v>39.090909090909086</v>
      </c>
      <c r="L12">
        <f>(1.94+2.7+1.35)/3*100000/2</f>
        <v>99833.333333333343</v>
      </c>
      <c r="M12">
        <v>30</v>
      </c>
      <c r="N12">
        <f t="shared" si="6"/>
        <v>2.567292225201073</v>
      </c>
      <c r="O12">
        <f t="shared" si="7"/>
        <v>0.33422727272727265</v>
      </c>
      <c r="P12">
        <f t="shared" si="1"/>
        <v>853.57499999999993</v>
      </c>
      <c r="Q12">
        <f t="shared" si="8"/>
        <v>10.008936550491514</v>
      </c>
      <c r="R12">
        <f t="shared" si="9"/>
        <v>1.303030303030303</v>
      </c>
      <c r="S12">
        <f t="shared" si="2"/>
        <v>3.8986354775828462</v>
      </c>
      <c r="T12">
        <f t="shared" si="10"/>
        <v>3327.7777777777783</v>
      </c>
    </row>
    <row r="13" spans="1:20" x14ac:dyDescent="0.3">
      <c r="A13" t="s">
        <v>16</v>
      </c>
      <c r="B13" t="s">
        <v>43</v>
      </c>
      <c r="C13" t="s">
        <v>14</v>
      </c>
      <c r="D13">
        <f>(0.136+0.129+0.173)/3</f>
        <v>0.14599999999999999</v>
      </c>
      <c r="E13">
        <f t="shared" si="11"/>
        <v>0.17694369973190346</v>
      </c>
      <c r="F13">
        <f t="shared" si="3"/>
        <v>176.94369973190345</v>
      </c>
      <c r="G13">
        <f>(0.036+0.03+0.035)/3</f>
        <v>3.3666666666666671E-2</v>
      </c>
      <c r="H13">
        <f t="shared" si="0"/>
        <v>0.1476608187134503</v>
      </c>
      <c r="I13">
        <f t="shared" si="4"/>
        <v>147.66081871345031</v>
      </c>
      <c r="J13">
        <v>0.15</v>
      </c>
      <c r="K13">
        <f t="shared" si="5"/>
        <v>41.515151515151508</v>
      </c>
      <c r="L13">
        <f>(1.23+1.82+1.52)/3*100000/2</f>
        <v>76166.666666666672</v>
      </c>
      <c r="M13">
        <v>30</v>
      </c>
      <c r="N13">
        <f t="shared" si="6"/>
        <v>1.1983117882833856</v>
      </c>
      <c r="O13">
        <f t="shared" si="7"/>
        <v>0.28115211521152106</v>
      </c>
      <c r="P13">
        <f t="shared" si="1"/>
        <v>515.82178217821775</v>
      </c>
      <c r="Q13">
        <f t="shared" si="8"/>
        <v>5.8981233243967814</v>
      </c>
      <c r="R13">
        <f t="shared" si="9"/>
        <v>1.3838383838383836</v>
      </c>
      <c r="S13">
        <f t="shared" si="2"/>
        <v>4.9220272904483435</v>
      </c>
      <c r="T13">
        <f t="shared" si="10"/>
        <v>2538.8888888888891</v>
      </c>
    </row>
    <row r="14" spans="1:20" x14ac:dyDescent="0.3">
      <c r="A14" t="s">
        <v>17</v>
      </c>
      <c r="B14" t="s">
        <v>43</v>
      </c>
      <c r="C14" t="s">
        <v>14</v>
      </c>
      <c r="D14">
        <f>(0.306+0.232+0.245)/3</f>
        <v>0.26100000000000001</v>
      </c>
      <c r="E14">
        <f t="shared" si="11"/>
        <v>0.48525469168900803</v>
      </c>
      <c r="F14">
        <f t="shared" si="3"/>
        <v>485.25469168900804</v>
      </c>
      <c r="G14">
        <f>(0.049+0.038+0.031)/3</f>
        <v>3.9333333333333331E-2</v>
      </c>
      <c r="H14">
        <f t="shared" si="0"/>
        <v>0.17251461988304093</v>
      </c>
      <c r="I14">
        <f t="shared" si="4"/>
        <v>172.51461988304092</v>
      </c>
      <c r="J14">
        <v>0.115</v>
      </c>
      <c r="K14">
        <f t="shared" si="5"/>
        <v>30.90909090909091</v>
      </c>
      <c r="L14">
        <f>(1.7+1.41+1.47)/3*100000/2</f>
        <v>76333.333333333328</v>
      </c>
      <c r="M14">
        <v>30</v>
      </c>
      <c r="N14">
        <f t="shared" si="6"/>
        <v>2.8128322806379789</v>
      </c>
      <c r="O14">
        <f t="shared" si="7"/>
        <v>0.17916795069337443</v>
      </c>
      <c r="P14">
        <f t="shared" si="1"/>
        <v>442.47457627118644</v>
      </c>
      <c r="Q14">
        <f t="shared" si="8"/>
        <v>16.175156389633603</v>
      </c>
      <c r="R14">
        <f t="shared" si="9"/>
        <v>1.0303030303030303</v>
      </c>
      <c r="S14">
        <f t="shared" si="2"/>
        <v>5.750487329434697</v>
      </c>
      <c r="T14">
        <f t="shared" si="10"/>
        <v>2544.4444444444443</v>
      </c>
    </row>
    <row r="15" spans="1:20" x14ac:dyDescent="0.3">
      <c r="A15" t="s">
        <v>16</v>
      </c>
      <c r="B15" t="s">
        <v>43</v>
      </c>
      <c r="C15" t="s">
        <v>14</v>
      </c>
      <c r="D15">
        <f>(0.142+0.148+0.237)/3</f>
        <v>0.17566666666666664</v>
      </c>
      <c r="E15">
        <f t="shared" si="11"/>
        <v>0.25647899910634486</v>
      </c>
      <c r="F15">
        <f t="shared" si="3"/>
        <v>256.47899910634487</v>
      </c>
      <c r="G15">
        <f>(0.028+0.028+0.027)/3</f>
        <v>2.7666666666666669E-2</v>
      </c>
      <c r="H15">
        <f t="shared" si="0"/>
        <v>0.12134502923976609</v>
      </c>
      <c r="I15">
        <f t="shared" si="4"/>
        <v>121.34502923976609</v>
      </c>
      <c r="J15">
        <v>0.13200000000000001</v>
      </c>
      <c r="K15">
        <f t="shared" si="5"/>
        <v>36.060606060606062</v>
      </c>
      <c r="L15">
        <f>(0.938+0.997+1.47)/3*100000/2</f>
        <v>56750</v>
      </c>
      <c r="M15">
        <v>30</v>
      </c>
      <c r="N15">
        <f t="shared" si="6"/>
        <v>2.1136341613101188</v>
      </c>
      <c r="O15">
        <f t="shared" si="7"/>
        <v>0.29717415115005474</v>
      </c>
      <c r="P15">
        <f t="shared" si="1"/>
        <v>467.67469879518069</v>
      </c>
      <c r="Q15">
        <f t="shared" si="8"/>
        <v>8.5492999702114965</v>
      </c>
      <c r="R15">
        <f t="shared" si="9"/>
        <v>1.202020202020202</v>
      </c>
      <c r="S15">
        <f t="shared" si="2"/>
        <v>4.0448343079922031</v>
      </c>
      <c r="T15">
        <f t="shared" si="10"/>
        <v>1891.6666666666667</v>
      </c>
    </row>
    <row r="16" spans="1:20" x14ac:dyDescent="0.3">
      <c r="A16" t="s">
        <v>16</v>
      </c>
      <c r="B16" t="s">
        <v>43</v>
      </c>
      <c r="C16" t="s">
        <v>14</v>
      </c>
      <c r="D16">
        <f>(0.159+0.281+0.19)/3</f>
        <v>0.21000000000000005</v>
      </c>
      <c r="E16">
        <f t="shared" si="11"/>
        <v>0.34852546916890098</v>
      </c>
      <c r="F16">
        <f t="shared" si="3"/>
        <v>348.525469168901</v>
      </c>
      <c r="G16">
        <f>(0.028+0.027+0.027)/3</f>
        <v>2.7333333333333334E-2</v>
      </c>
      <c r="H16">
        <f t="shared" si="0"/>
        <v>0.11988304093567252</v>
      </c>
      <c r="I16">
        <f t="shared" si="4"/>
        <v>119.88304093567253</v>
      </c>
      <c r="J16">
        <v>0.17299999999999999</v>
      </c>
      <c r="K16">
        <f t="shared" si="5"/>
        <v>48.484848484848477</v>
      </c>
      <c r="L16">
        <f>(0.762+0.704+0.997)/3*100000/2</f>
        <v>41050</v>
      </c>
      <c r="M16">
        <v>24</v>
      </c>
      <c r="N16">
        <f t="shared" si="6"/>
        <v>2.9072124501405887</v>
      </c>
      <c r="O16">
        <f t="shared" si="7"/>
        <v>0.40443458980044333</v>
      </c>
      <c r="P16">
        <f t="shared" si="1"/>
        <v>342.41707317073167</v>
      </c>
      <c r="Q16">
        <f t="shared" si="8"/>
        <v>14.521894548704209</v>
      </c>
      <c r="R16">
        <f t="shared" si="9"/>
        <v>2.0202020202020199</v>
      </c>
      <c r="S16">
        <f t="shared" si="2"/>
        <v>4.9951267056530222</v>
      </c>
      <c r="T16">
        <f t="shared" si="10"/>
        <v>1710.4166666666667</v>
      </c>
    </row>
    <row r="17" spans="1:20" x14ac:dyDescent="0.3">
      <c r="A17" t="s">
        <v>16</v>
      </c>
      <c r="B17" t="s">
        <v>43</v>
      </c>
      <c r="C17" t="s">
        <v>15</v>
      </c>
      <c r="D17">
        <f>(0.138+0.25+0.116)/3</f>
        <v>0.16800000000000001</v>
      </c>
      <c r="E17">
        <f t="shared" si="11"/>
        <v>0.23592493297587133</v>
      </c>
      <c r="F17">
        <f t="shared" si="3"/>
        <v>235.92493297587134</v>
      </c>
      <c r="G17">
        <f>(0.023+0.024+0.033)/3</f>
        <v>2.6666666666666668E-2</v>
      </c>
      <c r="H17">
        <f>G17/0.228</f>
        <v>0.11695906432748539</v>
      </c>
      <c r="I17">
        <f t="shared" si="4"/>
        <v>116.95906432748539</v>
      </c>
      <c r="J17">
        <v>9.7000000000000003E-2</v>
      </c>
      <c r="K17">
        <f t="shared" si="5"/>
        <v>25.454545454545457</v>
      </c>
      <c r="L17">
        <f>(1.29+1.29+0.235)/3*100000/2</f>
        <v>46916.666666666664</v>
      </c>
      <c r="M17">
        <v>30</v>
      </c>
      <c r="N17">
        <f t="shared" si="6"/>
        <v>2.0171581769436999</v>
      </c>
      <c r="O17">
        <f t="shared" si="7"/>
        <v>0.21763636363636363</v>
      </c>
      <c r="P17">
        <f t="shared" si="1"/>
        <v>401.13749999999993</v>
      </c>
      <c r="Q17">
        <f t="shared" si="8"/>
        <v>7.8641644325290452</v>
      </c>
      <c r="R17">
        <f t="shared" si="9"/>
        <v>0.84848484848484851</v>
      </c>
      <c r="S17">
        <f t="shared" si="2"/>
        <v>3.8986354775828462</v>
      </c>
      <c r="T17">
        <f t="shared" si="10"/>
        <v>1563.8888888888889</v>
      </c>
    </row>
    <row r="18" spans="1:20" x14ac:dyDescent="0.3">
      <c r="A18" t="s">
        <v>17</v>
      </c>
      <c r="B18" t="s">
        <v>43</v>
      </c>
      <c r="C18" t="s">
        <v>15</v>
      </c>
      <c r="D18">
        <f>(0.12+0.122+0.114)/3</f>
        <v>0.11866666666666666</v>
      </c>
      <c r="E18">
        <f t="shared" si="11"/>
        <v>0.10366398570151918</v>
      </c>
      <c r="F18">
        <f t="shared" si="3"/>
        <v>103.66398570151918</v>
      </c>
      <c r="G18">
        <f>(0.024+0.033+0.025)/3</f>
        <v>2.7333333333333334E-2</v>
      </c>
      <c r="H18">
        <f t="shared" ref="H18:H31" si="12">G18/0.228</f>
        <v>0.11988304093567252</v>
      </c>
      <c r="I18">
        <f t="shared" si="4"/>
        <v>119.88304093567253</v>
      </c>
      <c r="J18">
        <v>0.113</v>
      </c>
      <c r="K18">
        <f t="shared" si="5"/>
        <v>30.303030303030305</v>
      </c>
      <c r="L18">
        <f>(0.704+0.997+1.23)/3*100000/2</f>
        <v>48850</v>
      </c>
      <c r="M18">
        <v>32</v>
      </c>
      <c r="N18">
        <f t="shared" si="6"/>
        <v>0.86470934414437939</v>
      </c>
      <c r="O18">
        <f t="shared" si="7"/>
        <v>0.25277161862527714</v>
      </c>
      <c r="P18">
        <f t="shared" si="1"/>
        <v>407.48048780487801</v>
      </c>
      <c r="Q18">
        <f t="shared" si="8"/>
        <v>3.2394995531724744</v>
      </c>
      <c r="R18">
        <f t="shared" si="9"/>
        <v>0.94696969696969702</v>
      </c>
      <c r="S18">
        <f t="shared" si="2"/>
        <v>3.7463450292397664</v>
      </c>
      <c r="T18">
        <f t="shared" si="10"/>
        <v>1526.5625</v>
      </c>
    </row>
    <row r="19" spans="1:20" x14ac:dyDescent="0.3">
      <c r="A19" t="s">
        <v>16</v>
      </c>
      <c r="B19" t="s">
        <v>43</v>
      </c>
      <c r="C19" t="s">
        <v>15</v>
      </c>
      <c r="D19">
        <f>(0.144+0.308+0.123)/3</f>
        <v>0.19166666666666665</v>
      </c>
      <c r="E19">
        <f t="shared" si="11"/>
        <v>0.29937444146559422</v>
      </c>
      <c r="F19">
        <f t="shared" si="3"/>
        <v>299.3744414655942</v>
      </c>
      <c r="G19">
        <f>(0.043+0.04+0.031)/3</f>
        <v>3.7999999999999999E-2</v>
      </c>
      <c r="H19">
        <f t="shared" si="12"/>
        <v>0.16666666666666666</v>
      </c>
      <c r="I19">
        <f t="shared" si="4"/>
        <v>166.66666666666666</v>
      </c>
      <c r="J19">
        <v>0.13300000000000001</v>
      </c>
      <c r="K19">
        <f t="shared" si="5"/>
        <v>36.363636363636367</v>
      </c>
      <c r="L19">
        <f>(1.35+1.11+1.11)/3*100000/2</f>
        <v>59500.000000000007</v>
      </c>
      <c r="M19">
        <v>30</v>
      </c>
      <c r="N19">
        <f t="shared" si="6"/>
        <v>1.7962466487935653</v>
      </c>
      <c r="O19">
        <f t="shared" si="7"/>
        <v>0.21818181818181823</v>
      </c>
      <c r="P19">
        <f t="shared" si="1"/>
        <v>357.00000000000006</v>
      </c>
      <c r="Q19">
        <f t="shared" si="8"/>
        <v>9.9791480488531406</v>
      </c>
      <c r="R19">
        <f t="shared" si="9"/>
        <v>1.2121212121212122</v>
      </c>
      <c r="S19">
        <f t="shared" si="2"/>
        <v>5.5555555555555554</v>
      </c>
      <c r="T19">
        <f t="shared" si="10"/>
        <v>1983.3333333333335</v>
      </c>
    </row>
    <row r="20" spans="1:20" x14ac:dyDescent="0.3">
      <c r="A20" t="s">
        <v>18</v>
      </c>
      <c r="B20" t="s">
        <v>12</v>
      </c>
      <c r="C20" t="s">
        <v>14</v>
      </c>
      <c r="D20">
        <f>(0.149+0.117+0.118)/3</f>
        <v>0.128</v>
      </c>
      <c r="E20">
        <f t="shared" si="11"/>
        <v>0.12868632707774799</v>
      </c>
      <c r="F20">
        <f t="shared" si="3"/>
        <v>128.68632707774799</v>
      </c>
      <c r="G20">
        <f>(0.019+0.021+0.041)/3</f>
        <v>2.7E-2</v>
      </c>
      <c r="H20">
        <f t="shared" si="12"/>
        <v>0.11842105263157894</v>
      </c>
      <c r="I20">
        <f t="shared" si="4"/>
        <v>118.42105263157895</v>
      </c>
      <c r="J20">
        <v>0.24</v>
      </c>
      <c r="K20">
        <f t="shared" si="5"/>
        <v>68.787878787878782</v>
      </c>
      <c r="M20">
        <v>30</v>
      </c>
      <c r="N20">
        <f t="shared" si="6"/>
        <v>1.0866845397676497</v>
      </c>
      <c r="O20">
        <f t="shared" si="7"/>
        <v>0.58087542087542088</v>
      </c>
      <c r="Q20">
        <f t="shared" si="8"/>
        <v>4.2895442359249332</v>
      </c>
      <c r="R20">
        <f t="shared" si="9"/>
        <v>2.2929292929292928</v>
      </c>
      <c r="S20">
        <f t="shared" si="2"/>
        <v>3.9473684210526314</v>
      </c>
    </row>
    <row r="21" spans="1:20" x14ac:dyDescent="0.3">
      <c r="A21" t="s">
        <v>18</v>
      </c>
      <c r="B21" t="s">
        <v>12</v>
      </c>
      <c r="C21" t="s">
        <v>14</v>
      </c>
      <c r="D21">
        <f>(0.111+0.121+0.139)/3</f>
        <v>0.12366666666666666</v>
      </c>
      <c r="E21">
        <f t="shared" si="11"/>
        <v>0.11706881143878461</v>
      </c>
      <c r="F21">
        <f t="shared" si="3"/>
        <v>117.06881143878462</v>
      </c>
      <c r="G21">
        <f>(0.025+0.025+0.02)/3</f>
        <v>2.3333333333333334E-2</v>
      </c>
      <c r="H21">
        <f t="shared" si="12"/>
        <v>0.1023391812865497</v>
      </c>
      <c r="I21">
        <f t="shared" si="4"/>
        <v>102.3391812865497</v>
      </c>
      <c r="J21">
        <v>0.111</v>
      </c>
      <c r="K21">
        <f t="shared" si="5"/>
        <v>29.696969696969699</v>
      </c>
      <c r="M21">
        <v>31</v>
      </c>
      <c r="N21">
        <f t="shared" si="6"/>
        <v>1.143929528916124</v>
      </c>
      <c r="O21">
        <f t="shared" si="7"/>
        <v>0.29018181818181821</v>
      </c>
      <c r="Q21">
        <f t="shared" si="8"/>
        <v>3.7764132722188588</v>
      </c>
      <c r="R21">
        <f t="shared" si="9"/>
        <v>0.95796676441837736</v>
      </c>
      <c r="S21">
        <f t="shared" si="2"/>
        <v>3.3012639124693455</v>
      </c>
    </row>
    <row r="22" spans="1:20" x14ac:dyDescent="0.3">
      <c r="A22" t="s">
        <v>18</v>
      </c>
      <c r="B22" t="s">
        <v>12</v>
      </c>
      <c r="C22" t="s">
        <v>14</v>
      </c>
      <c r="D22">
        <f>(0.316+0.205+0.275)/3</f>
        <v>0.26533333333333337</v>
      </c>
      <c r="E22">
        <f t="shared" si="11"/>
        <v>0.49687220732797144</v>
      </c>
      <c r="F22">
        <f t="shared" si="3"/>
        <v>496.87220732797141</v>
      </c>
      <c r="G22">
        <f>(0.022+0.029+0.022)/3</f>
        <v>2.4333333333333335E-2</v>
      </c>
      <c r="H22">
        <f t="shared" si="12"/>
        <v>0.10672514619883042</v>
      </c>
      <c r="I22">
        <f t="shared" si="4"/>
        <v>106.72514619883042</v>
      </c>
      <c r="J22">
        <v>0.28199999999999997</v>
      </c>
      <c r="K22">
        <f t="shared" si="5"/>
        <v>81.515151515151501</v>
      </c>
      <c r="M22">
        <v>34</v>
      </c>
      <c r="N22">
        <f t="shared" si="6"/>
        <v>4.6556245179771567</v>
      </c>
      <c r="O22">
        <f t="shared" si="7"/>
        <v>0.76378580323785783</v>
      </c>
      <c r="Q22">
        <f t="shared" si="8"/>
        <v>14.613888450822689</v>
      </c>
      <c r="R22">
        <f t="shared" si="9"/>
        <v>2.3975044563279853</v>
      </c>
      <c r="S22">
        <f t="shared" si="2"/>
        <v>3.1389748882008948</v>
      </c>
    </row>
    <row r="23" spans="1:20" x14ac:dyDescent="0.3">
      <c r="A23" t="s">
        <v>18</v>
      </c>
      <c r="B23" t="s">
        <v>12</v>
      </c>
      <c r="C23" t="s">
        <v>15</v>
      </c>
      <c r="D23">
        <f>(0.234+0.141+0.157)/3</f>
        <v>0.17733333333333334</v>
      </c>
      <c r="E23">
        <f t="shared" si="11"/>
        <v>0.26094727435210013</v>
      </c>
      <c r="F23">
        <f t="shared" si="3"/>
        <v>260.94727435210012</v>
      </c>
      <c r="G23">
        <f>(0.031+0.063+0.027)/3</f>
        <v>4.0333333333333332E-2</v>
      </c>
      <c r="H23">
        <f t="shared" si="12"/>
        <v>0.17690058479532161</v>
      </c>
      <c r="I23">
        <f t="shared" si="4"/>
        <v>176.90058479532161</v>
      </c>
      <c r="J23">
        <v>0.33200000000000002</v>
      </c>
      <c r="K23">
        <f t="shared" si="5"/>
        <v>96.666666666666671</v>
      </c>
      <c r="M23">
        <v>30</v>
      </c>
      <c r="N23">
        <f t="shared" si="6"/>
        <v>1.4751069062548472</v>
      </c>
      <c r="O23">
        <f t="shared" si="7"/>
        <v>0.54644628099173564</v>
      </c>
      <c r="Q23">
        <f t="shared" si="8"/>
        <v>8.698242478403337</v>
      </c>
      <c r="R23">
        <f t="shared" si="9"/>
        <v>3.2222222222222223</v>
      </c>
      <c r="S23">
        <f t="shared" si="2"/>
        <v>5.8966861598440534</v>
      </c>
    </row>
    <row r="24" spans="1:20" x14ac:dyDescent="0.3">
      <c r="A24" t="s">
        <v>18</v>
      </c>
      <c r="B24" t="s">
        <v>12</v>
      </c>
      <c r="C24" t="s">
        <v>15</v>
      </c>
      <c r="D24">
        <f>(0.142+0.262+0.176)/3</f>
        <v>0.19333333333333336</v>
      </c>
      <c r="E24">
        <f t="shared" si="11"/>
        <v>0.30384271671134949</v>
      </c>
      <c r="F24">
        <f t="shared" si="3"/>
        <v>303.84271671134951</v>
      </c>
      <c r="G24">
        <f>(0.036+0.019+0.023)/3</f>
        <v>2.5999999999999995E-2</v>
      </c>
      <c r="H24">
        <f t="shared" si="12"/>
        <v>0.11403508771929823</v>
      </c>
      <c r="I24">
        <f t="shared" si="4"/>
        <v>114.03508771929823</v>
      </c>
      <c r="J24">
        <v>0.37</v>
      </c>
      <c r="K24">
        <f t="shared" si="5"/>
        <v>108.18181818181817</v>
      </c>
      <c r="M24">
        <v>30</v>
      </c>
      <c r="N24">
        <f t="shared" si="6"/>
        <v>2.6644669003918344</v>
      </c>
      <c r="O24">
        <f t="shared" si="7"/>
        <v>0.94867132867132875</v>
      </c>
      <c r="Q24">
        <f t="shared" si="8"/>
        <v>10.128090557044983</v>
      </c>
      <c r="R24">
        <f t="shared" si="9"/>
        <v>3.606060606060606</v>
      </c>
      <c r="S24">
        <f t="shared" si="2"/>
        <v>3.8011695906432745</v>
      </c>
    </row>
    <row r="25" spans="1:20" x14ac:dyDescent="0.3">
      <c r="A25" t="s">
        <v>18</v>
      </c>
      <c r="B25" t="s">
        <v>12</v>
      </c>
      <c r="C25" t="s">
        <v>15</v>
      </c>
      <c r="D25">
        <f>(0.285+0.122+0.129)/3</f>
        <v>0.17866666666666667</v>
      </c>
      <c r="E25">
        <f t="shared" si="11"/>
        <v>0.26452189454870423</v>
      </c>
      <c r="F25">
        <f t="shared" si="3"/>
        <v>264.52189454870421</v>
      </c>
      <c r="G25">
        <f>(0.045+0.044+0.038)/3</f>
        <v>4.2333333333333334E-2</v>
      </c>
      <c r="H25">
        <f t="shared" si="12"/>
        <v>0.18567251461988304</v>
      </c>
      <c r="I25">
        <f t="shared" si="4"/>
        <v>185.67251461988303</v>
      </c>
      <c r="J25">
        <v>0.32400000000000001</v>
      </c>
      <c r="K25">
        <f t="shared" si="5"/>
        <v>94.242424242424249</v>
      </c>
      <c r="M25">
        <v>31</v>
      </c>
      <c r="N25">
        <f t="shared" si="6"/>
        <v>1.4246691013489268</v>
      </c>
      <c r="O25">
        <f t="shared" si="7"/>
        <v>0.5075733715103794</v>
      </c>
      <c r="Q25">
        <f t="shared" si="8"/>
        <v>8.5329643402807811</v>
      </c>
      <c r="R25">
        <f t="shared" si="9"/>
        <v>3.0400782013685244</v>
      </c>
      <c r="S25">
        <f t="shared" si="2"/>
        <v>5.989435955480098</v>
      </c>
    </row>
    <row r="26" spans="1:20" x14ac:dyDescent="0.3">
      <c r="A26" t="s">
        <v>18</v>
      </c>
      <c r="B26" t="s">
        <v>43</v>
      </c>
      <c r="C26" t="s">
        <v>14</v>
      </c>
      <c r="D26">
        <f>(0.117+0.182+0.132)/3</f>
        <v>0.14366666666666666</v>
      </c>
      <c r="E26">
        <f t="shared" si="11"/>
        <v>0.17068811438784628</v>
      </c>
      <c r="F26">
        <f t="shared" si="3"/>
        <v>170.6881143878463</v>
      </c>
      <c r="G26">
        <f>(0.011+0.013+0.011)/3</f>
        <v>1.1666666666666667E-2</v>
      </c>
      <c r="H26">
        <f t="shared" si="12"/>
        <v>5.1169590643274851E-2</v>
      </c>
      <c r="I26">
        <f t="shared" si="4"/>
        <v>51.169590643274852</v>
      </c>
      <c r="J26">
        <v>0.309</v>
      </c>
      <c r="K26">
        <f t="shared" si="5"/>
        <v>89.696969696969688</v>
      </c>
      <c r="M26">
        <v>27</v>
      </c>
      <c r="N26">
        <f t="shared" si="6"/>
        <v>3.3357334354653392</v>
      </c>
      <c r="O26">
        <f t="shared" si="7"/>
        <v>1.7529350649350648</v>
      </c>
      <c r="Q26">
        <f t="shared" si="8"/>
        <v>6.3217820143646781</v>
      </c>
      <c r="R26">
        <f t="shared" si="9"/>
        <v>3.322109988776655</v>
      </c>
      <c r="S26">
        <f t="shared" si="2"/>
        <v>1.8951700238249944</v>
      </c>
    </row>
    <row r="27" spans="1:20" x14ac:dyDescent="0.3">
      <c r="A27" t="s">
        <v>18</v>
      </c>
      <c r="B27" t="s">
        <v>43</v>
      </c>
      <c r="C27" t="s">
        <v>14</v>
      </c>
      <c r="D27">
        <f>(0.16+0.36+0.114)/3</f>
        <v>0.21133333333333335</v>
      </c>
      <c r="E27">
        <f t="shared" si="11"/>
        <v>0.35210008936550496</v>
      </c>
      <c r="F27">
        <f t="shared" si="3"/>
        <v>352.10008936550497</v>
      </c>
      <c r="G27">
        <f>(0.006+0.008+0.009)/3</f>
        <v>7.6666666666666662E-3</v>
      </c>
      <c r="H27">
        <f t="shared" si="12"/>
        <v>3.3625730994152045E-2</v>
      </c>
      <c r="I27">
        <f t="shared" si="4"/>
        <v>33.625730994152043</v>
      </c>
      <c r="J27">
        <v>0.34</v>
      </c>
      <c r="K27">
        <f t="shared" si="5"/>
        <v>99.090909090909093</v>
      </c>
      <c r="M27">
        <v>27</v>
      </c>
      <c r="N27">
        <f t="shared" si="6"/>
        <v>10.471150483739367</v>
      </c>
      <c r="O27">
        <f t="shared" si="7"/>
        <v>2.9468774703557314</v>
      </c>
      <c r="Q27">
        <f t="shared" si="8"/>
        <v>13.040744050574258</v>
      </c>
      <c r="R27">
        <f t="shared" si="9"/>
        <v>3.67003367003367</v>
      </c>
      <c r="S27">
        <f>I27/M27</f>
        <v>1.2453974442278535</v>
      </c>
    </row>
    <row r="28" spans="1:20" x14ac:dyDescent="0.3">
      <c r="A28" t="s">
        <v>18</v>
      </c>
      <c r="B28" t="s">
        <v>43</v>
      </c>
      <c r="C28" t="s">
        <v>14</v>
      </c>
      <c r="D28">
        <f>(0.138+0.252+0.146)/3</f>
        <v>0.17866666666666667</v>
      </c>
      <c r="E28">
        <f t="shared" si="11"/>
        <v>0.26452189454870423</v>
      </c>
      <c r="F28">
        <f t="shared" si="3"/>
        <v>264.52189454870421</v>
      </c>
      <c r="G28">
        <f>(0.004+0.001+0.007)/3</f>
        <v>4.0000000000000001E-3</v>
      </c>
      <c r="H28">
        <f t="shared" si="12"/>
        <v>1.7543859649122806E-2</v>
      </c>
      <c r="I28">
        <f t="shared" si="4"/>
        <v>17.543859649122805</v>
      </c>
      <c r="J28">
        <v>0.25700000000000001</v>
      </c>
      <c r="K28">
        <f t="shared" si="5"/>
        <v>73.939393939393938</v>
      </c>
      <c r="M28">
        <v>28</v>
      </c>
      <c r="N28">
        <f t="shared" si="6"/>
        <v>15.077747989276142</v>
      </c>
      <c r="O28">
        <f t="shared" si="7"/>
        <v>4.2145454545454548</v>
      </c>
      <c r="Q28">
        <f t="shared" si="8"/>
        <v>9.4472105195965792</v>
      </c>
      <c r="R28">
        <f t="shared" si="9"/>
        <v>2.6406926406926408</v>
      </c>
      <c r="S28">
        <f t="shared" si="2"/>
        <v>0.62656641604010022</v>
      </c>
    </row>
    <row r="29" spans="1:20" x14ac:dyDescent="0.3">
      <c r="A29" t="s">
        <v>18</v>
      </c>
      <c r="B29" t="s">
        <v>43</v>
      </c>
      <c r="C29" t="s">
        <v>15</v>
      </c>
      <c r="D29">
        <f>(0.105+0.105+0.108)/3</f>
        <v>0.106</v>
      </c>
      <c r="E29">
        <f t="shared" si="11"/>
        <v>6.9705093833780152E-2</v>
      </c>
      <c r="F29">
        <f t="shared" si="3"/>
        <v>69.705093833780154</v>
      </c>
      <c r="G29">
        <f>(0.008+0.001+0.004)/3</f>
        <v>4.333333333333334E-3</v>
      </c>
      <c r="H29">
        <f t="shared" si="12"/>
        <v>1.9005847953216377E-2</v>
      </c>
      <c r="I29">
        <f t="shared" si="4"/>
        <v>19.005847953216378</v>
      </c>
      <c r="J29">
        <v>0.32900000000000001</v>
      </c>
      <c r="K29">
        <f t="shared" si="5"/>
        <v>95.757575757575765</v>
      </c>
      <c r="M29">
        <v>25</v>
      </c>
      <c r="N29">
        <f t="shared" si="6"/>
        <v>3.6675603217158166</v>
      </c>
      <c r="O29">
        <f t="shared" si="7"/>
        <v>5.0383216783216778</v>
      </c>
      <c r="Q29">
        <f t="shared" si="8"/>
        <v>2.7882037533512061</v>
      </c>
      <c r="R29">
        <f t="shared" si="9"/>
        <v>3.8303030303030305</v>
      </c>
      <c r="S29">
        <f t="shared" si="2"/>
        <v>0.76023391812865515</v>
      </c>
    </row>
    <row r="30" spans="1:20" x14ac:dyDescent="0.3">
      <c r="A30" t="s">
        <v>18</v>
      </c>
      <c r="B30" t="s">
        <v>43</v>
      </c>
      <c r="C30" t="s">
        <v>15</v>
      </c>
      <c r="D30">
        <f>(0.121+0.177+0.119)/3</f>
        <v>0.13899999999999998</v>
      </c>
      <c r="E30">
        <f t="shared" si="11"/>
        <v>0.15817694369973187</v>
      </c>
      <c r="F30">
        <f t="shared" si="3"/>
        <v>158.17694369973188</v>
      </c>
      <c r="G30">
        <f>(0.013+0.02+0.015)/3</f>
        <v>1.6E-2</v>
      </c>
      <c r="H30">
        <f t="shared" si="12"/>
        <v>7.0175438596491224E-2</v>
      </c>
      <c r="I30">
        <f t="shared" si="4"/>
        <v>70.175438596491219</v>
      </c>
      <c r="J30">
        <v>0.15</v>
      </c>
      <c r="K30">
        <f t="shared" si="5"/>
        <v>41.515151515151508</v>
      </c>
      <c r="M30">
        <v>25</v>
      </c>
      <c r="N30">
        <f t="shared" si="6"/>
        <v>2.2540214477211795</v>
      </c>
      <c r="O30">
        <f t="shared" si="7"/>
        <v>0.59159090909090906</v>
      </c>
      <c r="Q30">
        <f t="shared" si="8"/>
        <v>6.327077747989275</v>
      </c>
      <c r="R30">
        <f t="shared" si="9"/>
        <v>1.6606060606060604</v>
      </c>
      <c r="S30">
        <f t="shared" si="2"/>
        <v>2.807017543859649</v>
      </c>
    </row>
    <row r="31" spans="1:20" x14ac:dyDescent="0.3">
      <c r="A31" t="s">
        <v>18</v>
      </c>
      <c r="B31" t="s">
        <v>43</v>
      </c>
      <c r="C31" t="s">
        <v>15</v>
      </c>
      <c r="D31">
        <f>(0.234+0.112+0.121)/3</f>
        <v>0.15566666666666668</v>
      </c>
      <c r="E31">
        <f t="shared" si="11"/>
        <v>0.2028596961572833</v>
      </c>
      <c r="F31">
        <f t="shared" si="3"/>
        <v>202.85969615728331</v>
      </c>
      <c r="G31">
        <f>(0.016+0.009+0.019)/3</f>
        <v>1.4666666666666666E-2</v>
      </c>
      <c r="H31">
        <f t="shared" si="12"/>
        <v>6.4327485380116955E-2</v>
      </c>
      <c r="I31">
        <f t="shared" si="4"/>
        <v>64.327485380116954</v>
      </c>
      <c r="J31">
        <v>0.34200000000000003</v>
      </c>
      <c r="K31">
        <f t="shared" si="5"/>
        <v>99.696969696969703</v>
      </c>
      <c r="M31">
        <v>25</v>
      </c>
      <c r="N31">
        <f t="shared" si="6"/>
        <v>3.1535461857177682</v>
      </c>
      <c r="O31">
        <f t="shared" si="7"/>
        <v>1.549834710743802</v>
      </c>
      <c r="Q31">
        <f t="shared" si="8"/>
        <v>8.1143878462913328</v>
      </c>
      <c r="R31">
        <f t="shared" si="9"/>
        <v>3.9878787878787882</v>
      </c>
      <c r="S31">
        <f t="shared" si="2"/>
        <v>2.5730994152046782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BDF7-151E-4EA8-88F7-E2AB1D2D30E9}">
  <dimension ref="A1:R31"/>
  <sheetViews>
    <sheetView topLeftCell="A23" workbookViewId="0">
      <selection activeCell="A36" sqref="A36:XFD36"/>
    </sheetView>
  </sheetViews>
  <sheetFormatPr defaultRowHeight="14.4" x14ac:dyDescent="0.3"/>
  <cols>
    <col min="1" max="1" width="18.33203125" customWidth="1"/>
    <col min="2" max="2" width="28.88671875" customWidth="1"/>
    <col min="3" max="3" width="13.44140625" customWidth="1"/>
    <col min="4" max="4" width="13.6640625" customWidth="1"/>
    <col min="5" max="5" width="12.109375" customWidth="1"/>
    <col min="6" max="6" width="12.6640625" customWidth="1"/>
    <col min="7" max="7" width="13.21875" customWidth="1"/>
    <col min="8" max="8" width="7.77734375" bestFit="1" customWidth="1"/>
    <col min="9" max="9" width="12" customWidth="1"/>
    <col min="10" max="10" width="9.33203125" customWidth="1"/>
    <col min="11" max="11" width="20.33203125" customWidth="1"/>
    <col min="12" max="12" width="30.21875" customWidth="1"/>
    <col min="13" max="13" width="31.5546875" customWidth="1"/>
    <col min="14" max="14" width="21.77734375" customWidth="1"/>
    <col min="15" max="16" width="27.88671875" customWidth="1"/>
    <col min="17" max="17" width="34.88671875" customWidth="1"/>
    <col min="18" max="18" width="16.109375" customWidth="1"/>
  </cols>
  <sheetData>
    <row r="1" spans="1:18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22</v>
      </c>
      <c r="L1" t="s">
        <v>19</v>
      </c>
      <c r="M1" t="s">
        <v>20</v>
      </c>
      <c r="N1" t="s">
        <v>21</v>
      </c>
      <c r="O1" t="s">
        <v>23</v>
      </c>
      <c r="P1" t="s">
        <v>24</v>
      </c>
      <c r="Q1" t="s">
        <v>26</v>
      </c>
      <c r="R1" t="s">
        <v>25</v>
      </c>
    </row>
    <row r="2" spans="1:18" x14ac:dyDescent="0.3">
      <c r="A2" t="s">
        <v>33</v>
      </c>
      <c r="B2">
        <f>(0.255+0.408+0.358)/3</f>
        <v>0.34033333333333332</v>
      </c>
      <c r="C2">
        <f>(B2-0.08)/0.373</f>
        <v>0.69794459338695258</v>
      </c>
      <c r="D2">
        <f>C2*1000</f>
        <v>697.94459338695253</v>
      </c>
      <c r="E2">
        <f>(0.053+0.049+0.051)/3</f>
        <v>5.0999999999999997E-2</v>
      </c>
      <c r="F2">
        <f t="shared" ref="F2:F16" si="0">E2/0.228</f>
        <v>0.22368421052631576</v>
      </c>
      <c r="G2">
        <f>F2*1000</f>
        <v>223.68421052631575</v>
      </c>
      <c r="H2">
        <v>0.17399999999999999</v>
      </c>
      <c r="I2">
        <f>(H2-0.013)/0.0033</f>
        <v>48.787878787878782</v>
      </c>
      <c r="J2">
        <f>(2.99+1.52+1.82)/3*100000</f>
        <v>211000</v>
      </c>
      <c r="K2">
        <v>30</v>
      </c>
      <c r="L2">
        <f>D2/G2</f>
        <v>3.1202228880828473</v>
      </c>
      <c r="M2">
        <f>I2/G2</f>
        <v>0.21811051693404634</v>
      </c>
      <c r="N2">
        <f t="shared" ref="N2:N19" si="1">J2/G2</f>
        <v>943.29411764705901</v>
      </c>
      <c r="O2">
        <f>D2/K2</f>
        <v>23.264819779565084</v>
      </c>
      <c r="P2">
        <f>I2/K2</f>
        <v>1.6262626262626261</v>
      </c>
      <c r="Q2">
        <f t="shared" ref="Q2:Q31" si="2">G2/K2</f>
        <v>7.4561403508771917</v>
      </c>
      <c r="R2">
        <f>J2/K2</f>
        <v>7033.333333333333</v>
      </c>
    </row>
    <row r="3" spans="1:18" x14ac:dyDescent="0.3">
      <c r="A3" t="s">
        <v>33</v>
      </c>
      <c r="B3">
        <f>(0.36+0.408+0.309)/3</f>
        <v>0.35899999999999999</v>
      </c>
      <c r="C3">
        <f>(B3-0.08)/0.373</f>
        <v>0.74798927613941013</v>
      </c>
      <c r="D3">
        <f t="shared" ref="D3:D31" si="3">C3*1000</f>
        <v>747.98927613941009</v>
      </c>
      <c r="E3">
        <f>(0.034+0.03+0.037)/3</f>
        <v>3.3666666666666671E-2</v>
      </c>
      <c r="F3">
        <f t="shared" si="0"/>
        <v>0.1476608187134503</v>
      </c>
      <c r="G3">
        <f t="shared" ref="G3:G31" si="4">F3*1000</f>
        <v>147.66081871345031</v>
      </c>
      <c r="H3">
        <v>0.21299999999999999</v>
      </c>
      <c r="I3">
        <f t="shared" ref="I3:I31" si="5">(H3-0.013)/0.0033</f>
        <v>60.606060606060602</v>
      </c>
      <c r="J3">
        <f>(1.52+0.997+0.704)/3*100000</f>
        <v>107366.66666666667</v>
      </c>
      <c r="K3">
        <v>30</v>
      </c>
      <c r="L3">
        <f t="shared" ref="L3:L31" si="6">D3/G3</f>
        <v>5.0655907413797667</v>
      </c>
      <c r="M3">
        <f t="shared" ref="M3:M31" si="7">I3/G3</f>
        <v>0.41044104410441035</v>
      </c>
      <c r="N3">
        <f t="shared" si="1"/>
        <v>727.11683168316824</v>
      </c>
      <c r="O3">
        <f t="shared" ref="O3:O31" si="8">D3/K3</f>
        <v>24.932975871313669</v>
      </c>
      <c r="P3">
        <f t="shared" ref="P3:P31" si="9">I3/K3</f>
        <v>2.0202020202020199</v>
      </c>
      <c r="Q3">
        <f t="shared" si="2"/>
        <v>4.9220272904483435</v>
      </c>
      <c r="R3">
        <f t="shared" ref="R3:R19" si="10">J3/K3</f>
        <v>3578.8888888888891</v>
      </c>
    </row>
    <row r="4" spans="1:18" x14ac:dyDescent="0.3">
      <c r="A4" t="s">
        <v>33</v>
      </c>
      <c r="B4">
        <f>(0.411+0.288+0.35)/3</f>
        <v>0.34966666666666663</v>
      </c>
      <c r="C4">
        <f t="shared" ref="C4:C31" si="11">(B4-0.08)/0.373</f>
        <v>0.7229669347631813</v>
      </c>
      <c r="D4">
        <f t="shared" si="3"/>
        <v>722.96693476318126</v>
      </c>
      <c r="E4">
        <f>(0.049+0.049+0.046)/3</f>
        <v>4.8000000000000008E-2</v>
      </c>
      <c r="F4">
        <f t="shared" si="0"/>
        <v>0.2105263157894737</v>
      </c>
      <c r="G4">
        <f t="shared" si="4"/>
        <v>210.5263157894737</v>
      </c>
      <c r="H4">
        <v>0.155</v>
      </c>
      <c r="I4">
        <f t="shared" si="5"/>
        <v>43.030303030303024</v>
      </c>
      <c r="J4">
        <f>(1.47+1.76+0.411)/3*100000</f>
        <v>121366.66666666667</v>
      </c>
      <c r="K4">
        <v>30</v>
      </c>
      <c r="L4">
        <f t="shared" si="6"/>
        <v>3.4340929401251108</v>
      </c>
      <c r="M4">
        <f t="shared" si="7"/>
        <v>0.20439393939393935</v>
      </c>
      <c r="N4">
        <f t="shared" si="1"/>
        <v>576.49166666666667</v>
      </c>
      <c r="O4">
        <f t="shared" si="8"/>
        <v>24.098897825439376</v>
      </c>
      <c r="P4">
        <f t="shared" si="9"/>
        <v>1.434343434343434</v>
      </c>
      <c r="Q4">
        <f t="shared" si="2"/>
        <v>7.0175438596491233</v>
      </c>
      <c r="R4">
        <f t="shared" si="10"/>
        <v>4045.5555555555557</v>
      </c>
    </row>
    <row r="5" spans="1:18" x14ac:dyDescent="0.3">
      <c r="A5" t="s">
        <v>33</v>
      </c>
      <c r="B5">
        <f>(0.327+0.387+0.267)/3</f>
        <v>0.32700000000000001</v>
      </c>
      <c r="C5">
        <f t="shared" si="11"/>
        <v>0.66219839142091153</v>
      </c>
      <c r="D5">
        <f t="shared" si="3"/>
        <v>662.19839142091155</v>
      </c>
      <c r="E5">
        <f>(0.073+0.078+0.078)/3</f>
        <v>7.6333333333333322E-2</v>
      </c>
      <c r="F5">
        <f t="shared" si="0"/>
        <v>0.33479532163742687</v>
      </c>
      <c r="G5">
        <f t="shared" si="4"/>
        <v>334.79532163742687</v>
      </c>
      <c r="H5">
        <v>0.154</v>
      </c>
      <c r="I5">
        <f t="shared" si="5"/>
        <v>42.727272727272727</v>
      </c>
      <c r="J5">
        <f>(2.17+2.11+2.52)/3*100000</f>
        <v>226666.66666666663</v>
      </c>
      <c r="K5">
        <v>32</v>
      </c>
      <c r="L5">
        <f t="shared" si="6"/>
        <v>1.9779200861655177</v>
      </c>
      <c r="M5">
        <f t="shared" si="7"/>
        <v>0.12762207225089323</v>
      </c>
      <c r="N5">
        <f t="shared" si="1"/>
        <v>677.03056768558952</v>
      </c>
      <c r="O5">
        <f t="shared" si="8"/>
        <v>20.693699731903486</v>
      </c>
      <c r="P5">
        <f t="shared" si="9"/>
        <v>1.3352272727272727</v>
      </c>
      <c r="Q5">
        <f t="shared" si="2"/>
        <v>10.46235380116959</v>
      </c>
      <c r="R5">
        <f t="shared" si="10"/>
        <v>7083.3333333333321</v>
      </c>
    </row>
    <row r="6" spans="1:18" x14ac:dyDescent="0.3">
      <c r="A6" t="s">
        <v>33</v>
      </c>
      <c r="B6">
        <f>(0.296+0.256+0.26)/3</f>
        <v>0.27066666666666667</v>
      </c>
      <c r="C6">
        <f t="shared" si="11"/>
        <v>0.51117068811438782</v>
      </c>
      <c r="D6">
        <f t="shared" si="3"/>
        <v>511.17068811438781</v>
      </c>
      <c r="E6">
        <f>(0.067+0.065+0.065)/3</f>
        <v>6.5666666666666665E-2</v>
      </c>
      <c r="F6">
        <f t="shared" si="0"/>
        <v>0.28801169590643272</v>
      </c>
      <c r="G6">
        <f t="shared" si="4"/>
        <v>288.01169590643269</v>
      </c>
      <c r="H6">
        <v>0.189</v>
      </c>
      <c r="I6">
        <f t="shared" si="5"/>
        <v>53.333333333333329</v>
      </c>
      <c r="J6">
        <f>(2.46+1.7+2.23)/3*100000</f>
        <v>213000.00000000003</v>
      </c>
      <c r="K6">
        <v>32</v>
      </c>
      <c r="L6">
        <f t="shared" si="6"/>
        <v>1.77482614553422</v>
      </c>
      <c r="M6">
        <f t="shared" si="7"/>
        <v>0.18517766497461932</v>
      </c>
      <c r="N6">
        <f t="shared" si="1"/>
        <v>739.55329949238603</v>
      </c>
      <c r="O6">
        <f t="shared" si="8"/>
        <v>15.974084003574619</v>
      </c>
      <c r="P6">
        <f t="shared" si="9"/>
        <v>1.6666666666666665</v>
      </c>
      <c r="Q6">
        <f t="shared" si="2"/>
        <v>9.0003654970760216</v>
      </c>
      <c r="R6">
        <f t="shared" si="10"/>
        <v>6656.2500000000009</v>
      </c>
    </row>
    <row r="7" spans="1:18" x14ac:dyDescent="0.3">
      <c r="A7" t="s">
        <v>34</v>
      </c>
      <c r="B7">
        <f>(0.11+0.122+0.116)/3</f>
        <v>0.11599999999999999</v>
      </c>
      <c r="C7">
        <f t="shared" si="11"/>
        <v>9.6514745308310973E-2</v>
      </c>
      <c r="D7">
        <f t="shared" si="3"/>
        <v>96.514745308310978</v>
      </c>
      <c r="E7">
        <f>(0.037+0.029+0.037)/3</f>
        <v>3.4333333333333334E-2</v>
      </c>
      <c r="F7">
        <f t="shared" si="0"/>
        <v>0.15058479532163743</v>
      </c>
      <c r="G7">
        <f t="shared" si="4"/>
        <v>150.58479532163744</v>
      </c>
      <c r="H7">
        <v>0.14399999999999999</v>
      </c>
      <c r="I7">
        <f t="shared" si="5"/>
        <v>39.696969696969688</v>
      </c>
      <c r="J7">
        <f>(0.235+0.645+0.762)/3*100000</f>
        <v>54733.333333333336</v>
      </c>
      <c r="K7">
        <v>30</v>
      </c>
      <c r="L7">
        <f t="shared" si="6"/>
        <v>0.6409328717561622</v>
      </c>
      <c r="M7">
        <f t="shared" si="7"/>
        <v>0.26361871138570159</v>
      </c>
      <c r="N7">
        <f t="shared" si="1"/>
        <v>363.47184466019417</v>
      </c>
      <c r="O7">
        <f t="shared" si="8"/>
        <v>3.2171581769436992</v>
      </c>
      <c r="P7">
        <f t="shared" si="9"/>
        <v>1.3232323232323229</v>
      </c>
      <c r="Q7">
        <f t="shared" si="2"/>
        <v>5.0194931773879148</v>
      </c>
      <c r="R7">
        <f t="shared" si="10"/>
        <v>1824.4444444444446</v>
      </c>
    </row>
    <row r="8" spans="1:18" x14ac:dyDescent="0.3">
      <c r="A8" t="s">
        <v>34</v>
      </c>
      <c r="B8">
        <f>(0.118+0.12+0.132)/3</f>
        <v>0.12333333333333334</v>
      </c>
      <c r="C8">
        <f t="shared" si="11"/>
        <v>0.1161751563896336</v>
      </c>
      <c r="D8">
        <f t="shared" si="3"/>
        <v>116.1751563896336</v>
      </c>
      <c r="E8">
        <f>(0.058+0.042+0.039)/3</f>
        <v>4.6333333333333337E-2</v>
      </c>
      <c r="F8">
        <f t="shared" si="0"/>
        <v>0.20321637426900585</v>
      </c>
      <c r="G8">
        <f t="shared" si="4"/>
        <v>203.21637426900585</v>
      </c>
      <c r="H8">
        <v>0.217</v>
      </c>
      <c r="I8">
        <f t="shared" si="5"/>
        <v>61.818181818181813</v>
      </c>
      <c r="J8">
        <f>(0.0586+0.176+0.235)/3*100000</f>
        <v>15653.333333333332</v>
      </c>
      <c r="K8">
        <v>30</v>
      </c>
      <c r="L8">
        <f t="shared" si="6"/>
        <v>0.57168206453603865</v>
      </c>
      <c r="M8">
        <f t="shared" si="7"/>
        <v>0.30419882275997379</v>
      </c>
      <c r="N8">
        <f t="shared" si="1"/>
        <v>77.027913669064745</v>
      </c>
      <c r="O8">
        <f t="shared" si="8"/>
        <v>3.8725052129877868</v>
      </c>
      <c r="P8">
        <f t="shared" si="9"/>
        <v>2.0606060606060606</v>
      </c>
      <c r="Q8">
        <f t="shared" si="2"/>
        <v>6.7738791423001947</v>
      </c>
      <c r="R8">
        <f t="shared" si="10"/>
        <v>521.77777777777771</v>
      </c>
    </row>
    <row r="9" spans="1:18" x14ac:dyDescent="0.3">
      <c r="A9" t="s">
        <v>34</v>
      </c>
      <c r="B9">
        <f>(0.193+0.215+0.118)/3</f>
        <v>0.17533333333333334</v>
      </c>
      <c r="C9">
        <f t="shared" si="11"/>
        <v>0.25558534405719396</v>
      </c>
      <c r="D9">
        <f t="shared" si="3"/>
        <v>255.58534405719396</v>
      </c>
      <c r="E9">
        <f>(0.039+0.04+0.033)/3</f>
        <v>3.7333333333333336E-2</v>
      </c>
      <c r="F9">
        <f t="shared" si="0"/>
        <v>0.16374269005847955</v>
      </c>
      <c r="G9">
        <f t="shared" si="4"/>
        <v>163.74269005847955</v>
      </c>
      <c r="H9">
        <v>0.13100000000000001</v>
      </c>
      <c r="I9">
        <f t="shared" si="5"/>
        <v>35.757575757575758</v>
      </c>
      <c r="J9">
        <f>(0.469+0.704+0.0586)/3*100000</f>
        <v>41053.333333333336</v>
      </c>
      <c r="K9">
        <v>30</v>
      </c>
      <c r="L9">
        <f t="shared" si="6"/>
        <v>1.5608962083492914</v>
      </c>
      <c r="M9">
        <f t="shared" si="7"/>
        <v>0.21837662337662336</v>
      </c>
      <c r="N9">
        <f t="shared" si="1"/>
        <v>250.71857142857141</v>
      </c>
      <c r="O9">
        <f t="shared" si="8"/>
        <v>8.5195114685731319</v>
      </c>
      <c r="P9">
        <f t="shared" si="9"/>
        <v>1.1919191919191918</v>
      </c>
      <c r="Q9">
        <f t="shared" si="2"/>
        <v>5.458089668615985</v>
      </c>
      <c r="R9">
        <f t="shared" si="10"/>
        <v>1368.4444444444446</v>
      </c>
    </row>
    <row r="10" spans="1:18" x14ac:dyDescent="0.3">
      <c r="A10" t="s">
        <v>34</v>
      </c>
      <c r="B10">
        <f>(0.147+0.253+0.165)/3</f>
        <v>0.18833333333333335</v>
      </c>
      <c r="C10">
        <f t="shared" si="11"/>
        <v>0.29043789097408407</v>
      </c>
      <c r="D10">
        <f t="shared" si="3"/>
        <v>290.43789097408404</v>
      </c>
      <c r="E10">
        <f>(0.054+0.051+0.047)/3</f>
        <v>5.0666666666666665E-2</v>
      </c>
      <c r="F10">
        <f t="shared" si="0"/>
        <v>0.22222222222222221</v>
      </c>
      <c r="G10">
        <f t="shared" si="4"/>
        <v>222.2222222222222</v>
      </c>
      <c r="H10">
        <v>0.16300000000000001</v>
      </c>
      <c r="I10">
        <f t="shared" si="5"/>
        <v>45.454545454545453</v>
      </c>
      <c r="J10">
        <f>(1.64+1.99+2.17)/3*100000</f>
        <v>193333.33333333334</v>
      </c>
      <c r="K10">
        <v>30</v>
      </c>
      <c r="L10">
        <f t="shared" si="6"/>
        <v>1.3069705093833783</v>
      </c>
      <c r="M10">
        <f t="shared" si="7"/>
        <v>0.20454545454545456</v>
      </c>
      <c r="N10">
        <f t="shared" si="1"/>
        <v>870.00000000000011</v>
      </c>
      <c r="O10">
        <f t="shared" si="8"/>
        <v>9.6812630324694684</v>
      </c>
      <c r="P10">
        <f t="shared" si="9"/>
        <v>1.5151515151515151</v>
      </c>
      <c r="Q10">
        <f t="shared" si="2"/>
        <v>7.4074074074074066</v>
      </c>
      <c r="R10">
        <f t="shared" si="10"/>
        <v>6444.4444444444443</v>
      </c>
    </row>
    <row r="11" spans="1:18" x14ac:dyDescent="0.3">
      <c r="A11" t="s">
        <v>34</v>
      </c>
      <c r="B11">
        <f>(0.221+0.179+0.215)/3</f>
        <v>0.20499999999999999</v>
      </c>
      <c r="C11">
        <f t="shared" si="11"/>
        <v>0.33512064343163533</v>
      </c>
      <c r="D11">
        <f t="shared" si="3"/>
        <v>335.12064343163536</v>
      </c>
      <c r="E11">
        <f>(0.074+0.065+0.066)/3</f>
        <v>6.8333333333333343E-2</v>
      </c>
      <c r="F11">
        <f t="shared" si="0"/>
        <v>0.29970760233918131</v>
      </c>
      <c r="G11">
        <f t="shared" si="4"/>
        <v>299.70760233918134</v>
      </c>
      <c r="H11">
        <v>0.107</v>
      </c>
      <c r="I11">
        <f t="shared" si="5"/>
        <v>28.484848484848484</v>
      </c>
      <c r="J11">
        <f>(1.23+1.47+1.17)/3*100000</f>
        <v>129000</v>
      </c>
      <c r="K11">
        <v>35</v>
      </c>
      <c r="L11">
        <f t="shared" si="6"/>
        <v>1.1181586346694563</v>
      </c>
      <c r="M11">
        <f t="shared" si="7"/>
        <v>9.5042128603104195E-2</v>
      </c>
      <c r="N11">
        <f t="shared" si="1"/>
        <v>430.41951219512185</v>
      </c>
      <c r="O11">
        <f t="shared" si="8"/>
        <v>9.5748755266181522</v>
      </c>
      <c r="P11">
        <f t="shared" si="9"/>
        <v>0.81385281385281383</v>
      </c>
      <c r="Q11">
        <f t="shared" si="2"/>
        <v>8.5630743525480373</v>
      </c>
      <c r="R11">
        <f t="shared" si="10"/>
        <v>3685.7142857142858</v>
      </c>
    </row>
    <row r="12" spans="1:18" x14ac:dyDescent="0.3">
      <c r="A12" t="s">
        <v>35</v>
      </c>
      <c r="B12">
        <f>(0.14+0.2+0.236)/3</f>
        <v>0.19200000000000003</v>
      </c>
      <c r="C12">
        <f t="shared" si="11"/>
        <v>0.3002680965147454</v>
      </c>
      <c r="D12">
        <f t="shared" si="3"/>
        <v>300.26809651474542</v>
      </c>
      <c r="E12">
        <f>(0.028+0.024+0.028)/3</f>
        <v>2.6666666666666668E-2</v>
      </c>
      <c r="F12">
        <f t="shared" si="0"/>
        <v>0.11695906432748539</v>
      </c>
      <c r="G12">
        <f t="shared" si="4"/>
        <v>116.95906432748539</v>
      </c>
      <c r="H12">
        <v>0.14199999999999999</v>
      </c>
      <c r="I12">
        <f t="shared" si="5"/>
        <v>39.090909090909086</v>
      </c>
      <c r="J12">
        <f>(1.94+2.7+1.35)/3*100000</f>
        <v>199666.66666666669</v>
      </c>
      <c r="K12">
        <v>30</v>
      </c>
      <c r="L12">
        <f t="shared" si="6"/>
        <v>2.567292225201073</v>
      </c>
      <c r="M12">
        <f t="shared" si="7"/>
        <v>0.33422727272727265</v>
      </c>
      <c r="N12">
        <f t="shared" si="1"/>
        <v>1707.1499999999999</v>
      </c>
      <c r="O12">
        <f t="shared" si="8"/>
        <v>10.008936550491514</v>
      </c>
      <c r="P12">
        <f t="shared" si="9"/>
        <v>1.303030303030303</v>
      </c>
      <c r="Q12">
        <f t="shared" si="2"/>
        <v>3.8986354775828462</v>
      </c>
      <c r="R12">
        <f t="shared" si="10"/>
        <v>6655.5555555555566</v>
      </c>
    </row>
    <row r="13" spans="1:18" x14ac:dyDescent="0.3">
      <c r="A13" t="s">
        <v>35</v>
      </c>
      <c r="B13">
        <f>(0.136+0.129+0.173)/3</f>
        <v>0.14599999999999999</v>
      </c>
      <c r="C13">
        <f t="shared" si="11"/>
        <v>0.17694369973190346</v>
      </c>
      <c r="D13">
        <f t="shared" si="3"/>
        <v>176.94369973190345</v>
      </c>
      <c r="E13">
        <f>(0.036+0.03+0.035)/3</f>
        <v>3.3666666666666671E-2</v>
      </c>
      <c r="F13">
        <f t="shared" si="0"/>
        <v>0.1476608187134503</v>
      </c>
      <c r="G13">
        <f t="shared" si="4"/>
        <v>147.66081871345031</v>
      </c>
      <c r="H13">
        <v>0.15</v>
      </c>
      <c r="I13">
        <f t="shared" si="5"/>
        <v>41.515151515151508</v>
      </c>
      <c r="J13">
        <f>(1.23+1.82+1.52)/3*100000</f>
        <v>152333.33333333334</v>
      </c>
      <c r="K13">
        <v>30</v>
      </c>
      <c r="L13">
        <f t="shared" si="6"/>
        <v>1.1983117882833856</v>
      </c>
      <c r="M13">
        <f t="shared" si="7"/>
        <v>0.28115211521152106</v>
      </c>
      <c r="N13">
        <f t="shared" si="1"/>
        <v>1031.6435643564355</v>
      </c>
      <c r="O13">
        <f t="shared" si="8"/>
        <v>5.8981233243967814</v>
      </c>
      <c r="P13">
        <f t="shared" si="9"/>
        <v>1.3838383838383836</v>
      </c>
      <c r="Q13">
        <f t="shared" si="2"/>
        <v>4.9220272904483435</v>
      </c>
      <c r="R13">
        <f t="shared" si="10"/>
        <v>5077.7777777777783</v>
      </c>
    </row>
    <row r="14" spans="1:18" x14ac:dyDescent="0.3">
      <c r="A14" t="s">
        <v>35</v>
      </c>
      <c r="B14">
        <f>(0.306+0.232+0.245)/3</f>
        <v>0.26100000000000001</v>
      </c>
      <c r="C14">
        <f t="shared" si="11"/>
        <v>0.48525469168900803</v>
      </c>
      <c r="D14">
        <f t="shared" si="3"/>
        <v>485.25469168900804</v>
      </c>
      <c r="E14">
        <f>(0.049+0.038+0.031)/3</f>
        <v>3.9333333333333331E-2</v>
      </c>
      <c r="F14">
        <f t="shared" si="0"/>
        <v>0.17251461988304093</v>
      </c>
      <c r="G14">
        <f t="shared" si="4"/>
        <v>172.51461988304092</v>
      </c>
      <c r="H14">
        <v>0.115</v>
      </c>
      <c r="I14">
        <f t="shared" si="5"/>
        <v>30.90909090909091</v>
      </c>
      <c r="J14">
        <f>(1.7+1.41+1.47)/3*100000</f>
        <v>152666.66666666666</v>
      </c>
      <c r="K14">
        <v>30</v>
      </c>
      <c r="L14">
        <f t="shared" si="6"/>
        <v>2.8128322806379789</v>
      </c>
      <c r="M14">
        <f t="shared" si="7"/>
        <v>0.17916795069337443</v>
      </c>
      <c r="N14">
        <f t="shared" si="1"/>
        <v>884.94915254237287</v>
      </c>
      <c r="O14">
        <f t="shared" si="8"/>
        <v>16.175156389633603</v>
      </c>
      <c r="P14">
        <f t="shared" si="9"/>
        <v>1.0303030303030303</v>
      </c>
      <c r="Q14">
        <f t="shared" si="2"/>
        <v>5.750487329434697</v>
      </c>
      <c r="R14">
        <f t="shared" si="10"/>
        <v>5088.8888888888887</v>
      </c>
    </row>
    <row r="15" spans="1:18" x14ac:dyDescent="0.3">
      <c r="A15" t="s">
        <v>35</v>
      </c>
      <c r="B15">
        <f>(0.142+0.148+0.237)/3</f>
        <v>0.17566666666666664</v>
      </c>
      <c r="C15">
        <f t="shared" si="11"/>
        <v>0.25647899910634486</v>
      </c>
      <c r="D15">
        <f t="shared" si="3"/>
        <v>256.47899910634487</v>
      </c>
      <c r="E15">
        <f>(0.028+0.028+0.027)/3</f>
        <v>2.7666666666666669E-2</v>
      </c>
      <c r="F15">
        <f t="shared" si="0"/>
        <v>0.12134502923976609</v>
      </c>
      <c r="G15">
        <f t="shared" si="4"/>
        <v>121.34502923976609</v>
      </c>
      <c r="H15">
        <v>0.13200000000000001</v>
      </c>
      <c r="I15">
        <f t="shared" si="5"/>
        <v>36.060606060606062</v>
      </c>
      <c r="J15">
        <f>(0.938+0.997+1.47)/3*100000</f>
        <v>113500</v>
      </c>
      <c r="K15">
        <v>30</v>
      </c>
      <c r="L15">
        <f t="shared" si="6"/>
        <v>2.1136341613101188</v>
      </c>
      <c r="M15">
        <f t="shared" si="7"/>
        <v>0.29717415115005474</v>
      </c>
      <c r="N15">
        <f t="shared" si="1"/>
        <v>935.34939759036138</v>
      </c>
      <c r="O15">
        <f t="shared" si="8"/>
        <v>8.5492999702114965</v>
      </c>
      <c r="P15">
        <f t="shared" si="9"/>
        <v>1.202020202020202</v>
      </c>
      <c r="Q15">
        <f t="shared" si="2"/>
        <v>4.0448343079922031</v>
      </c>
      <c r="R15">
        <f t="shared" si="10"/>
        <v>3783.3333333333335</v>
      </c>
    </row>
    <row r="16" spans="1:18" x14ac:dyDescent="0.3">
      <c r="A16" t="s">
        <v>35</v>
      </c>
      <c r="B16">
        <f>(0.159+0.281+0.19)/3</f>
        <v>0.21000000000000005</v>
      </c>
      <c r="C16">
        <f t="shared" si="11"/>
        <v>0.34852546916890098</v>
      </c>
      <c r="D16">
        <f t="shared" si="3"/>
        <v>348.525469168901</v>
      </c>
      <c r="E16">
        <f>(0.028+0.027+0.027)/3</f>
        <v>2.7333333333333334E-2</v>
      </c>
      <c r="F16">
        <f t="shared" si="0"/>
        <v>0.11988304093567252</v>
      </c>
      <c r="G16">
        <f t="shared" si="4"/>
        <v>119.88304093567253</v>
      </c>
      <c r="H16">
        <v>0.17299999999999999</v>
      </c>
      <c r="I16">
        <f t="shared" si="5"/>
        <v>48.484848484848477</v>
      </c>
      <c r="J16">
        <f>(0.762+0.704+0.997)/3*100000</f>
        <v>82100</v>
      </c>
      <c r="K16">
        <v>24</v>
      </c>
      <c r="L16">
        <f t="shared" si="6"/>
        <v>2.9072124501405887</v>
      </c>
      <c r="M16">
        <f t="shared" si="7"/>
        <v>0.40443458980044333</v>
      </c>
      <c r="N16">
        <f t="shared" si="1"/>
        <v>684.83414634146334</v>
      </c>
      <c r="O16">
        <f t="shared" si="8"/>
        <v>14.521894548704209</v>
      </c>
      <c r="P16">
        <f t="shared" si="9"/>
        <v>2.0202020202020199</v>
      </c>
      <c r="Q16">
        <f t="shared" si="2"/>
        <v>4.9951267056530222</v>
      </c>
      <c r="R16">
        <f t="shared" si="10"/>
        <v>3420.8333333333335</v>
      </c>
    </row>
    <row r="17" spans="1:18" x14ac:dyDescent="0.3">
      <c r="A17" t="s">
        <v>36</v>
      </c>
      <c r="B17">
        <f>(0.138+0.25+0.116)/3</f>
        <v>0.16800000000000001</v>
      </c>
      <c r="C17">
        <f t="shared" si="11"/>
        <v>0.23592493297587133</v>
      </c>
      <c r="D17">
        <f t="shared" si="3"/>
        <v>235.92493297587134</v>
      </c>
      <c r="E17">
        <f>(0.023+0.024+0.033)/3</f>
        <v>2.6666666666666668E-2</v>
      </c>
      <c r="F17">
        <f>E17/0.228</f>
        <v>0.11695906432748539</v>
      </c>
      <c r="G17">
        <f t="shared" si="4"/>
        <v>116.95906432748539</v>
      </c>
      <c r="H17">
        <v>9.7000000000000003E-2</v>
      </c>
      <c r="I17">
        <f t="shared" si="5"/>
        <v>25.454545454545457</v>
      </c>
      <c r="J17">
        <f>(1.29+1.29+0.235)/3*100000</f>
        <v>93833.333333333328</v>
      </c>
      <c r="K17">
        <v>30</v>
      </c>
      <c r="L17">
        <f t="shared" si="6"/>
        <v>2.0171581769436999</v>
      </c>
      <c r="M17">
        <f t="shared" si="7"/>
        <v>0.21763636363636363</v>
      </c>
      <c r="N17">
        <f t="shared" si="1"/>
        <v>802.27499999999986</v>
      </c>
      <c r="O17">
        <f t="shared" si="8"/>
        <v>7.8641644325290452</v>
      </c>
      <c r="P17">
        <f t="shared" si="9"/>
        <v>0.84848484848484851</v>
      </c>
      <c r="Q17">
        <f t="shared" si="2"/>
        <v>3.8986354775828462</v>
      </c>
      <c r="R17">
        <f t="shared" si="10"/>
        <v>3127.7777777777778</v>
      </c>
    </row>
    <row r="18" spans="1:18" x14ac:dyDescent="0.3">
      <c r="A18" t="s">
        <v>36</v>
      </c>
      <c r="B18">
        <f>(0.12+0.122+0.114)/3</f>
        <v>0.11866666666666666</v>
      </c>
      <c r="C18">
        <f t="shared" si="11"/>
        <v>0.10366398570151918</v>
      </c>
      <c r="D18">
        <f t="shared" si="3"/>
        <v>103.66398570151918</v>
      </c>
      <c r="E18">
        <f>(0.024+0.033+0.025)/3</f>
        <v>2.7333333333333334E-2</v>
      </c>
      <c r="F18">
        <f t="shared" ref="F18:F31" si="12">E18/0.228</f>
        <v>0.11988304093567252</v>
      </c>
      <c r="G18">
        <f t="shared" si="4"/>
        <v>119.88304093567253</v>
      </c>
      <c r="H18">
        <v>0.113</v>
      </c>
      <c r="I18">
        <f t="shared" si="5"/>
        <v>30.303030303030305</v>
      </c>
      <c r="J18">
        <f>(0.704+0.997+1.23)/3*100000</f>
        <v>97700</v>
      </c>
      <c r="K18">
        <v>32</v>
      </c>
      <c r="L18">
        <f t="shared" si="6"/>
        <v>0.86470934414437939</v>
      </c>
      <c r="M18">
        <f t="shared" si="7"/>
        <v>0.25277161862527714</v>
      </c>
      <c r="N18">
        <f t="shared" si="1"/>
        <v>814.96097560975602</v>
      </c>
      <c r="O18">
        <f t="shared" si="8"/>
        <v>3.2394995531724744</v>
      </c>
      <c r="P18">
        <f t="shared" si="9"/>
        <v>0.94696969696969702</v>
      </c>
      <c r="Q18">
        <f t="shared" si="2"/>
        <v>3.7463450292397664</v>
      </c>
      <c r="R18">
        <f t="shared" si="10"/>
        <v>3053.125</v>
      </c>
    </row>
    <row r="19" spans="1:18" x14ac:dyDescent="0.3">
      <c r="A19" t="s">
        <v>36</v>
      </c>
      <c r="B19">
        <f>(0.144+0.308+0.123)/3</f>
        <v>0.19166666666666665</v>
      </c>
      <c r="C19">
        <f t="shared" si="11"/>
        <v>0.29937444146559422</v>
      </c>
      <c r="D19">
        <f t="shared" si="3"/>
        <v>299.3744414655942</v>
      </c>
      <c r="E19">
        <f>(0.043+0.04+0.031)/3</f>
        <v>3.7999999999999999E-2</v>
      </c>
      <c r="F19">
        <f t="shared" si="12"/>
        <v>0.16666666666666666</v>
      </c>
      <c r="G19">
        <f t="shared" si="4"/>
        <v>166.66666666666666</v>
      </c>
      <c r="H19">
        <v>0.13300000000000001</v>
      </c>
      <c r="I19">
        <f t="shared" si="5"/>
        <v>36.363636363636367</v>
      </c>
      <c r="J19">
        <f>(1.35+1.11+1.11)/3*100000</f>
        <v>119000.00000000001</v>
      </c>
      <c r="K19">
        <v>30</v>
      </c>
      <c r="L19">
        <f t="shared" si="6"/>
        <v>1.7962466487935653</v>
      </c>
      <c r="M19">
        <f t="shared" si="7"/>
        <v>0.21818181818181823</v>
      </c>
      <c r="N19">
        <f t="shared" si="1"/>
        <v>714.00000000000011</v>
      </c>
      <c r="O19">
        <f t="shared" si="8"/>
        <v>9.9791480488531406</v>
      </c>
      <c r="P19">
        <f t="shared" si="9"/>
        <v>1.2121212121212122</v>
      </c>
      <c r="Q19">
        <f t="shared" si="2"/>
        <v>5.5555555555555554</v>
      </c>
      <c r="R19">
        <f t="shared" si="10"/>
        <v>3966.666666666667</v>
      </c>
    </row>
    <row r="20" spans="1:18" x14ac:dyDescent="0.3">
      <c r="A20" t="s">
        <v>37</v>
      </c>
      <c r="B20">
        <f>(0.149+0.117+0.118)/3</f>
        <v>0.128</v>
      </c>
      <c r="C20">
        <f t="shared" si="11"/>
        <v>0.12868632707774799</v>
      </c>
      <c r="D20">
        <f t="shared" si="3"/>
        <v>128.68632707774799</v>
      </c>
      <c r="E20">
        <f>(0.019+0.021+0.041)/3</f>
        <v>2.7E-2</v>
      </c>
      <c r="F20">
        <f t="shared" si="12"/>
        <v>0.11842105263157894</v>
      </c>
      <c r="G20">
        <f t="shared" si="4"/>
        <v>118.42105263157895</v>
      </c>
      <c r="H20">
        <v>0.24</v>
      </c>
      <c r="I20">
        <f t="shared" si="5"/>
        <v>68.787878787878782</v>
      </c>
      <c r="K20">
        <v>30</v>
      </c>
      <c r="L20">
        <f t="shared" si="6"/>
        <v>1.0866845397676497</v>
      </c>
      <c r="M20">
        <f t="shared" si="7"/>
        <v>0.58087542087542088</v>
      </c>
      <c r="O20">
        <f t="shared" si="8"/>
        <v>4.2895442359249332</v>
      </c>
      <c r="P20">
        <f t="shared" si="9"/>
        <v>2.2929292929292928</v>
      </c>
      <c r="Q20">
        <f t="shared" si="2"/>
        <v>3.9473684210526314</v>
      </c>
    </row>
    <row r="21" spans="1:18" x14ac:dyDescent="0.3">
      <c r="A21" t="s">
        <v>37</v>
      </c>
      <c r="B21">
        <f>(0.111+0.121+0.139)/3</f>
        <v>0.12366666666666666</v>
      </c>
      <c r="C21">
        <f t="shared" si="11"/>
        <v>0.11706881143878461</v>
      </c>
      <c r="D21">
        <f t="shared" si="3"/>
        <v>117.06881143878462</v>
      </c>
      <c r="E21">
        <f>(0.025+0.025+0.02)/3</f>
        <v>2.3333333333333334E-2</v>
      </c>
      <c r="F21">
        <f t="shared" si="12"/>
        <v>0.1023391812865497</v>
      </c>
      <c r="G21">
        <f t="shared" si="4"/>
        <v>102.3391812865497</v>
      </c>
      <c r="H21">
        <v>0.111</v>
      </c>
      <c r="I21">
        <f t="shared" si="5"/>
        <v>29.696969696969699</v>
      </c>
      <c r="K21">
        <v>31</v>
      </c>
      <c r="L21">
        <f t="shared" si="6"/>
        <v>1.143929528916124</v>
      </c>
      <c r="M21">
        <f t="shared" si="7"/>
        <v>0.29018181818181821</v>
      </c>
      <c r="O21">
        <f t="shared" si="8"/>
        <v>3.7764132722188588</v>
      </c>
      <c r="P21">
        <f t="shared" si="9"/>
        <v>0.95796676441837736</v>
      </c>
      <c r="Q21">
        <f t="shared" si="2"/>
        <v>3.3012639124693455</v>
      </c>
    </row>
    <row r="22" spans="1:18" x14ac:dyDescent="0.3">
      <c r="A22" t="s">
        <v>37</v>
      </c>
      <c r="B22">
        <f>(0.316+0.205+0.275)/3</f>
        <v>0.26533333333333337</v>
      </c>
      <c r="C22">
        <f t="shared" si="11"/>
        <v>0.49687220732797144</v>
      </c>
      <c r="D22">
        <f t="shared" si="3"/>
        <v>496.87220732797141</v>
      </c>
      <c r="E22">
        <f>(0.022+0.029+0.022)/3</f>
        <v>2.4333333333333335E-2</v>
      </c>
      <c r="F22">
        <f t="shared" si="12"/>
        <v>0.10672514619883042</v>
      </c>
      <c r="G22">
        <f t="shared" si="4"/>
        <v>106.72514619883042</v>
      </c>
      <c r="H22">
        <v>0.28199999999999997</v>
      </c>
      <c r="I22">
        <f t="shared" si="5"/>
        <v>81.515151515151501</v>
      </c>
      <c r="K22">
        <v>34</v>
      </c>
      <c r="L22">
        <f t="shared" si="6"/>
        <v>4.6556245179771567</v>
      </c>
      <c r="M22">
        <f t="shared" si="7"/>
        <v>0.76378580323785783</v>
      </c>
      <c r="O22">
        <f t="shared" si="8"/>
        <v>14.613888450822689</v>
      </c>
      <c r="P22">
        <f t="shared" si="9"/>
        <v>2.3975044563279853</v>
      </c>
      <c r="Q22">
        <f t="shared" si="2"/>
        <v>3.1389748882008948</v>
      </c>
    </row>
    <row r="23" spans="1:18" x14ac:dyDescent="0.3">
      <c r="A23" t="s">
        <v>38</v>
      </c>
      <c r="B23">
        <f>(0.234+0.141+0.157)/3</f>
        <v>0.17733333333333334</v>
      </c>
      <c r="C23">
        <f t="shared" si="11"/>
        <v>0.26094727435210013</v>
      </c>
      <c r="D23">
        <f t="shared" si="3"/>
        <v>260.94727435210012</v>
      </c>
      <c r="E23">
        <f>(0.031+0.063+0.027)/3</f>
        <v>4.0333333333333332E-2</v>
      </c>
      <c r="F23">
        <f t="shared" si="12"/>
        <v>0.17690058479532161</v>
      </c>
      <c r="G23">
        <f t="shared" si="4"/>
        <v>176.90058479532161</v>
      </c>
      <c r="H23">
        <v>0.33200000000000002</v>
      </c>
      <c r="I23">
        <f t="shared" si="5"/>
        <v>96.666666666666671</v>
      </c>
      <c r="K23">
        <v>30</v>
      </c>
      <c r="L23">
        <f t="shared" si="6"/>
        <v>1.4751069062548472</v>
      </c>
      <c r="M23">
        <f t="shared" si="7"/>
        <v>0.54644628099173564</v>
      </c>
      <c r="O23">
        <f t="shared" si="8"/>
        <v>8.698242478403337</v>
      </c>
      <c r="P23">
        <f t="shared" si="9"/>
        <v>3.2222222222222223</v>
      </c>
      <c r="Q23">
        <f t="shared" si="2"/>
        <v>5.8966861598440534</v>
      </c>
    </row>
    <row r="24" spans="1:18" x14ac:dyDescent="0.3">
      <c r="A24" t="s">
        <v>38</v>
      </c>
      <c r="B24">
        <f>(0.142+0.262+0.176)/3</f>
        <v>0.19333333333333336</v>
      </c>
      <c r="C24">
        <f t="shared" si="11"/>
        <v>0.30384271671134949</v>
      </c>
      <c r="D24">
        <f t="shared" si="3"/>
        <v>303.84271671134951</v>
      </c>
      <c r="E24">
        <f>(0.036+0.019+0.023)/3</f>
        <v>2.5999999999999995E-2</v>
      </c>
      <c r="F24">
        <f t="shared" si="12"/>
        <v>0.11403508771929823</v>
      </c>
      <c r="G24">
        <f t="shared" si="4"/>
        <v>114.03508771929823</v>
      </c>
      <c r="H24">
        <v>0.37</v>
      </c>
      <c r="I24">
        <f t="shared" si="5"/>
        <v>108.18181818181817</v>
      </c>
      <c r="K24">
        <v>30</v>
      </c>
      <c r="L24">
        <f t="shared" si="6"/>
        <v>2.6644669003918344</v>
      </c>
      <c r="M24">
        <f t="shared" si="7"/>
        <v>0.94867132867132875</v>
      </c>
      <c r="O24">
        <f t="shared" si="8"/>
        <v>10.128090557044983</v>
      </c>
      <c r="P24">
        <f t="shared" si="9"/>
        <v>3.606060606060606</v>
      </c>
      <c r="Q24">
        <f t="shared" si="2"/>
        <v>3.8011695906432745</v>
      </c>
    </row>
    <row r="25" spans="1:18" x14ac:dyDescent="0.3">
      <c r="A25" t="s">
        <v>38</v>
      </c>
      <c r="B25">
        <f>(0.285+0.122+0.129)/3</f>
        <v>0.17866666666666667</v>
      </c>
      <c r="C25">
        <f t="shared" si="11"/>
        <v>0.26452189454870423</v>
      </c>
      <c r="D25">
        <f t="shared" si="3"/>
        <v>264.52189454870421</v>
      </c>
      <c r="E25">
        <f>(0.045+0.044+0.038)/3</f>
        <v>4.2333333333333334E-2</v>
      </c>
      <c r="F25">
        <f t="shared" si="12"/>
        <v>0.18567251461988304</v>
      </c>
      <c r="G25">
        <f t="shared" si="4"/>
        <v>185.67251461988303</v>
      </c>
      <c r="H25">
        <v>0.32400000000000001</v>
      </c>
      <c r="I25">
        <f t="shared" si="5"/>
        <v>94.242424242424249</v>
      </c>
      <c r="K25">
        <v>31</v>
      </c>
      <c r="L25">
        <f t="shared" si="6"/>
        <v>1.4246691013489268</v>
      </c>
      <c r="M25">
        <f t="shared" si="7"/>
        <v>0.5075733715103794</v>
      </c>
      <c r="O25">
        <f t="shared" si="8"/>
        <v>8.5329643402807811</v>
      </c>
      <c r="P25">
        <f t="shared" si="9"/>
        <v>3.0400782013685244</v>
      </c>
      <c r="Q25">
        <f t="shared" si="2"/>
        <v>5.989435955480098</v>
      </c>
    </row>
    <row r="26" spans="1:18" x14ac:dyDescent="0.3">
      <c r="A26" t="s">
        <v>39</v>
      </c>
      <c r="B26">
        <f>(0.117+0.182+0.132)/3</f>
        <v>0.14366666666666666</v>
      </c>
      <c r="C26">
        <f t="shared" si="11"/>
        <v>0.17068811438784628</v>
      </c>
      <c r="D26">
        <f t="shared" si="3"/>
        <v>170.6881143878463</v>
      </c>
      <c r="E26">
        <f>(0.011+0.013+0.011)/3</f>
        <v>1.1666666666666667E-2</v>
      </c>
      <c r="F26">
        <f t="shared" si="12"/>
        <v>5.1169590643274851E-2</v>
      </c>
      <c r="G26">
        <f t="shared" si="4"/>
        <v>51.169590643274852</v>
      </c>
      <c r="H26">
        <v>0.309</v>
      </c>
      <c r="I26">
        <f t="shared" si="5"/>
        <v>89.696969696969688</v>
      </c>
      <c r="K26">
        <v>27</v>
      </c>
      <c r="L26">
        <f t="shared" si="6"/>
        <v>3.3357334354653392</v>
      </c>
      <c r="M26">
        <f t="shared" si="7"/>
        <v>1.7529350649350648</v>
      </c>
      <c r="O26">
        <f t="shared" si="8"/>
        <v>6.3217820143646781</v>
      </c>
      <c r="P26">
        <f t="shared" si="9"/>
        <v>3.322109988776655</v>
      </c>
      <c r="Q26">
        <f t="shared" si="2"/>
        <v>1.8951700238249944</v>
      </c>
    </row>
    <row r="27" spans="1:18" x14ac:dyDescent="0.3">
      <c r="A27" t="s">
        <v>39</v>
      </c>
      <c r="B27">
        <f>(0.16+0.36+0.114)/3</f>
        <v>0.21133333333333335</v>
      </c>
      <c r="C27">
        <f t="shared" si="11"/>
        <v>0.35210008936550496</v>
      </c>
      <c r="D27">
        <f t="shared" si="3"/>
        <v>352.10008936550497</v>
      </c>
      <c r="E27">
        <f>(0.006+0.008+0.009)/3</f>
        <v>7.6666666666666662E-3</v>
      </c>
      <c r="F27">
        <f t="shared" si="12"/>
        <v>3.3625730994152045E-2</v>
      </c>
      <c r="G27">
        <f t="shared" si="4"/>
        <v>33.625730994152043</v>
      </c>
      <c r="H27">
        <v>0.34</v>
      </c>
      <c r="I27">
        <f t="shared" si="5"/>
        <v>99.090909090909093</v>
      </c>
      <c r="K27">
        <v>27</v>
      </c>
      <c r="L27">
        <f t="shared" si="6"/>
        <v>10.471150483739367</v>
      </c>
      <c r="M27">
        <f t="shared" si="7"/>
        <v>2.9468774703557314</v>
      </c>
      <c r="O27">
        <f t="shared" si="8"/>
        <v>13.040744050574258</v>
      </c>
      <c r="P27">
        <f t="shared" si="9"/>
        <v>3.67003367003367</v>
      </c>
      <c r="Q27">
        <f>G27/K27</f>
        <v>1.2453974442278535</v>
      </c>
    </row>
    <row r="28" spans="1:18" x14ac:dyDescent="0.3">
      <c r="A28" t="s">
        <v>39</v>
      </c>
      <c r="B28">
        <f>(0.138+0.252+0.146)/3</f>
        <v>0.17866666666666667</v>
      </c>
      <c r="C28">
        <f t="shared" si="11"/>
        <v>0.26452189454870423</v>
      </c>
      <c r="D28">
        <f t="shared" si="3"/>
        <v>264.52189454870421</v>
      </c>
      <c r="E28">
        <f>(0.004+0.001+0.007)/3</f>
        <v>4.0000000000000001E-3</v>
      </c>
      <c r="F28">
        <f t="shared" si="12"/>
        <v>1.7543859649122806E-2</v>
      </c>
      <c r="G28">
        <f t="shared" si="4"/>
        <v>17.543859649122805</v>
      </c>
      <c r="H28">
        <v>0.25700000000000001</v>
      </c>
      <c r="I28">
        <f t="shared" si="5"/>
        <v>73.939393939393938</v>
      </c>
      <c r="K28">
        <v>28</v>
      </c>
      <c r="L28">
        <f t="shared" si="6"/>
        <v>15.077747989276142</v>
      </c>
      <c r="M28">
        <f t="shared" si="7"/>
        <v>4.2145454545454548</v>
      </c>
      <c r="O28">
        <f t="shared" si="8"/>
        <v>9.4472105195965792</v>
      </c>
      <c r="P28">
        <f t="shared" si="9"/>
        <v>2.6406926406926408</v>
      </c>
      <c r="Q28">
        <f t="shared" si="2"/>
        <v>0.62656641604010022</v>
      </c>
    </row>
    <row r="29" spans="1:18" x14ac:dyDescent="0.3">
      <c r="A29" t="s">
        <v>40</v>
      </c>
      <c r="B29">
        <f>(0.105+0.105+0.108)/3</f>
        <v>0.106</v>
      </c>
      <c r="C29">
        <f t="shared" si="11"/>
        <v>6.9705093833780152E-2</v>
      </c>
      <c r="D29">
        <f t="shared" si="3"/>
        <v>69.705093833780154</v>
      </c>
      <c r="E29">
        <f>(0.008+0.001+0.004)/3</f>
        <v>4.333333333333334E-3</v>
      </c>
      <c r="F29">
        <f t="shared" si="12"/>
        <v>1.9005847953216377E-2</v>
      </c>
      <c r="G29">
        <f t="shared" si="4"/>
        <v>19.005847953216378</v>
      </c>
      <c r="H29">
        <v>0.32900000000000001</v>
      </c>
      <c r="I29">
        <f t="shared" si="5"/>
        <v>95.757575757575765</v>
      </c>
      <c r="K29">
        <v>25</v>
      </c>
      <c r="L29">
        <f t="shared" si="6"/>
        <v>3.6675603217158166</v>
      </c>
      <c r="M29">
        <f t="shared" si="7"/>
        <v>5.0383216783216778</v>
      </c>
      <c r="O29">
        <f t="shared" si="8"/>
        <v>2.7882037533512061</v>
      </c>
      <c r="P29">
        <f t="shared" si="9"/>
        <v>3.8303030303030305</v>
      </c>
      <c r="Q29">
        <f t="shared" si="2"/>
        <v>0.76023391812865515</v>
      </c>
    </row>
    <row r="30" spans="1:18" x14ac:dyDescent="0.3">
      <c r="A30" t="s">
        <v>40</v>
      </c>
      <c r="B30">
        <f>(0.121+0.177+0.119)/3</f>
        <v>0.13899999999999998</v>
      </c>
      <c r="C30">
        <f t="shared" si="11"/>
        <v>0.15817694369973187</v>
      </c>
      <c r="D30">
        <f t="shared" si="3"/>
        <v>158.17694369973188</v>
      </c>
      <c r="E30">
        <f>(0.013+0.02+0.015)/3</f>
        <v>1.6E-2</v>
      </c>
      <c r="F30">
        <f t="shared" si="12"/>
        <v>7.0175438596491224E-2</v>
      </c>
      <c r="G30">
        <f t="shared" si="4"/>
        <v>70.175438596491219</v>
      </c>
      <c r="H30">
        <v>0.15</v>
      </c>
      <c r="I30">
        <f t="shared" si="5"/>
        <v>41.515151515151508</v>
      </c>
      <c r="K30">
        <v>25</v>
      </c>
      <c r="L30">
        <f t="shared" si="6"/>
        <v>2.2540214477211795</v>
      </c>
      <c r="M30">
        <f t="shared" si="7"/>
        <v>0.59159090909090906</v>
      </c>
      <c r="O30">
        <f t="shared" si="8"/>
        <v>6.327077747989275</v>
      </c>
      <c r="P30">
        <f t="shared" si="9"/>
        <v>1.6606060606060604</v>
      </c>
      <c r="Q30">
        <f t="shared" si="2"/>
        <v>2.807017543859649</v>
      </c>
    </row>
    <row r="31" spans="1:18" x14ac:dyDescent="0.3">
      <c r="A31" t="s">
        <v>40</v>
      </c>
      <c r="B31">
        <f>(0.234+0.112+0.121)/3</f>
        <v>0.15566666666666668</v>
      </c>
      <c r="C31">
        <f t="shared" si="11"/>
        <v>0.2028596961572833</v>
      </c>
      <c r="D31">
        <f t="shared" si="3"/>
        <v>202.85969615728331</v>
      </c>
      <c r="E31">
        <f>(0.016+0.009+0.019)/3</f>
        <v>1.4666666666666666E-2</v>
      </c>
      <c r="F31">
        <f t="shared" si="12"/>
        <v>6.4327485380116955E-2</v>
      </c>
      <c r="G31">
        <f t="shared" si="4"/>
        <v>64.327485380116954</v>
      </c>
      <c r="H31">
        <v>0.34200000000000003</v>
      </c>
      <c r="I31">
        <f t="shared" si="5"/>
        <v>99.696969696969703</v>
      </c>
      <c r="K31">
        <v>25</v>
      </c>
      <c r="L31">
        <f t="shared" si="6"/>
        <v>3.1535461857177682</v>
      </c>
      <c r="M31">
        <f t="shared" si="7"/>
        <v>1.549834710743802</v>
      </c>
      <c r="O31">
        <f t="shared" si="8"/>
        <v>8.1143878462913328</v>
      </c>
      <c r="P31">
        <f t="shared" si="9"/>
        <v>3.9878787878787882</v>
      </c>
      <c r="Q31">
        <f t="shared" si="2"/>
        <v>2.5730994152046782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875D-B1AD-4B83-AD93-2C87F6EFB518}">
  <dimension ref="A1:B31"/>
  <sheetViews>
    <sheetView workbookViewId="0">
      <selection activeCell="A2" sqref="A2:A31"/>
    </sheetView>
  </sheetViews>
  <sheetFormatPr defaultRowHeight="14.4" x14ac:dyDescent="0.3"/>
  <cols>
    <col min="1" max="1" width="15.77734375" customWidth="1"/>
    <col min="2" max="2" width="27.88671875" customWidth="1"/>
  </cols>
  <sheetData>
    <row r="1" spans="1:2" x14ac:dyDescent="0.3">
      <c r="A1" t="s">
        <v>32</v>
      </c>
      <c r="B1" t="s">
        <v>23</v>
      </c>
    </row>
    <row r="2" spans="1:2" x14ac:dyDescent="0.3">
      <c r="A2" t="s">
        <v>33</v>
      </c>
      <c r="B2">
        <f>Sheet1!O2</f>
        <v>23.264819779565084</v>
      </c>
    </row>
    <row r="3" spans="1:2" x14ac:dyDescent="0.3">
      <c r="A3" t="s">
        <v>33</v>
      </c>
      <c r="B3">
        <f>Sheet1!O3</f>
        <v>24.932975871313669</v>
      </c>
    </row>
    <row r="4" spans="1:2" x14ac:dyDescent="0.3">
      <c r="A4" t="s">
        <v>33</v>
      </c>
      <c r="B4">
        <f>Sheet1!O4</f>
        <v>24.098897825439376</v>
      </c>
    </row>
    <row r="5" spans="1:2" x14ac:dyDescent="0.3">
      <c r="A5" t="s">
        <v>33</v>
      </c>
      <c r="B5">
        <f>Sheet1!O5</f>
        <v>20.693699731903486</v>
      </c>
    </row>
    <row r="6" spans="1:2" x14ac:dyDescent="0.3">
      <c r="A6" t="s">
        <v>33</v>
      </c>
      <c r="B6">
        <f>Sheet1!O6</f>
        <v>15.974084003574619</v>
      </c>
    </row>
    <row r="7" spans="1:2" x14ac:dyDescent="0.3">
      <c r="A7" t="s">
        <v>34</v>
      </c>
      <c r="B7">
        <f>Sheet1!O7</f>
        <v>3.2171581769436992</v>
      </c>
    </row>
    <row r="8" spans="1:2" x14ac:dyDescent="0.3">
      <c r="A8" t="s">
        <v>34</v>
      </c>
      <c r="B8">
        <f>Sheet1!O8</f>
        <v>3.8725052129877868</v>
      </c>
    </row>
    <row r="9" spans="1:2" x14ac:dyDescent="0.3">
      <c r="A9" t="s">
        <v>34</v>
      </c>
      <c r="B9">
        <f>Sheet1!O9</f>
        <v>8.5195114685731319</v>
      </c>
    </row>
    <row r="10" spans="1:2" x14ac:dyDescent="0.3">
      <c r="A10" t="s">
        <v>34</v>
      </c>
      <c r="B10">
        <f>Sheet1!O10</f>
        <v>9.6812630324694684</v>
      </c>
    </row>
    <row r="11" spans="1:2" x14ac:dyDescent="0.3">
      <c r="A11" t="s">
        <v>34</v>
      </c>
      <c r="B11">
        <f>Sheet1!O11</f>
        <v>9.5748755266181522</v>
      </c>
    </row>
    <row r="12" spans="1:2" x14ac:dyDescent="0.3">
      <c r="A12" t="s">
        <v>35</v>
      </c>
      <c r="B12">
        <f>Sheet1!O12</f>
        <v>10.008936550491514</v>
      </c>
    </row>
    <row r="13" spans="1:2" x14ac:dyDescent="0.3">
      <c r="A13" t="s">
        <v>35</v>
      </c>
      <c r="B13">
        <f>Sheet1!O13</f>
        <v>5.8981233243967814</v>
      </c>
    </row>
    <row r="14" spans="1:2" x14ac:dyDescent="0.3">
      <c r="A14" t="s">
        <v>35</v>
      </c>
      <c r="B14">
        <f>Sheet1!O14</f>
        <v>16.175156389633603</v>
      </c>
    </row>
    <row r="15" spans="1:2" x14ac:dyDescent="0.3">
      <c r="A15" t="s">
        <v>35</v>
      </c>
      <c r="B15">
        <f>Sheet1!O15</f>
        <v>8.5492999702114965</v>
      </c>
    </row>
    <row r="16" spans="1:2" x14ac:dyDescent="0.3">
      <c r="A16" t="s">
        <v>35</v>
      </c>
      <c r="B16">
        <f>Sheet1!O16</f>
        <v>14.521894548704209</v>
      </c>
    </row>
    <row r="17" spans="1:2" x14ac:dyDescent="0.3">
      <c r="A17" t="s">
        <v>36</v>
      </c>
      <c r="B17">
        <f>Sheet1!O17</f>
        <v>7.8641644325290452</v>
      </c>
    </row>
    <row r="18" spans="1:2" x14ac:dyDescent="0.3">
      <c r="A18" t="s">
        <v>36</v>
      </c>
      <c r="B18">
        <f>Sheet1!O18</f>
        <v>3.2394995531724744</v>
      </c>
    </row>
    <row r="19" spans="1:2" x14ac:dyDescent="0.3">
      <c r="A19" t="s">
        <v>36</v>
      </c>
      <c r="B19">
        <f>Sheet1!O19</f>
        <v>9.9791480488531406</v>
      </c>
    </row>
    <row r="20" spans="1:2" x14ac:dyDescent="0.3">
      <c r="A20" t="s">
        <v>37</v>
      </c>
      <c r="B20">
        <f>Sheet1!O20</f>
        <v>4.2895442359249332</v>
      </c>
    </row>
    <row r="21" spans="1:2" x14ac:dyDescent="0.3">
      <c r="A21" t="s">
        <v>37</v>
      </c>
      <c r="B21">
        <f>Sheet1!O21</f>
        <v>3.7764132722188588</v>
      </c>
    </row>
    <row r="22" spans="1:2" x14ac:dyDescent="0.3">
      <c r="A22" t="s">
        <v>37</v>
      </c>
      <c r="B22">
        <f>Sheet1!O22</f>
        <v>14.613888450822689</v>
      </c>
    </row>
    <row r="23" spans="1:2" x14ac:dyDescent="0.3">
      <c r="A23" t="s">
        <v>38</v>
      </c>
      <c r="B23">
        <f>Sheet1!O23</f>
        <v>8.698242478403337</v>
      </c>
    </row>
    <row r="24" spans="1:2" x14ac:dyDescent="0.3">
      <c r="A24" t="s">
        <v>38</v>
      </c>
      <c r="B24">
        <f>Sheet1!O24</f>
        <v>10.128090557044983</v>
      </c>
    </row>
    <row r="25" spans="1:2" x14ac:dyDescent="0.3">
      <c r="A25" t="s">
        <v>38</v>
      </c>
      <c r="B25">
        <f>Sheet1!O25</f>
        <v>8.5329643402807811</v>
      </c>
    </row>
    <row r="26" spans="1:2" x14ac:dyDescent="0.3">
      <c r="A26" t="s">
        <v>39</v>
      </c>
      <c r="B26">
        <f>Sheet1!O26</f>
        <v>6.3217820143646781</v>
      </c>
    </row>
    <row r="27" spans="1:2" x14ac:dyDescent="0.3">
      <c r="A27" t="s">
        <v>39</v>
      </c>
      <c r="B27">
        <f>Sheet1!O27</f>
        <v>13.040744050574258</v>
      </c>
    </row>
    <row r="28" spans="1:2" x14ac:dyDescent="0.3">
      <c r="A28" t="s">
        <v>39</v>
      </c>
      <c r="B28">
        <f>Sheet1!O28</f>
        <v>9.4472105195965792</v>
      </c>
    </row>
    <row r="29" spans="1:2" x14ac:dyDescent="0.3">
      <c r="A29" t="s">
        <v>40</v>
      </c>
      <c r="B29">
        <f>Sheet1!O29</f>
        <v>2.7882037533512061</v>
      </c>
    </row>
    <row r="30" spans="1:2" x14ac:dyDescent="0.3">
      <c r="A30" t="s">
        <v>40</v>
      </c>
      <c r="B30">
        <f>Sheet1!O30</f>
        <v>6.327077747989275</v>
      </c>
    </row>
    <row r="31" spans="1:2" x14ac:dyDescent="0.3">
      <c r="A31" t="s">
        <v>40</v>
      </c>
      <c r="B31">
        <f>Sheet1!O31</f>
        <v>8.1143878462913328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07E-5892-4602-B0A0-D86C159D933B}">
  <dimension ref="A1:B28"/>
  <sheetViews>
    <sheetView workbookViewId="0">
      <selection activeCell="A7" sqref="A7:XFD7"/>
    </sheetView>
  </sheetViews>
  <sheetFormatPr defaultRowHeight="14.4" x14ac:dyDescent="0.3"/>
  <cols>
    <col min="1" max="1" width="15.77734375" customWidth="1"/>
    <col min="2" max="2" width="27.88671875" customWidth="1"/>
  </cols>
  <sheetData>
    <row r="1" spans="1:2" x14ac:dyDescent="0.3">
      <c r="A1" t="s">
        <v>32</v>
      </c>
      <c r="B1" t="s">
        <v>24</v>
      </c>
    </row>
    <row r="2" spans="1:2" x14ac:dyDescent="0.3">
      <c r="A2" t="s">
        <v>33</v>
      </c>
      <c r="B2">
        <f>Sheet1!P2</f>
        <v>1.6262626262626261</v>
      </c>
    </row>
    <row r="3" spans="1:2" x14ac:dyDescent="0.3">
      <c r="A3" t="s">
        <v>33</v>
      </c>
      <c r="B3">
        <f>Sheet1!P4</f>
        <v>1.434343434343434</v>
      </c>
    </row>
    <row r="4" spans="1:2" x14ac:dyDescent="0.3">
      <c r="A4" t="s">
        <v>33</v>
      </c>
      <c r="B4">
        <f>Sheet1!P5</f>
        <v>1.3352272727272727</v>
      </c>
    </row>
    <row r="5" spans="1:2" x14ac:dyDescent="0.3">
      <c r="A5" t="s">
        <v>33</v>
      </c>
      <c r="B5">
        <f>Sheet1!P6</f>
        <v>1.6666666666666665</v>
      </c>
    </row>
    <row r="6" spans="1:2" x14ac:dyDescent="0.3">
      <c r="A6" t="s">
        <v>34</v>
      </c>
      <c r="B6">
        <f>Sheet1!P7</f>
        <v>1.3232323232323229</v>
      </c>
    </row>
    <row r="7" spans="1:2" x14ac:dyDescent="0.3">
      <c r="A7" t="s">
        <v>34</v>
      </c>
      <c r="B7">
        <f>Sheet1!P9</f>
        <v>1.1919191919191918</v>
      </c>
    </row>
    <row r="8" spans="1:2" x14ac:dyDescent="0.3">
      <c r="A8" t="s">
        <v>34</v>
      </c>
      <c r="B8">
        <f>Sheet1!P10</f>
        <v>1.5151515151515151</v>
      </c>
    </row>
    <row r="9" spans="1:2" x14ac:dyDescent="0.3">
      <c r="A9" t="s">
        <v>34</v>
      </c>
      <c r="B9">
        <f>Sheet1!P11</f>
        <v>0.81385281385281383</v>
      </c>
    </row>
    <row r="10" spans="1:2" x14ac:dyDescent="0.3">
      <c r="A10" t="s">
        <v>35</v>
      </c>
      <c r="B10">
        <f>Sheet1!P12</f>
        <v>1.303030303030303</v>
      </c>
    </row>
    <row r="11" spans="1:2" x14ac:dyDescent="0.3">
      <c r="A11" t="s">
        <v>35</v>
      </c>
      <c r="B11">
        <f>Sheet1!P13</f>
        <v>1.3838383838383836</v>
      </c>
    </row>
    <row r="12" spans="1:2" x14ac:dyDescent="0.3">
      <c r="A12" t="s">
        <v>35</v>
      </c>
      <c r="B12">
        <f>Sheet1!P14</f>
        <v>1.0303030303030303</v>
      </c>
    </row>
    <row r="13" spans="1:2" x14ac:dyDescent="0.3">
      <c r="A13" t="s">
        <v>35</v>
      </c>
      <c r="B13">
        <f>Sheet1!P15</f>
        <v>1.202020202020202</v>
      </c>
    </row>
    <row r="14" spans="1:2" x14ac:dyDescent="0.3">
      <c r="A14" t="s">
        <v>36</v>
      </c>
      <c r="B14">
        <f>Sheet1!P17</f>
        <v>0.84848484848484851</v>
      </c>
    </row>
    <row r="15" spans="1:2" x14ac:dyDescent="0.3">
      <c r="A15" t="s">
        <v>36</v>
      </c>
      <c r="B15">
        <f>Sheet1!P18</f>
        <v>0.94696969696969702</v>
      </c>
    </row>
    <row r="16" spans="1:2" x14ac:dyDescent="0.3">
      <c r="A16" t="s">
        <v>36</v>
      </c>
      <c r="B16">
        <f>Sheet1!P19</f>
        <v>1.2121212121212122</v>
      </c>
    </row>
    <row r="17" spans="1:2" x14ac:dyDescent="0.3">
      <c r="A17" t="s">
        <v>37</v>
      </c>
      <c r="B17">
        <f>Sheet1!P20</f>
        <v>2.2929292929292928</v>
      </c>
    </row>
    <row r="18" spans="1:2" x14ac:dyDescent="0.3">
      <c r="A18" t="s">
        <v>37</v>
      </c>
      <c r="B18">
        <f>Sheet1!P21</f>
        <v>0.95796676441837736</v>
      </c>
    </row>
    <row r="19" spans="1:2" x14ac:dyDescent="0.3">
      <c r="A19" t="s">
        <v>37</v>
      </c>
      <c r="B19">
        <f>Sheet1!P22</f>
        <v>2.3975044563279853</v>
      </c>
    </row>
    <row r="20" spans="1:2" x14ac:dyDescent="0.3">
      <c r="A20" t="s">
        <v>38</v>
      </c>
      <c r="B20">
        <f>Sheet1!P23</f>
        <v>3.2222222222222223</v>
      </c>
    </row>
    <row r="21" spans="1:2" x14ac:dyDescent="0.3">
      <c r="A21" t="s">
        <v>38</v>
      </c>
      <c r="B21">
        <f>Sheet1!P24</f>
        <v>3.606060606060606</v>
      </c>
    </row>
    <row r="22" spans="1:2" x14ac:dyDescent="0.3">
      <c r="A22" t="s">
        <v>38</v>
      </c>
      <c r="B22">
        <f>Sheet1!P25</f>
        <v>3.0400782013685244</v>
      </c>
    </row>
    <row r="23" spans="1:2" x14ac:dyDescent="0.3">
      <c r="A23" t="s">
        <v>39</v>
      </c>
      <c r="B23">
        <f>Sheet1!P26</f>
        <v>3.322109988776655</v>
      </c>
    </row>
    <row r="24" spans="1:2" x14ac:dyDescent="0.3">
      <c r="A24" t="s">
        <v>39</v>
      </c>
      <c r="B24">
        <f>Sheet1!P27</f>
        <v>3.67003367003367</v>
      </c>
    </row>
    <row r="25" spans="1:2" x14ac:dyDescent="0.3">
      <c r="A25" t="s">
        <v>39</v>
      </c>
      <c r="B25">
        <f>Sheet1!P28</f>
        <v>2.6406926406926408</v>
      </c>
    </row>
    <row r="26" spans="1:2" x14ac:dyDescent="0.3">
      <c r="A26" t="s">
        <v>40</v>
      </c>
      <c r="B26">
        <f>Sheet1!P29</f>
        <v>3.8303030303030305</v>
      </c>
    </row>
    <row r="27" spans="1:2" x14ac:dyDescent="0.3">
      <c r="A27" t="s">
        <v>40</v>
      </c>
      <c r="B27">
        <f>Sheet1!P30</f>
        <v>1.6606060606060604</v>
      </c>
    </row>
    <row r="28" spans="1:2" x14ac:dyDescent="0.3">
      <c r="A28" t="s">
        <v>40</v>
      </c>
      <c r="B28">
        <f>Sheet1!P31</f>
        <v>3.9878787878787882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1EC1-CFD0-4B6E-B97A-9BEE0FDF0EDA}">
  <dimension ref="A1:B31"/>
  <sheetViews>
    <sheetView workbookViewId="0">
      <selection sqref="A1:A1048576"/>
    </sheetView>
  </sheetViews>
  <sheetFormatPr defaultRowHeight="14.4" x14ac:dyDescent="0.3"/>
  <cols>
    <col min="1" max="1" width="15.77734375" customWidth="1"/>
    <col min="2" max="2" width="34.88671875" customWidth="1"/>
  </cols>
  <sheetData>
    <row r="1" spans="1:2" x14ac:dyDescent="0.3">
      <c r="A1" t="s">
        <v>32</v>
      </c>
      <c r="B1" t="s">
        <v>26</v>
      </c>
    </row>
    <row r="2" spans="1:2" x14ac:dyDescent="0.3">
      <c r="A2" t="s">
        <v>33</v>
      </c>
      <c r="B2">
        <f>Sheet1!Q2</f>
        <v>7.4561403508771917</v>
      </c>
    </row>
    <row r="3" spans="1:2" x14ac:dyDescent="0.3">
      <c r="A3" t="s">
        <v>33</v>
      </c>
      <c r="B3">
        <f>Sheet1!Q3</f>
        <v>4.9220272904483435</v>
      </c>
    </row>
    <row r="4" spans="1:2" x14ac:dyDescent="0.3">
      <c r="A4" t="s">
        <v>33</v>
      </c>
      <c r="B4">
        <f>Sheet1!Q4</f>
        <v>7.0175438596491233</v>
      </c>
    </row>
    <row r="5" spans="1:2" x14ac:dyDescent="0.3">
      <c r="A5" t="s">
        <v>33</v>
      </c>
      <c r="B5">
        <f>Sheet1!Q5</f>
        <v>10.46235380116959</v>
      </c>
    </row>
    <row r="6" spans="1:2" x14ac:dyDescent="0.3">
      <c r="A6" t="s">
        <v>33</v>
      </c>
      <c r="B6">
        <f>Sheet1!Q6</f>
        <v>9.0003654970760216</v>
      </c>
    </row>
    <row r="7" spans="1:2" x14ac:dyDescent="0.3">
      <c r="A7" t="s">
        <v>34</v>
      </c>
      <c r="B7">
        <f>Sheet1!Q7</f>
        <v>5.0194931773879148</v>
      </c>
    </row>
    <row r="8" spans="1:2" x14ac:dyDescent="0.3">
      <c r="A8" t="s">
        <v>34</v>
      </c>
      <c r="B8">
        <f>Sheet1!Q8</f>
        <v>6.7738791423001947</v>
      </c>
    </row>
    <row r="9" spans="1:2" x14ac:dyDescent="0.3">
      <c r="A9" t="s">
        <v>34</v>
      </c>
      <c r="B9">
        <f>Sheet1!Q9</f>
        <v>5.458089668615985</v>
      </c>
    </row>
    <row r="10" spans="1:2" x14ac:dyDescent="0.3">
      <c r="A10" t="s">
        <v>34</v>
      </c>
      <c r="B10">
        <f>Sheet1!Q10</f>
        <v>7.4074074074074066</v>
      </c>
    </row>
    <row r="11" spans="1:2" x14ac:dyDescent="0.3">
      <c r="A11" t="s">
        <v>34</v>
      </c>
      <c r="B11">
        <f>Sheet1!Q11</f>
        <v>8.5630743525480373</v>
      </c>
    </row>
    <row r="12" spans="1:2" x14ac:dyDescent="0.3">
      <c r="A12" t="s">
        <v>35</v>
      </c>
      <c r="B12">
        <f>Sheet1!Q12</f>
        <v>3.8986354775828462</v>
      </c>
    </row>
    <row r="13" spans="1:2" x14ac:dyDescent="0.3">
      <c r="A13" t="s">
        <v>35</v>
      </c>
      <c r="B13">
        <f>Sheet1!Q13</f>
        <v>4.9220272904483435</v>
      </c>
    </row>
    <row r="14" spans="1:2" x14ac:dyDescent="0.3">
      <c r="A14" t="s">
        <v>35</v>
      </c>
      <c r="B14">
        <f>Sheet1!Q14</f>
        <v>5.750487329434697</v>
      </c>
    </row>
    <row r="15" spans="1:2" x14ac:dyDescent="0.3">
      <c r="A15" t="s">
        <v>35</v>
      </c>
      <c r="B15">
        <f>Sheet1!Q15</f>
        <v>4.0448343079922031</v>
      </c>
    </row>
    <row r="16" spans="1:2" x14ac:dyDescent="0.3">
      <c r="A16" t="s">
        <v>35</v>
      </c>
      <c r="B16">
        <f>Sheet1!Q16</f>
        <v>4.9951267056530222</v>
      </c>
    </row>
    <row r="17" spans="1:2" x14ac:dyDescent="0.3">
      <c r="A17" t="s">
        <v>36</v>
      </c>
      <c r="B17">
        <f>Sheet1!Q17</f>
        <v>3.8986354775828462</v>
      </c>
    </row>
    <row r="18" spans="1:2" x14ac:dyDescent="0.3">
      <c r="A18" t="s">
        <v>36</v>
      </c>
      <c r="B18">
        <f>Sheet1!Q18</f>
        <v>3.7463450292397664</v>
      </c>
    </row>
    <row r="19" spans="1:2" x14ac:dyDescent="0.3">
      <c r="A19" t="s">
        <v>36</v>
      </c>
      <c r="B19">
        <f>Sheet1!Q19</f>
        <v>5.5555555555555554</v>
      </c>
    </row>
    <row r="20" spans="1:2" x14ac:dyDescent="0.3">
      <c r="A20" t="s">
        <v>37</v>
      </c>
      <c r="B20">
        <f>Sheet1!Q20</f>
        <v>3.9473684210526314</v>
      </c>
    </row>
    <row r="21" spans="1:2" x14ac:dyDescent="0.3">
      <c r="A21" t="s">
        <v>37</v>
      </c>
      <c r="B21">
        <f>Sheet1!Q21</f>
        <v>3.3012639124693455</v>
      </c>
    </row>
    <row r="22" spans="1:2" x14ac:dyDescent="0.3">
      <c r="A22" t="s">
        <v>37</v>
      </c>
      <c r="B22">
        <f>Sheet1!Q22</f>
        <v>3.1389748882008948</v>
      </c>
    </row>
    <row r="23" spans="1:2" x14ac:dyDescent="0.3">
      <c r="A23" t="s">
        <v>38</v>
      </c>
      <c r="B23">
        <f>Sheet1!Q23</f>
        <v>5.8966861598440534</v>
      </c>
    </row>
    <row r="24" spans="1:2" x14ac:dyDescent="0.3">
      <c r="A24" t="s">
        <v>38</v>
      </c>
      <c r="B24">
        <f>Sheet1!Q24</f>
        <v>3.8011695906432745</v>
      </c>
    </row>
    <row r="25" spans="1:2" x14ac:dyDescent="0.3">
      <c r="A25" t="s">
        <v>38</v>
      </c>
      <c r="B25">
        <f>Sheet1!Q25</f>
        <v>5.989435955480098</v>
      </c>
    </row>
    <row r="26" spans="1:2" x14ac:dyDescent="0.3">
      <c r="A26" t="s">
        <v>39</v>
      </c>
      <c r="B26">
        <f>Sheet1!Q26</f>
        <v>1.8951700238249944</v>
      </c>
    </row>
    <row r="27" spans="1:2" x14ac:dyDescent="0.3">
      <c r="A27" t="s">
        <v>39</v>
      </c>
      <c r="B27">
        <f>Sheet1!Q27</f>
        <v>1.2453974442278535</v>
      </c>
    </row>
    <row r="28" spans="1:2" x14ac:dyDescent="0.3">
      <c r="A28" t="s">
        <v>39</v>
      </c>
      <c r="B28">
        <f>Sheet1!Q28</f>
        <v>0.62656641604010022</v>
      </c>
    </row>
    <row r="29" spans="1:2" x14ac:dyDescent="0.3">
      <c r="A29" t="s">
        <v>40</v>
      </c>
      <c r="B29">
        <f>Sheet1!Q29</f>
        <v>0.76023391812865515</v>
      </c>
    </row>
    <row r="30" spans="1:2" x14ac:dyDescent="0.3">
      <c r="A30" t="s">
        <v>40</v>
      </c>
      <c r="B30">
        <f>Sheet1!Q30</f>
        <v>2.807017543859649</v>
      </c>
    </row>
    <row r="31" spans="1:2" x14ac:dyDescent="0.3">
      <c r="A31" t="s">
        <v>40</v>
      </c>
      <c r="B31">
        <f>Sheet1!Q31</f>
        <v>2.5730994152046782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5740-7F7E-4468-B788-42783EC95E30}">
  <dimension ref="A1:H92"/>
  <sheetViews>
    <sheetView workbookViewId="0">
      <selection activeCell="A92" sqref="A92:XFD92"/>
    </sheetView>
  </sheetViews>
  <sheetFormatPr defaultRowHeight="14.4" x14ac:dyDescent="0.3"/>
  <cols>
    <col min="1" max="1" width="14.6640625" customWidth="1"/>
    <col min="2" max="2" width="17.5546875" customWidth="1"/>
    <col min="3" max="4" width="14.44140625" customWidth="1"/>
    <col min="5" max="5" width="26.6640625" customWidth="1"/>
    <col min="6" max="6" width="22.21875" customWidth="1"/>
    <col min="7" max="7" width="27" customWidth="1"/>
    <col min="8" max="8" width="23.21875" customWidth="1"/>
  </cols>
  <sheetData>
    <row r="1" spans="1:8" x14ac:dyDescent="0.3">
      <c r="A1" t="s">
        <v>9</v>
      </c>
      <c r="B1" t="s">
        <v>10</v>
      </c>
      <c r="C1" t="s">
        <v>11</v>
      </c>
      <c r="D1" t="s">
        <v>31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3">
      <c r="A2" t="s">
        <v>16</v>
      </c>
      <c r="B2" t="s">
        <v>12</v>
      </c>
      <c r="C2" t="s">
        <v>14</v>
      </c>
      <c r="D2">
        <v>1</v>
      </c>
      <c r="E2">
        <v>28.497</v>
      </c>
      <c r="F2">
        <f>((E2/2)^2)*3.1415</f>
        <v>637.78655169337503</v>
      </c>
      <c r="G2">
        <v>38.5</v>
      </c>
      <c r="H2">
        <f t="shared" ref="H2:H66" si="0">((G2/2)^2)*3.1415</f>
        <v>1164.12209375</v>
      </c>
    </row>
    <row r="3" spans="1:8" x14ac:dyDescent="0.3">
      <c r="A3" t="s">
        <v>16</v>
      </c>
      <c r="B3" t="s">
        <v>12</v>
      </c>
      <c r="C3" t="s">
        <v>14</v>
      </c>
      <c r="D3">
        <v>2</v>
      </c>
      <c r="E3">
        <v>18.832000000000001</v>
      </c>
      <c r="F3">
        <f t="shared" ref="F3:F61" si="1">((E3/2)^2)*3.1415</f>
        <v>278.528707424</v>
      </c>
      <c r="G3">
        <f>8.209+3.556+7.793</f>
        <v>19.558</v>
      </c>
      <c r="H3">
        <f t="shared" si="0"/>
        <v>300.41800400149998</v>
      </c>
    </row>
    <row r="4" spans="1:8" x14ac:dyDescent="0.3">
      <c r="A4" t="s">
        <v>16</v>
      </c>
      <c r="B4" t="s">
        <v>12</v>
      </c>
      <c r="C4" t="s">
        <v>14</v>
      </c>
      <c r="D4">
        <v>3</v>
      </c>
      <c r="E4">
        <v>22.768999999999998</v>
      </c>
      <c r="F4">
        <f t="shared" si="1"/>
        <v>407.15988864537496</v>
      </c>
      <c r="G4">
        <v>15.007999999999999</v>
      </c>
      <c r="H4">
        <f t="shared" si="0"/>
        <v>176.89791526399998</v>
      </c>
    </row>
    <row r="5" spans="1:8" x14ac:dyDescent="0.3">
      <c r="A5" t="s">
        <v>16</v>
      </c>
      <c r="B5" t="s">
        <v>12</v>
      </c>
      <c r="C5" t="s">
        <v>14</v>
      </c>
      <c r="D5">
        <v>4</v>
      </c>
      <c r="E5">
        <f>17.851+8.203</f>
        <v>26.053999999999998</v>
      </c>
      <c r="F5">
        <f t="shared" si="1"/>
        <v>533.12112315349998</v>
      </c>
      <c r="G5">
        <f>18.124+10.273</f>
        <v>28.396999999999998</v>
      </c>
      <c r="H5">
        <f t="shared" si="0"/>
        <v>633.31823916837504</v>
      </c>
    </row>
    <row r="6" spans="1:8" x14ac:dyDescent="0.3">
      <c r="A6" t="s">
        <v>16</v>
      </c>
      <c r="B6" t="s">
        <v>12</v>
      </c>
      <c r="C6" t="s">
        <v>14</v>
      </c>
      <c r="D6">
        <v>5</v>
      </c>
      <c r="E6">
        <f>25.651+16.217</f>
        <v>41.867999999999995</v>
      </c>
      <c r="F6">
        <f t="shared" si="1"/>
        <v>1376.7069463739997</v>
      </c>
      <c r="G6">
        <v>17.992999999999999</v>
      </c>
      <c r="H6">
        <f t="shared" si="0"/>
        <v>254.26362398337494</v>
      </c>
    </row>
    <row r="7" spans="1:8" x14ac:dyDescent="0.3">
      <c r="A7" t="s">
        <v>16</v>
      </c>
      <c r="B7" t="s">
        <v>12</v>
      </c>
      <c r="C7" t="s">
        <v>14</v>
      </c>
      <c r="D7">
        <v>6</v>
      </c>
      <c r="E7">
        <v>15.048</v>
      </c>
      <c r="F7">
        <f t="shared" si="1"/>
        <v>177.84212450400003</v>
      </c>
      <c r="G7">
        <f>16.389+14.211</f>
        <v>30.6</v>
      </c>
      <c r="H7">
        <f t="shared" si="0"/>
        <v>735.39373500000011</v>
      </c>
    </row>
    <row r="8" spans="1:8" x14ac:dyDescent="0.3">
      <c r="A8" t="s">
        <v>16</v>
      </c>
      <c r="B8" t="s">
        <v>12</v>
      </c>
      <c r="C8" t="s">
        <v>14</v>
      </c>
      <c r="D8">
        <v>7</v>
      </c>
      <c r="E8">
        <f>18.333+8.255</f>
        <v>26.588000000000001</v>
      </c>
      <c r="F8">
        <f t="shared" si="1"/>
        <v>555.19866469400006</v>
      </c>
      <c r="G8">
        <f>17.003+11.366+1.018</f>
        <v>29.387</v>
      </c>
      <c r="H8">
        <f t="shared" si="0"/>
        <v>678.24652707837504</v>
      </c>
    </row>
    <row r="9" spans="1:8" x14ac:dyDescent="0.3">
      <c r="A9" t="s">
        <v>16</v>
      </c>
      <c r="B9" t="s">
        <v>12</v>
      </c>
      <c r="C9" t="s">
        <v>14</v>
      </c>
      <c r="D9">
        <v>8</v>
      </c>
      <c r="E9">
        <f>26.218+4.549</f>
        <v>30.766999999999999</v>
      </c>
      <c r="F9">
        <f t="shared" si="1"/>
        <v>743.44248497337503</v>
      </c>
      <c r="G9">
        <f>19.27+4.97</f>
        <v>24.24</v>
      </c>
      <c r="H9">
        <f t="shared" si="0"/>
        <v>461.4687576</v>
      </c>
    </row>
    <row r="10" spans="1:8" x14ac:dyDescent="0.3">
      <c r="A10" t="s">
        <v>16</v>
      </c>
      <c r="B10" t="s">
        <v>12</v>
      </c>
      <c r="C10" t="s">
        <v>14</v>
      </c>
      <c r="D10">
        <v>9</v>
      </c>
      <c r="E10">
        <v>22.288</v>
      </c>
      <c r="F10">
        <f t="shared" si="1"/>
        <v>390.13891414400007</v>
      </c>
      <c r="G10">
        <v>24.24</v>
      </c>
      <c r="H10">
        <f>279.84+103.31+79.075</f>
        <v>462.22499999999997</v>
      </c>
    </row>
    <row r="11" spans="1:8" x14ac:dyDescent="0.3">
      <c r="A11" t="s">
        <v>16</v>
      </c>
      <c r="B11" t="s">
        <v>12</v>
      </c>
      <c r="C11" t="s">
        <v>14</v>
      </c>
      <c r="D11">
        <v>10</v>
      </c>
      <c r="F11">
        <f t="shared" si="1"/>
        <v>0</v>
      </c>
      <c r="G11">
        <v>24</v>
      </c>
      <c r="H11">
        <f>260.038+148.033</f>
        <v>408.07100000000003</v>
      </c>
    </row>
    <row r="12" spans="1:8" x14ac:dyDescent="0.3">
      <c r="A12" t="s">
        <v>16</v>
      </c>
      <c r="B12" t="s">
        <v>12</v>
      </c>
      <c r="C12" t="s">
        <v>14</v>
      </c>
      <c r="D12">
        <v>11</v>
      </c>
      <c r="F12">
        <f t="shared" si="1"/>
        <v>0</v>
      </c>
      <c r="G12">
        <f>12.098+12.326</f>
        <v>24.423999999999999</v>
      </c>
      <c r="H12">
        <f>191.317+272.175+64.603</f>
        <v>528.09500000000003</v>
      </c>
    </row>
    <row r="13" spans="1:8" x14ac:dyDescent="0.3">
      <c r="A13" t="s">
        <v>16</v>
      </c>
      <c r="B13" t="s">
        <v>12</v>
      </c>
      <c r="C13" t="s">
        <v>14</v>
      </c>
      <c r="D13">
        <v>12</v>
      </c>
      <c r="F13">
        <f t="shared" si="1"/>
        <v>0</v>
      </c>
      <c r="G13">
        <f>12.098+12.326</f>
        <v>24.423999999999999</v>
      </c>
      <c r="H13">
        <f t="shared" si="0"/>
        <v>468.50114357599995</v>
      </c>
    </row>
    <row r="14" spans="1:8" x14ac:dyDescent="0.3">
      <c r="A14" t="s">
        <v>16</v>
      </c>
      <c r="B14" t="s">
        <v>12</v>
      </c>
      <c r="C14" t="s">
        <v>15</v>
      </c>
      <c r="D14">
        <v>1</v>
      </c>
      <c r="E14">
        <v>24.747</v>
      </c>
      <c r="F14">
        <f t="shared" si="1"/>
        <v>480.97465231837498</v>
      </c>
      <c r="G14">
        <f>18.223+8.227+5.785</f>
        <v>32.234999999999999</v>
      </c>
      <c r="H14">
        <f t="shared" si="0"/>
        <v>816.07941233437509</v>
      </c>
    </row>
    <row r="15" spans="1:8" x14ac:dyDescent="0.3">
      <c r="A15" t="s">
        <v>16</v>
      </c>
      <c r="B15" t="s">
        <v>12</v>
      </c>
      <c r="C15" t="s">
        <v>15</v>
      </c>
      <c r="D15">
        <v>2</v>
      </c>
      <c r="E15">
        <f>17.655+17.639</f>
        <v>35.293999999999997</v>
      </c>
      <c r="F15">
        <f t="shared" si="1"/>
        <v>978.31527717349991</v>
      </c>
      <c r="G15">
        <f>18.398+2.187</f>
        <v>20.585000000000001</v>
      </c>
      <c r="H15">
        <f t="shared" si="0"/>
        <v>332.79654995937506</v>
      </c>
    </row>
    <row r="16" spans="1:8" x14ac:dyDescent="0.3">
      <c r="A16" t="s">
        <v>17</v>
      </c>
      <c r="B16" t="s">
        <v>12</v>
      </c>
      <c r="C16" t="s">
        <v>15</v>
      </c>
      <c r="D16">
        <v>3</v>
      </c>
      <c r="E16">
        <f>17.94+7.883</f>
        <v>25.823</v>
      </c>
      <c r="F16">
        <f t="shared" si="1"/>
        <v>523.7095135133751</v>
      </c>
      <c r="G16">
        <f>17.266+2.732+6.178</f>
        <v>26.175999999999998</v>
      </c>
      <c r="H16">
        <f t="shared" si="0"/>
        <v>538.125579776</v>
      </c>
    </row>
    <row r="17" spans="1:8" x14ac:dyDescent="0.3">
      <c r="A17" t="s">
        <v>16</v>
      </c>
      <c r="B17" t="s">
        <v>12</v>
      </c>
      <c r="C17" t="s">
        <v>15</v>
      </c>
      <c r="D17">
        <v>4</v>
      </c>
      <c r="E17">
        <f>16.728+8.015</f>
        <v>24.743000000000002</v>
      </c>
      <c r="F17">
        <f t="shared" si="1"/>
        <v>480.81917948337514</v>
      </c>
      <c r="G17">
        <v>18.905999999999999</v>
      </c>
      <c r="H17">
        <f t="shared" si="0"/>
        <v>280.7219550735</v>
      </c>
    </row>
    <row r="18" spans="1:8" x14ac:dyDescent="0.3">
      <c r="A18" t="s">
        <v>16</v>
      </c>
      <c r="B18" t="s">
        <v>12</v>
      </c>
      <c r="C18" t="s">
        <v>15</v>
      </c>
      <c r="D18">
        <v>5</v>
      </c>
      <c r="E18">
        <f>20.041+3.818</f>
        <v>23.859000000000002</v>
      </c>
      <c r="F18">
        <f>((E18/2)^2)*3.1415</f>
        <v>447.07619604037512</v>
      </c>
      <c r="G18">
        <f>19.719+6.762</f>
        <v>26.481000000000002</v>
      </c>
      <c r="H18">
        <f t="shared" si="0"/>
        <v>550.73900464537508</v>
      </c>
    </row>
    <row r="19" spans="1:8" x14ac:dyDescent="0.3">
      <c r="A19" t="s">
        <v>16</v>
      </c>
      <c r="B19" t="s">
        <v>12</v>
      </c>
      <c r="C19" t="s">
        <v>15</v>
      </c>
      <c r="D19">
        <v>6</v>
      </c>
      <c r="E19">
        <f>16.132+4.433</f>
        <v>20.565000000000001</v>
      </c>
      <c r="F19">
        <f>((E19/2)^2)*3.1415</f>
        <v>332.15018633437506</v>
      </c>
      <c r="G19">
        <v>21.145</v>
      </c>
      <c r="H19">
        <f t="shared" si="0"/>
        <v>351.14982125937502</v>
      </c>
    </row>
    <row r="20" spans="1:8" x14ac:dyDescent="0.3">
      <c r="A20" t="s">
        <v>16</v>
      </c>
      <c r="B20" t="s">
        <v>12</v>
      </c>
      <c r="C20" t="s">
        <v>15</v>
      </c>
      <c r="D20">
        <v>7</v>
      </c>
      <c r="E20">
        <v>23.384</v>
      </c>
      <c r="F20">
        <f t="shared" si="1"/>
        <v>429.45204725600001</v>
      </c>
      <c r="G20">
        <v>17.5</v>
      </c>
      <c r="H20">
        <f>155.4915+89.293</f>
        <v>244.78450000000001</v>
      </c>
    </row>
    <row r="21" spans="1:8" x14ac:dyDescent="0.3">
      <c r="A21" t="s">
        <v>17</v>
      </c>
      <c r="B21" t="s">
        <v>12</v>
      </c>
      <c r="C21" t="s">
        <v>15</v>
      </c>
      <c r="D21">
        <v>8</v>
      </c>
      <c r="E21">
        <f>17.692+11.649</f>
        <v>29.341000000000001</v>
      </c>
      <c r="F21">
        <f t="shared" si="1"/>
        <v>676.12484594037517</v>
      </c>
      <c r="G21">
        <v>19.808</v>
      </c>
      <c r="H21">
        <f t="shared" si="0"/>
        <v>308.14727206399999</v>
      </c>
    </row>
    <row r="22" spans="1:8" x14ac:dyDescent="0.3">
      <c r="A22" t="s">
        <v>16</v>
      </c>
      <c r="B22" t="s">
        <v>12</v>
      </c>
      <c r="C22" t="s">
        <v>15</v>
      </c>
      <c r="D22">
        <v>9</v>
      </c>
      <c r="E22">
        <f>17.236+6.881</f>
        <v>24.117000000000001</v>
      </c>
      <c r="F22">
        <f t="shared" si="1"/>
        <v>456.79741699837513</v>
      </c>
      <c r="G22">
        <v>17.5</v>
      </c>
      <c r="H22">
        <v>245.73699999999999</v>
      </c>
    </row>
    <row r="23" spans="1:8" x14ac:dyDescent="0.3">
      <c r="A23" t="s">
        <v>16</v>
      </c>
      <c r="B23" t="s">
        <v>12</v>
      </c>
      <c r="C23" t="s">
        <v>15</v>
      </c>
      <c r="D23">
        <v>10</v>
      </c>
      <c r="E23">
        <f>17.958+14.513</f>
        <v>32.470999999999997</v>
      </c>
      <c r="F23">
        <f t="shared" si="1"/>
        <v>828.07257237537488</v>
      </c>
      <c r="G23">
        <v>23.103999999999999</v>
      </c>
      <c r="H23">
        <f t="shared" si="0"/>
        <v>419.22910361599997</v>
      </c>
    </row>
    <row r="24" spans="1:8" x14ac:dyDescent="0.3">
      <c r="A24" t="s">
        <v>16</v>
      </c>
      <c r="B24" t="s">
        <v>12</v>
      </c>
      <c r="C24" t="s">
        <v>15</v>
      </c>
      <c r="D24">
        <v>11</v>
      </c>
      <c r="E24">
        <v>24.87</v>
      </c>
      <c r="F24">
        <f t="shared" si="1"/>
        <v>485.76771033750009</v>
      </c>
      <c r="G24">
        <f>23.718+3.94</f>
        <v>27.658000000000001</v>
      </c>
      <c r="H24">
        <f t="shared" si="0"/>
        <v>600.78435860150012</v>
      </c>
    </row>
    <row r="25" spans="1:8" x14ac:dyDescent="0.3">
      <c r="A25" t="s">
        <v>16</v>
      </c>
      <c r="B25" t="s">
        <v>12</v>
      </c>
      <c r="C25" t="s">
        <v>15</v>
      </c>
      <c r="D25">
        <v>12</v>
      </c>
      <c r="E25">
        <f>27.255+5.994</f>
        <v>33.248999999999995</v>
      </c>
      <c r="F25">
        <f t="shared" si="1"/>
        <v>868.22892178537484</v>
      </c>
      <c r="G25">
        <f>4.124+12.896+9.729</f>
        <v>26.748999999999999</v>
      </c>
      <c r="H25">
        <f t="shared" si="0"/>
        <v>561.94288166037495</v>
      </c>
    </row>
    <row r="26" spans="1:8" x14ac:dyDescent="0.3">
      <c r="A26" t="s">
        <v>16</v>
      </c>
      <c r="B26" t="s">
        <v>13</v>
      </c>
      <c r="C26" t="s">
        <v>14</v>
      </c>
      <c r="D26">
        <v>1</v>
      </c>
      <c r="E26">
        <v>23.181999999999999</v>
      </c>
      <c r="F26">
        <f t="shared" si="1"/>
        <v>422.06454926149996</v>
      </c>
      <c r="G26">
        <v>15.9</v>
      </c>
      <c r="H26">
        <f t="shared" si="0"/>
        <v>198.55065375000001</v>
      </c>
    </row>
    <row r="27" spans="1:8" x14ac:dyDescent="0.3">
      <c r="A27" t="s">
        <v>16</v>
      </c>
      <c r="B27" t="s">
        <v>13</v>
      </c>
      <c r="C27" t="s">
        <v>14</v>
      </c>
      <c r="D27">
        <v>2</v>
      </c>
      <c r="E27">
        <v>19.251999999999999</v>
      </c>
      <c r="F27">
        <f t="shared" si="1"/>
        <v>291.09100045399998</v>
      </c>
      <c r="H27">
        <f t="shared" si="0"/>
        <v>0</v>
      </c>
    </row>
    <row r="28" spans="1:8" x14ac:dyDescent="0.3">
      <c r="A28" t="s">
        <v>17</v>
      </c>
      <c r="B28" t="s">
        <v>13</v>
      </c>
      <c r="C28" t="s">
        <v>14</v>
      </c>
      <c r="D28">
        <v>3</v>
      </c>
      <c r="E28">
        <v>17.596</v>
      </c>
      <c r="F28">
        <f t="shared" si="1"/>
        <v>243.167191766</v>
      </c>
      <c r="G28">
        <v>18.794</v>
      </c>
      <c r="H28">
        <f t="shared" si="0"/>
        <v>277.40578767350001</v>
      </c>
    </row>
    <row r="29" spans="1:8" x14ac:dyDescent="0.3">
      <c r="A29" t="s">
        <v>16</v>
      </c>
      <c r="B29" t="s">
        <v>13</v>
      </c>
      <c r="C29" t="s">
        <v>14</v>
      </c>
      <c r="D29">
        <v>4</v>
      </c>
      <c r="E29">
        <f>17.373+14.939</f>
        <v>32.311999999999998</v>
      </c>
      <c r="F29">
        <f t="shared" si="1"/>
        <v>819.98281954399999</v>
      </c>
    </row>
    <row r="30" spans="1:8" x14ac:dyDescent="0.3">
      <c r="A30" t="s">
        <v>16</v>
      </c>
      <c r="B30" t="s">
        <v>13</v>
      </c>
      <c r="C30" t="s">
        <v>14</v>
      </c>
      <c r="D30">
        <v>5</v>
      </c>
      <c r="E30">
        <v>14.992000000000001</v>
      </c>
      <c r="F30">
        <f t="shared" si="1"/>
        <v>176.52093526400003</v>
      </c>
      <c r="G30">
        <f>18.966+18.986</f>
        <v>37.951999999999998</v>
      </c>
      <c r="H30">
        <f>((G30/2)^2)*3.1415</f>
        <v>1131.2182615040001</v>
      </c>
    </row>
    <row r="31" spans="1:8" x14ac:dyDescent="0.3">
      <c r="A31" t="s">
        <v>16</v>
      </c>
      <c r="B31" t="s">
        <v>13</v>
      </c>
      <c r="C31" t="s">
        <v>14</v>
      </c>
      <c r="D31">
        <v>6</v>
      </c>
      <c r="E31">
        <f>25.139+6.357</f>
        <v>31.495999999999999</v>
      </c>
      <c r="F31">
        <f t="shared" si="1"/>
        <v>779.09044181599995</v>
      </c>
      <c r="H31">
        <f>275.705+140.352</f>
        <v>416.05700000000002</v>
      </c>
    </row>
    <row r="32" spans="1:8" x14ac:dyDescent="0.3">
      <c r="A32" t="s">
        <v>16</v>
      </c>
      <c r="B32" t="s">
        <v>13</v>
      </c>
      <c r="C32" t="s">
        <v>14</v>
      </c>
      <c r="D32">
        <v>7</v>
      </c>
      <c r="E32">
        <v>13.455</v>
      </c>
      <c r="F32">
        <f t="shared" si="1"/>
        <v>142.18195350937501</v>
      </c>
      <c r="H32">
        <f>221.62+228.324+351.407+198.964</f>
        <v>1000.3150000000001</v>
      </c>
    </row>
    <row r="33" spans="1:8" x14ac:dyDescent="0.3">
      <c r="A33" t="s">
        <v>17</v>
      </c>
      <c r="B33" t="s">
        <v>13</v>
      </c>
      <c r="C33" t="s">
        <v>14</v>
      </c>
      <c r="D33">
        <v>8</v>
      </c>
      <c r="E33">
        <v>20.23</v>
      </c>
      <c r="F33">
        <f t="shared" si="1"/>
        <v>321.41699633750005</v>
      </c>
      <c r="G33">
        <v>14.832000000000001</v>
      </c>
      <c r="H33">
        <f t="shared" si="0"/>
        <v>172.77325142400002</v>
      </c>
    </row>
    <row r="34" spans="1:8" x14ac:dyDescent="0.3">
      <c r="A34" t="s">
        <v>16</v>
      </c>
      <c r="B34" t="s">
        <v>13</v>
      </c>
      <c r="C34" t="s">
        <v>14</v>
      </c>
      <c r="D34">
        <v>9</v>
      </c>
      <c r="E34">
        <v>24.350999999999999</v>
      </c>
      <c r="F34">
        <f t="shared" si="1"/>
        <v>465.70475698537501</v>
      </c>
      <c r="G34">
        <v>17.29</v>
      </c>
      <c r="H34">
        <f t="shared" si="0"/>
        <v>234.7832225375</v>
      </c>
    </row>
    <row r="35" spans="1:8" x14ac:dyDescent="0.3">
      <c r="A35" t="s">
        <v>16</v>
      </c>
      <c r="B35" t="s">
        <v>13</v>
      </c>
      <c r="C35" t="s">
        <v>14</v>
      </c>
      <c r="D35">
        <v>10</v>
      </c>
      <c r="E35">
        <f>17.724+23.79</f>
        <v>41.513999999999996</v>
      </c>
      <c r="F35">
        <f t="shared" si="1"/>
        <v>1353.5248534334996</v>
      </c>
      <c r="G35">
        <v>17.312000000000001</v>
      </c>
      <c r="H35">
        <f t="shared" si="0"/>
        <v>235.38108454400003</v>
      </c>
    </row>
    <row r="36" spans="1:8" x14ac:dyDescent="0.3">
      <c r="A36" t="s">
        <v>16</v>
      </c>
      <c r="B36" t="s">
        <v>13</v>
      </c>
      <c r="C36" t="s">
        <v>14</v>
      </c>
      <c r="D36">
        <v>11</v>
      </c>
      <c r="E36">
        <f>18.53+14.396+2.966</f>
        <v>35.892000000000003</v>
      </c>
      <c r="F36">
        <f t="shared" si="1"/>
        <v>1011.7480846140003</v>
      </c>
      <c r="G36">
        <f>22.898+5.024</f>
        <v>27.922000000000001</v>
      </c>
      <c r="H36">
        <f t="shared" si="0"/>
        <v>612.30826022150006</v>
      </c>
    </row>
    <row r="37" spans="1:8" x14ac:dyDescent="0.3">
      <c r="A37" t="s">
        <v>16</v>
      </c>
      <c r="B37" t="s">
        <v>13</v>
      </c>
      <c r="C37" t="s">
        <v>14</v>
      </c>
      <c r="D37">
        <v>12</v>
      </c>
      <c r="F37">
        <f t="shared" si="1"/>
        <v>0</v>
      </c>
      <c r="H37">
        <f>201.071+169.199</f>
        <v>370.27</v>
      </c>
    </row>
    <row r="38" spans="1:8" x14ac:dyDescent="0.3">
      <c r="A38" t="s">
        <v>16</v>
      </c>
      <c r="B38" t="s">
        <v>13</v>
      </c>
      <c r="C38" t="s">
        <v>15</v>
      </c>
      <c r="D38">
        <v>1</v>
      </c>
      <c r="E38">
        <v>18.43</v>
      </c>
      <c r="F38">
        <f t="shared" si="1"/>
        <v>266.76432083750001</v>
      </c>
      <c r="G38">
        <v>17.5</v>
      </c>
      <c r="H38">
        <f t="shared" si="0"/>
        <v>240.52109375000001</v>
      </c>
    </row>
    <row r="39" spans="1:8" x14ac:dyDescent="0.3">
      <c r="A39" t="s">
        <v>16</v>
      </c>
      <c r="B39" t="s">
        <v>13</v>
      </c>
      <c r="C39" t="s">
        <v>15</v>
      </c>
      <c r="D39">
        <v>2</v>
      </c>
      <c r="E39">
        <f>17.348+5.374</f>
        <v>22.721999999999998</v>
      </c>
      <c r="F39">
        <f t="shared" si="1"/>
        <v>405.4806964215</v>
      </c>
      <c r="G39">
        <v>24.167000000000002</v>
      </c>
      <c r="H39">
        <v>393.68400000000003</v>
      </c>
    </row>
    <row r="40" spans="1:8" x14ac:dyDescent="0.3">
      <c r="A40" t="s">
        <v>17</v>
      </c>
      <c r="B40" t="s">
        <v>13</v>
      </c>
      <c r="C40" t="s">
        <v>15</v>
      </c>
      <c r="D40">
        <v>3</v>
      </c>
      <c r="E40">
        <v>19.943000000000001</v>
      </c>
      <c r="F40">
        <f t="shared" si="1"/>
        <v>312.36189668337505</v>
      </c>
      <c r="H40">
        <f t="shared" si="0"/>
        <v>0</v>
      </c>
    </row>
    <row r="41" spans="1:8" x14ac:dyDescent="0.3">
      <c r="A41" t="s">
        <v>16</v>
      </c>
      <c r="B41" t="s">
        <v>13</v>
      </c>
      <c r="C41" t="s">
        <v>15</v>
      </c>
      <c r="D41">
        <v>4</v>
      </c>
      <c r="E41">
        <v>24.004000000000001</v>
      </c>
      <c r="F41">
        <f t="shared" si="1"/>
        <v>452.52680456600007</v>
      </c>
      <c r="H41">
        <f t="shared" si="0"/>
        <v>0</v>
      </c>
    </row>
    <row r="42" spans="1:8" x14ac:dyDescent="0.3">
      <c r="A42" t="s">
        <v>17</v>
      </c>
      <c r="B42" t="s">
        <v>13</v>
      </c>
      <c r="C42" t="s">
        <v>15</v>
      </c>
      <c r="D42">
        <v>5</v>
      </c>
      <c r="E42">
        <f>19.904+5.124</f>
        <v>25.027999999999999</v>
      </c>
      <c r="F42">
        <f t="shared" si="1"/>
        <v>491.95951573399998</v>
      </c>
      <c r="G42">
        <v>14.603999999999999</v>
      </c>
      <c r="H42">
        <f t="shared" si="0"/>
        <v>167.50227936599998</v>
      </c>
    </row>
    <row r="43" spans="1:8" x14ac:dyDescent="0.3">
      <c r="A43" t="s">
        <v>16</v>
      </c>
      <c r="B43" t="s">
        <v>13</v>
      </c>
      <c r="C43" t="s">
        <v>15</v>
      </c>
      <c r="D43">
        <v>6</v>
      </c>
      <c r="E43">
        <f>27.535+7.942</f>
        <v>35.477000000000004</v>
      </c>
      <c r="F43">
        <f t="shared" si="1"/>
        <v>988.48674183837534</v>
      </c>
      <c r="G43">
        <v>13.397</v>
      </c>
      <c r="H43">
        <f t="shared" si="0"/>
        <v>140.95879791837501</v>
      </c>
    </row>
    <row r="44" spans="1:8" x14ac:dyDescent="0.3">
      <c r="A44" t="s">
        <v>16</v>
      </c>
      <c r="B44" t="s">
        <v>13</v>
      </c>
      <c r="C44" t="s">
        <v>15</v>
      </c>
      <c r="D44">
        <v>7</v>
      </c>
      <c r="E44">
        <f>17.689+11.579</f>
        <v>29.268000000000001</v>
      </c>
      <c r="F44">
        <f t="shared" si="1"/>
        <v>672.76465277400007</v>
      </c>
      <c r="G44">
        <v>15.866</v>
      </c>
      <c r="H44">
        <f>113.733+253.386</f>
        <v>367.11900000000003</v>
      </c>
    </row>
    <row r="45" spans="1:8" x14ac:dyDescent="0.3">
      <c r="A45" t="s">
        <v>16</v>
      </c>
      <c r="B45" t="s">
        <v>13</v>
      </c>
      <c r="C45" t="s">
        <v>15</v>
      </c>
      <c r="D45">
        <v>8</v>
      </c>
      <c r="E45">
        <f>17.96+13.348+3.97</f>
        <v>35.277999999999999</v>
      </c>
      <c r="F45">
        <f t="shared" si="1"/>
        <v>977.42846942150004</v>
      </c>
      <c r="G45">
        <v>18.094000000000001</v>
      </c>
      <c r="H45">
        <f t="shared" si="0"/>
        <v>257.12614857350007</v>
      </c>
    </row>
    <row r="46" spans="1:8" x14ac:dyDescent="0.3">
      <c r="A46" t="s">
        <v>17</v>
      </c>
      <c r="B46" t="s">
        <v>13</v>
      </c>
      <c r="C46" t="s">
        <v>15</v>
      </c>
      <c r="D46">
        <v>9</v>
      </c>
      <c r="E46">
        <v>20.963000000000001</v>
      </c>
      <c r="F46">
        <f t="shared" si="1"/>
        <v>345.13097742837505</v>
      </c>
      <c r="G46">
        <v>16.024000000000001</v>
      </c>
      <c r="H46">
        <f t="shared" si="0"/>
        <v>201.65962037600005</v>
      </c>
    </row>
    <row r="47" spans="1:8" x14ac:dyDescent="0.3">
      <c r="A47" t="s">
        <v>16</v>
      </c>
      <c r="B47" t="s">
        <v>13</v>
      </c>
      <c r="C47" t="s">
        <v>15</v>
      </c>
      <c r="D47">
        <v>10</v>
      </c>
      <c r="E47">
        <f>17.268+13.331</f>
        <v>30.599</v>
      </c>
      <c r="F47">
        <f t="shared" si="1"/>
        <v>735.34567083537502</v>
      </c>
      <c r="G47">
        <v>16.966999999999999</v>
      </c>
      <c r="H47">
        <f t="shared" si="0"/>
        <v>226.09303952337498</v>
      </c>
    </row>
    <row r="48" spans="1:8" x14ac:dyDescent="0.3">
      <c r="A48" t="s">
        <v>17</v>
      </c>
      <c r="B48" t="s">
        <v>13</v>
      </c>
      <c r="C48" t="s">
        <v>15</v>
      </c>
      <c r="D48">
        <v>11</v>
      </c>
      <c r="E48">
        <f>18.245+16.332</f>
        <v>34.576999999999998</v>
      </c>
      <c r="F48">
        <f t="shared" si="1"/>
        <v>938.96994761337487</v>
      </c>
      <c r="G48">
        <v>18.695</v>
      </c>
      <c r="H48">
        <f t="shared" si="0"/>
        <v>274.49093825937507</v>
      </c>
    </row>
    <row r="49" spans="1:8" x14ac:dyDescent="0.3">
      <c r="A49" t="s">
        <v>16</v>
      </c>
      <c r="B49" t="s">
        <v>13</v>
      </c>
      <c r="C49" t="s">
        <v>15</v>
      </c>
      <c r="D49">
        <v>12</v>
      </c>
      <c r="E49">
        <v>24.68</v>
      </c>
      <c r="F49">
        <f t="shared" si="1"/>
        <v>478.3737974</v>
      </c>
      <c r="H49">
        <f t="shared" si="0"/>
        <v>0</v>
      </c>
    </row>
    <row r="50" spans="1:8" x14ac:dyDescent="0.3">
      <c r="A50" t="s">
        <v>18</v>
      </c>
      <c r="B50" t="s">
        <v>12</v>
      </c>
      <c r="C50" t="s">
        <v>14</v>
      </c>
      <c r="D50">
        <v>1</v>
      </c>
      <c r="E50">
        <v>23.635000000000002</v>
      </c>
      <c r="F50">
        <f t="shared" si="1"/>
        <v>438.72086158437509</v>
      </c>
      <c r="G50">
        <f>21.719+10.008</f>
        <v>31.727</v>
      </c>
      <c r="H50">
        <f t="shared" si="0"/>
        <v>790.56046121337499</v>
      </c>
    </row>
    <row r="51" spans="1:8" x14ac:dyDescent="0.3">
      <c r="A51" t="s">
        <v>18</v>
      </c>
      <c r="B51" t="s">
        <v>12</v>
      </c>
      <c r="C51" t="s">
        <v>14</v>
      </c>
      <c r="D51">
        <v>2</v>
      </c>
      <c r="E51">
        <v>21.088999999999999</v>
      </c>
      <c r="F51">
        <f t="shared" si="1"/>
        <v>349.29232770537499</v>
      </c>
      <c r="G51">
        <f>25.708+8.899</f>
        <v>34.606999999999999</v>
      </c>
      <c r="H51">
        <f t="shared" si="0"/>
        <v>940.60000913337501</v>
      </c>
    </row>
    <row r="52" spans="1:8" x14ac:dyDescent="0.3">
      <c r="A52" t="s">
        <v>18</v>
      </c>
      <c r="B52" t="s">
        <v>12</v>
      </c>
      <c r="C52" t="s">
        <v>14</v>
      </c>
      <c r="D52">
        <v>3</v>
      </c>
      <c r="E52">
        <v>29.124600000000001</v>
      </c>
      <c r="F52">
        <v>666.19</v>
      </c>
      <c r="G52">
        <f>17.583+14.206</f>
        <v>31.788999999999998</v>
      </c>
      <c r="H52">
        <f t="shared" si="0"/>
        <v>793.65326168037495</v>
      </c>
    </row>
    <row r="53" spans="1:8" x14ac:dyDescent="0.3">
      <c r="A53" t="s">
        <v>18</v>
      </c>
      <c r="B53" t="s">
        <v>12</v>
      </c>
      <c r="C53" t="s">
        <v>14</v>
      </c>
      <c r="D53">
        <v>4</v>
      </c>
      <c r="E53">
        <v>19.437000000000001</v>
      </c>
      <c r="F53">
        <f t="shared" si="1"/>
        <v>296.71229452837508</v>
      </c>
      <c r="G53">
        <f>18.039+6.461</f>
        <v>24.5</v>
      </c>
      <c r="H53">
        <f t="shared" si="0"/>
        <v>471.42134375000001</v>
      </c>
    </row>
    <row r="54" spans="1:8" x14ac:dyDescent="0.3">
      <c r="A54" t="s">
        <v>18</v>
      </c>
      <c r="B54" t="s">
        <v>12</v>
      </c>
      <c r="C54" t="s">
        <v>14</v>
      </c>
      <c r="D54">
        <v>5</v>
      </c>
      <c r="E54">
        <v>13.257999999999999</v>
      </c>
      <c r="F54">
        <f t="shared" si="1"/>
        <v>138.0489482015</v>
      </c>
      <c r="G54">
        <v>0</v>
      </c>
      <c r="H54">
        <f>((G56/2)^2)*3.1415</f>
        <v>361.99344362037505</v>
      </c>
    </row>
    <row r="55" spans="1:8" x14ac:dyDescent="0.3">
      <c r="A55" t="s">
        <v>18</v>
      </c>
      <c r="B55" t="s">
        <v>12</v>
      </c>
      <c r="C55" t="s">
        <v>14</v>
      </c>
      <c r="D55">
        <v>6</v>
      </c>
      <c r="E55">
        <v>14.843999999999999</v>
      </c>
      <c r="F55">
        <f t="shared" si="1"/>
        <v>173.05293288599998</v>
      </c>
      <c r="G55">
        <v>0</v>
      </c>
      <c r="H55">
        <f>((G57/2)^2)*3.1415</f>
        <v>145.89811011143374</v>
      </c>
    </row>
    <row r="56" spans="1:8" x14ac:dyDescent="0.3">
      <c r="A56" t="s">
        <v>18</v>
      </c>
      <c r="B56" t="s">
        <v>12</v>
      </c>
      <c r="C56" t="s">
        <v>14</v>
      </c>
      <c r="D56">
        <v>7</v>
      </c>
      <c r="E56">
        <v>13.311999999999999</v>
      </c>
      <c r="F56">
        <f t="shared" si="1"/>
        <v>139.175788544</v>
      </c>
      <c r="G56">
        <f>8.763+12.706</f>
        <v>21.469000000000001</v>
      </c>
      <c r="H56">
        <f>((G58/2)^2)*3.1415</f>
        <v>259.34777653400005</v>
      </c>
    </row>
    <row r="57" spans="1:8" x14ac:dyDescent="0.3">
      <c r="A57" t="s">
        <v>18</v>
      </c>
      <c r="B57" t="s">
        <v>12</v>
      </c>
      <c r="C57" t="s">
        <v>14</v>
      </c>
      <c r="D57">
        <v>8</v>
      </c>
      <c r="E57">
        <v>16.367999999999999</v>
      </c>
      <c r="F57">
        <f t="shared" si="1"/>
        <v>210.41093462399996</v>
      </c>
      <c r="G57">
        <f>6.9007+6.729</f>
        <v>13.6297</v>
      </c>
      <c r="H57">
        <f>((G59/2)^2)*3.1415</f>
        <v>492.1954203935</v>
      </c>
    </row>
    <row r="58" spans="1:8" x14ac:dyDescent="0.3">
      <c r="A58" t="s">
        <v>18</v>
      </c>
      <c r="B58" t="s">
        <v>12</v>
      </c>
      <c r="C58" t="s">
        <v>14</v>
      </c>
      <c r="D58">
        <v>9</v>
      </c>
      <c r="E58">
        <v>21.056000000000001</v>
      </c>
      <c r="F58">
        <f t="shared" si="1"/>
        <v>348.20003993600005</v>
      </c>
      <c r="G58">
        <v>18.172000000000001</v>
      </c>
      <c r="H58">
        <f>((G58/2)^2)*3.1415</f>
        <v>259.34777653400005</v>
      </c>
    </row>
    <row r="59" spans="1:8" x14ac:dyDescent="0.3">
      <c r="A59" t="s">
        <v>18</v>
      </c>
      <c r="B59" t="s">
        <v>12</v>
      </c>
      <c r="C59" t="s">
        <v>14</v>
      </c>
      <c r="D59">
        <v>10</v>
      </c>
      <c r="E59">
        <v>18.093</v>
      </c>
      <c r="F59">
        <f t="shared" si="1"/>
        <v>257.09772820837503</v>
      </c>
      <c r="G59">
        <f>16.296+8.738</f>
        <v>25.033999999999999</v>
      </c>
      <c r="H59">
        <f>((G59/2)^2)*3.1415</f>
        <v>492.1954203935</v>
      </c>
    </row>
    <row r="60" spans="1:8" x14ac:dyDescent="0.3">
      <c r="A60" t="s">
        <v>18</v>
      </c>
      <c r="B60" t="s">
        <v>12</v>
      </c>
      <c r="C60" t="s">
        <v>14</v>
      </c>
      <c r="D60">
        <v>11</v>
      </c>
      <c r="E60">
        <f>18.83+2.513</f>
        <v>21.342999999999996</v>
      </c>
      <c r="F60">
        <f t="shared" si="1"/>
        <v>357.75688583337489</v>
      </c>
      <c r="G60">
        <v>0</v>
      </c>
      <c r="H60">
        <f t="shared" si="0"/>
        <v>0</v>
      </c>
    </row>
    <row r="61" spans="1:8" x14ac:dyDescent="0.3">
      <c r="A61" t="s">
        <v>18</v>
      </c>
      <c r="B61" t="s">
        <v>12</v>
      </c>
      <c r="C61" t="s">
        <v>14</v>
      </c>
      <c r="D61">
        <v>12</v>
      </c>
      <c r="E61">
        <v>17.138000000000002</v>
      </c>
      <c r="F61">
        <f t="shared" si="1"/>
        <v>230.67331118150008</v>
      </c>
      <c r="G61">
        <v>0</v>
      </c>
      <c r="H61">
        <f t="shared" si="0"/>
        <v>0</v>
      </c>
    </row>
    <row r="62" spans="1:8" x14ac:dyDescent="0.3">
      <c r="A62" t="s">
        <v>18</v>
      </c>
      <c r="B62" t="s">
        <v>12</v>
      </c>
      <c r="C62" t="s">
        <v>15</v>
      </c>
      <c r="D62">
        <v>1</v>
      </c>
      <c r="E62">
        <f>17.233+4.139</f>
        <v>21.372</v>
      </c>
      <c r="F62">
        <f>((E62/2)^2)*3.1415</f>
        <v>358.729757334</v>
      </c>
      <c r="G62">
        <f>18.474+7.794</f>
        <v>26.268000000000001</v>
      </c>
      <c r="H62">
        <f t="shared" si="0"/>
        <v>541.914894774</v>
      </c>
    </row>
    <row r="63" spans="1:8" x14ac:dyDescent="0.3">
      <c r="A63" t="s">
        <v>18</v>
      </c>
      <c r="B63" t="s">
        <v>12</v>
      </c>
      <c r="C63" t="s">
        <v>15</v>
      </c>
      <c r="D63">
        <v>2</v>
      </c>
      <c r="E63">
        <f>17.094+17.538</f>
        <v>34.632000000000005</v>
      </c>
      <c r="F63">
        <f t="shared" ref="F63:F85" si="2">((E63/2)^2)*3.1415</f>
        <v>941.95947362400034</v>
      </c>
      <c r="G63">
        <f>20.123+5.42</f>
        <v>25.542999999999999</v>
      </c>
      <c r="H63">
        <f t="shared" si="0"/>
        <v>512.41387328337498</v>
      </c>
    </row>
    <row r="64" spans="1:8" x14ac:dyDescent="0.3">
      <c r="A64" t="s">
        <v>18</v>
      </c>
      <c r="B64" t="s">
        <v>12</v>
      </c>
      <c r="C64" t="s">
        <v>15</v>
      </c>
      <c r="D64">
        <v>3</v>
      </c>
      <c r="E64">
        <f>20.852+9.982</f>
        <v>30.834</v>
      </c>
      <c r="F64">
        <f>((E64/2)^2)*3.1415</f>
        <v>746.68393729349998</v>
      </c>
      <c r="G64">
        <f>17.671+14.663</f>
        <v>32.334000000000003</v>
      </c>
      <c r="H64">
        <f t="shared" si="0"/>
        <v>821.09978929350029</v>
      </c>
    </row>
    <row r="65" spans="1:8" x14ac:dyDescent="0.3">
      <c r="A65" t="s">
        <v>18</v>
      </c>
      <c r="B65" t="s">
        <v>12</v>
      </c>
      <c r="C65" t="s">
        <v>15</v>
      </c>
      <c r="D65">
        <v>4</v>
      </c>
      <c r="E65">
        <f>17.834+3.216</f>
        <v>21.05</v>
      </c>
      <c r="F65">
        <f t="shared" si="2"/>
        <v>348.00162593750002</v>
      </c>
      <c r="G65">
        <f>17.8+10.911</f>
        <v>28.710999999999999</v>
      </c>
      <c r="H65">
        <f t="shared" si="0"/>
        <v>647.401514555375</v>
      </c>
    </row>
    <row r="66" spans="1:8" x14ac:dyDescent="0.3">
      <c r="A66" t="s">
        <v>18</v>
      </c>
      <c r="B66" t="s">
        <v>12</v>
      </c>
      <c r="C66" t="s">
        <v>15</v>
      </c>
      <c r="D66">
        <v>5</v>
      </c>
      <c r="E66">
        <v>19.004999999999999</v>
      </c>
      <c r="F66">
        <f t="shared" si="2"/>
        <v>283.66961588437499</v>
      </c>
      <c r="G66">
        <f>18.283+14.246</f>
        <v>32.529000000000003</v>
      </c>
      <c r="H66">
        <f t="shared" si="0"/>
        <v>831.03343612537526</v>
      </c>
    </row>
    <row r="67" spans="1:8" x14ac:dyDescent="0.3">
      <c r="A67" t="s">
        <v>18</v>
      </c>
      <c r="B67" t="s">
        <v>12</v>
      </c>
      <c r="C67" t="s">
        <v>15</v>
      </c>
      <c r="D67">
        <v>6</v>
      </c>
      <c r="E67">
        <v>21.98</v>
      </c>
      <c r="F67">
        <f t="shared" si="2"/>
        <v>379.43068415000005</v>
      </c>
      <c r="G67">
        <v>21.212</v>
      </c>
      <c r="H67">
        <f t="shared" ref="H67:H85" si="3">((G67/2)^2)*3.1415</f>
        <v>353.37865189400003</v>
      </c>
    </row>
    <row r="68" spans="1:8" x14ac:dyDescent="0.3">
      <c r="A68" t="s">
        <v>18</v>
      </c>
      <c r="B68" t="s">
        <v>12</v>
      </c>
      <c r="C68" t="s">
        <v>15</v>
      </c>
      <c r="D68">
        <v>7</v>
      </c>
      <c r="E68">
        <v>24.288</v>
      </c>
      <c r="F68">
        <f t="shared" si="2"/>
        <v>463.29816614400011</v>
      </c>
      <c r="G68">
        <f>17.261+11.043</f>
        <v>28.303999999999998</v>
      </c>
      <c r="H68">
        <f t="shared" si="3"/>
        <v>629.17680521600005</v>
      </c>
    </row>
    <row r="69" spans="1:8" x14ac:dyDescent="0.3">
      <c r="A69" t="s">
        <v>18</v>
      </c>
      <c r="B69" t="s">
        <v>12</v>
      </c>
      <c r="C69" t="s">
        <v>15</v>
      </c>
      <c r="D69">
        <v>8</v>
      </c>
      <c r="E69">
        <v>17.692</v>
      </c>
      <c r="F69">
        <f t="shared" si="2"/>
        <v>245.82776581400003</v>
      </c>
      <c r="G69">
        <f>13.294+10.882</f>
        <v>24.176000000000002</v>
      </c>
      <c r="H69">
        <f t="shared" si="3"/>
        <v>459.03517577600013</v>
      </c>
    </row>
    <row r="70" spans="1:8" x14ac:dyDescent="0.3">
      <c r="A70" t="s">
        <v>18</v>
      </c>
      <c r="B70" t="s">
        <v>13</v>
      </c>
      <c r="C70" t="s">
        <v>14</v>
      </c>
      <c r="D70">
        <v>1</v>
      </c>
      <c r="E70">
        <v>22.33</v>
      </c>
      <c r="F70">
        <f t="shared" si="2"/>
        <v>391.61067233749998</v>
      </c>
      <c r="G70">
        <v>22.96</v>
      </c>
      <c r="H70">
        <f>350.988+159.314</f>
        <v>510.30200000000002</v>
      </c>
    </row>
    <row r="71" spans="1:8" x14ac:dyDescent="0.3">
      <c r="A71" t="s">
        <v>18</v>
      </c>
      <c r="B71" t="s">
        <v>13</v>
      </c>
      <c r="C71" t="s">
        <v>14</v>
      </c>
      <c r="D71">
        <v>2</v>
      </c>
      <c r="E71">
        <v>24.533000000000001</v>
      </c>
      <c r="F71">
        <f t="shared" si="2"/>
        <v>472.69215039837508</v>
      </c>
      <c r="G71">
        <f>24.502+7.775</f>
        <v>32.277000000000001</v>
      </c>
      <c r="H71">
        <f t="shared" si="3"/>
        <v>818.20738903837514</v>
      </c>
    </row>
    <row r="72" spans="1:8" x14ac:dyDescent="0.3">
      <c r="A72" t="s">
        <v>18</v>
      </c>
      <c r="B72" t="s">
        <v>13</v>
      </c>
      <c r="C72" t="s">
        <v>14</v>
      </c>
      <c r="D72">
        <v>3</v>
      </c>
      <c r="E72">
        <f>18.468+9.43</f>
        <v>27.898</v>
      </c>
      <c r="F72">
        <f t="shared" si="2"/>
        <v>611.25610904150005</v>
      </c>
      <c r="G72">
        <v>15.124000000000001</v>
      </c>
      <c r="H72">
        <f t="shared" si="3"/>
        <v>179.64304592600004</v>
      </c>
    </row>
    <row r="73" spans="1:8" x14ac:dyDescent="0.3">
      <c r="A73" t="s">
        <v>18</v>
      </c>
      <c r="B73" t="s">
        <v>13</v>
      </c>
      <c r="C73" t="s">
        <v>14</v>
      </c>
      <c r="D73">
        <v>4</v>
      </c>
      <c r="E73">
        <v>20.611000000000001</v>
      </c>
      <c r="F73">
        <f t="shared" si="2"/>
        <v>333.63776198037505</v>
      </c>
      <c r="G73">
        <v>13.045999999999999</v>
      </c>
      <c r="H73">
        <v>276.77100000000002</v>
      </c>
    </row>
    <row r="74" spans="1:8" x14ac:dyDescent="0.3">
      <c r="A74" t="s">
        <v>18</v>
      </c>
      <c r="B74" t="s">
        <v>13</v>
      </c>
      <c r="C74" t="s">
        <v>14</v>
      </c>
      <c r="D74">
        <v>5</v>
      </c>
      <c r="E74">
        <f>16.749+15.324</f>
        <v>32.073</v>
      </c>
      <c r="F74">
        <f t="shared" si="2"/>
        <v>807.89745726337514</v>
      </c>
      <c r="G74">
        <v>17.631</v>
      </c>
      <c r="H74">
        <f t="shared" si="3"/>
        <v>244.13551594537503</v>
      </c>
    </row>
    <row r="75" spans="1:8" x14ac:dyDescent="0.3">
      <c r="A75" t="s">
        <v>18</v>
      </c>
      <c r="B75" t="s">
        <v>13</v>
      </c>
      <c r="C75" t="s">
        <v>14</v>
      </c>
      <c r="D75">
        <v>6</v>
      </c>
      <c r="E75">
        <v>17.545999999999999</v>
      </c>
      <c r="F75">
        <f t="shared" si="2"/>
        <v>241.78720935349997</v>
      </c>
      <c r="G75">
        <v>12.478999999999999</v>
      </c>
      <c r="H75">
        <f t="shared" si="3"/>
        <v>122.30286822537499</v>
      </c>
    </row>
    <row r="76" spans="1:8" x14ac:dyDescent="0.3">
      <c r="A76" t="s">
        <v>18</v>
      </c>
      <c r="B76" t="s">
        <v>13</v>
      </c>
      <c r="C76" t="s">
        <v>14</v>
      </c>
      <c r="D76">
        <v>7</v>
      </c>
      <c r="E76">
        <f>18.107+4.932</f>
        <v>23.039000000000001</v>
      </c>
      <c r="F76">
        <f t="shared" si="2"/>
        <v>416.87353230537514</v>
      </c>
      <c r="G76">
        <v>17.254000000000001</v>
      </c>
      <c r="H76">
        <v>278.68</v>
      </c>
    </row>
    <row r="77" spans="1:8" x14ac:dyDescent="0.3">
      <c r="A77" t="s">
        <v>18</v>
      </c>
      <c r="B77" t="s">
        <v>13</v>
      </c>
      <c r="C77" t="s">
        <v>14</v>
      </c>
      <c r="D77">
        <v>8</v>
      </c>
      <c r="E77">
        <f>18.251+6.128</f>
        <v>24.379000000000001</v>
      </c>
      <c r="F77">
        <f t="shared" si="2"/>
        <v>466.77635405037506</v>
      </c>
      <c r="G77">
        <v>0</v>
      </c>
      <c r="H77">
        <f t="shared" si="3"/>
        <v>0</v>
      </c>
    </row>
    <row r="78" spans="1:8" x14ac:dyDescent="0.3">
      <c r="A78" t="s">
        <v>18</v>
      </c>
      <c r="B78" t="s">
        <v>13</v>
      </c>
      <c r="C78" t="s">
        <v>15</v>
      </c>
      <c r="D78">
        <v>1</v>
      </c>
      <c r="E78">
        <f>9.493+16.14+11.688</f>
        <v>37.321000000000005</v>
      </c>
      <c r="F78">
        <f t="shared" si="2"/>
        <v>1093.9150985753754</v>
      </c>
      <c r="G78">
        <f>18.48+5.917</f>
        <v>24.396999999999998</v>
      </c>
      <c r="H78">
        <f t="shared" si="3"/>
        <v>467.46588816837493</v>
      </c>
    </row>
    <row r="79" spans="1:8" x14ac:dyDescent="0.3">
      <c r="A79" t="s">
        <v>18</v>
      </c>
      <c r="B79" t="s">
        <v>13</v>
      </c>
      <c r="C79" t="s">
        <v>15</v>
      </c>
      <c r="D79">
        <v>2</v>
      </c>
      <c r="E79">
        <f>19.672+2.875</f>
        <v>22.547000000000001</v>
      </c>
      <c r="F79">
        <f t="shared" si="2"/>
        <v>399.25889676837505</v>
      </c>
      <c r="G79">
        <v>14.1</v>
      </c>
      <c r="H79">
        <f t="shared" si="3"/>
        <v>156.14040375000002</v>
      </c>
    </row>
    <row r="80" spans="1:8" x14ac:dyDescent="0.3">
      <c r="A80" t="s">
        <v>18</v>
      </c>
      <c r="B80" t="s">
        <v>13</v>
      </c>
      <c r="C80" t="s">
        <v>15</v>
      </c>
      <c r="D80">
        <v>3</v>
      </c>
      <c r="E80">
        <f>18.506+4.665</f>
        <v>23.170999999999999</v>
      </c>
      <c r="F80">
        <f t="shared" si="2"/>
        <v>421.66409990037499</v>
      </c>
      <c r="G80">
        <v>12.827</v>
      </c>
      <c r="H80">
        <f t="shared" si="3"/>
        <v>129.21926373837499</v>
      </c>
    </row>
    <row r="81" spans="1:8" x14ac:dyDescent="0.3">
      <c r="A81" t="s">
        <v>18</v>
      </c>
      <c r="B81" t="s">
        <v>13</v>
      </c>
      <c r="C81" t="s">
        <v>15</v>
      </c>
      <c r="D81">
        <v>4</v>
      </c>
      <c r="E81">
        <v>21.689</v>
      </c>
      <c r="F81">
        <f t="shared" si="2"/>
        <v>369.450390755375</v>
      </c>
      <c r="G81">
        <v>12.2</v>
      </c>
      <c r="H81">
        <f t="shared" si="3"/>
        <v>116.89521499999999</v>
      </c>
    </row>
    <row r="82" spans="1:8" x14ac:dyDescent="0.3">
      <c r="A82" t="s">
        <v>18</v>
      </c>
      <c r="B82" t="s">
        <v>13</v>
      </c>
      <c r="C82" t="s">
        <v>15</v>
      </c>
      <c r="D82">
        <v>5</v>
      </c>
      <c r="E82">
        <v>18.475000000000001</v>
      </c>
      <c r="F82">
        <f t="shared" si="2"/>
        <v>268.06861273437505</v>
      </c>
      <c r="G82">
        <v>19.625</v>
      </c>
      <c r="H82">
        <f t="shared" si="3"/>
        <v>302.47981835937503</v>
      </c>
    </row>
    <row r="83" spans="1:8" x14ac:dyDescent="0.3">
      <c r="A83" t="s">
        <v>18</v>
      </c>
      <c r="B83" t="s">
        <v>13</v>
      </c>
      <c r="C83" t="s">
        <v>15</v>
      </c>
      <c r="D83">
        <v>6</v>
      </c>
      <c r="E83">
        <v>25.399000000000001</v>
      </c>
      <c r="F83">
        <f t="shared" si="2"/>
        <v>506.65263873537509</v>
      </c>
      <c r="G83">
        <v>15.349</v>
      </c>
      <c r="H83">
        <f t="shared" si="3"/>
        <v>185.02791071037501</v>
      </c>
    </row>
    <row r="84" spans="1:8" x14ac:dyDescent="0.3">
      <c r="A84" t="s">
        <v>18</v>
      </c>
      <c r="B84" t="s">
        <v>13</v>
      </c>
      <c r="C84" t="s">
        <v>15</v>
      </c>
      <c r="D84">
        <v>7</v>
      </c>
      <c r="E84">
        <v>21.452999999999999</v>
      </c>
      <c r="F84">
        <f t="shared" si="2"/>
        <v>361.45408576837502</v>
      </c>
      <c r="G84">
        <v>18.606999999999999</v>
      </c>
      <c r="H84">
        <f t="shared" si="3"/>
        <v>271.91288513337497</v>
      </c>
    </row>
    <row r="85" spans="1:8" x14ac:dyDescent="0.3">
      <c r="A85" t="s">
        <v>18</v>
      </c>
      <c r="B85" t="s">
        <v>13</v>
      </c>
      <c r="C85" t="s">
        <v>15</v>
      </c>
      <c r="D85">
        <v>8</v>
      </c>
      <c r="E85">
        <v>25.931999999999999</v>
      </c>
      <c r="F85">
        <f t="shared" si="2"/>
        <v>528.14004557400006</v>
      </c>
      <c r="G85">
        <v>13.154999999999999</v>
      </c>
      <c r="H85">
        <f t="shared" si="3"/>
        <v>135.912304884375</v>
      </c>
    </row>
    <row r="91" spans="1:8" x14ac:dyDescent="0.3">
      <c r="A91" t="s">
        <v>38</v>
      </c>
      <c r="B91">
        <f>(15.24+17.375+21.79+2.492+14.38+17.857)/3</f>
        <v>29.711333333333332</v>
      </c>
      <c r="C91">
        <f t="shared" ref="C91:C92" si="4">(B91/2)^2*3.1415</f>
        <v>693.30024907705558</v>
      </c>
      <c r="D91">
        <f>16.991+6.234</f>
        <v>23.225000000000001</v>
      </c>
      <c r="E91">
        <f t="shared" ref="E91:E92" si="5">(D91/2)^2*3.1415</f>
        <v>423.63176585937509</v>
      </c>
    </row>
    <row r="92" spans="1:8" x14ac:dyDescent="0.3">
      <c r="A92" t="s">
        <v>38</v>
      </c>
      <c r="B92">
        <f>(11.124+16.869+16.878)/3</f>
        <v>14.957000000000001</v>
      </c>
      <c r="C92">
        <f t="shared" si="4"/>
        <v>175.69769340837505</v>
      </c>
      <c r="D92">
        <f>(24.609+13.478+13.619+23.02)/3</f>
        <v>24.908666666666665</v>
      </c>
      <c r="E92">
        <f t="shared" si="5"/>
        <v>487.27938059038888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5AE8-1CB2-4B87-8165-A7C71C51DE3A}">
  <dimension ref="A1:B19"/>
  <sheetViews>
    <sheetView workbookViewId="0">
      <selection activeCell="E7" sqref="E7"/>
    </sheetView>
  </sheetViews>
  <sheetFormatPr defaultRowHeight="14.4" x14ac:dyDescent="0.3"/>
  <cols>
    <col min="1" max="1" width="15.77734375" customWidth="1"/>
    <col min="2" max="2" width="16.109375" customWidth="1"/>
  </cols>
  <sheetData>
    <row r="1" spans="1:2" x14ac:dyDescent="0.3">
      <c r="A1" t="s">
        <v>32</v>
      </c>
      <c r="B1" t="s">
        <v>25</v>
      </c>
    </row>
    <row r="2" spans="1:2" x14ac:dyDescent="0.3">
      <c r="A2" t="s">
        <v>33</v>
      </c>
      <c r="B2">
        <f>Sheet1!R2</f>
        <v>7033.333333333333</v>
      </c>
    </row>
    <row r="3" spans="1:2" x14ac:dyDescent="0.3">
      <c r="A3" t="s">
        <v>33</v>
      </c>
      <c r="B3">
        <f>Sheet1!R3</f>
        <v>3578.8888888888891</v>
      </c>
    </row>
    <row r="4" spans="1:2" x14ac:dyDescent="0.3">
      <c r="A4" t="s">
        <v>33</v>
      </c>
      <c r="B4">
        <f>Sheet1!R4</f>
        <v>4045.5555555555557</v>
      </c>
    </row>
    <row r="5" spans="1:2" x14ac:dyDescent="0.3">
      <c r="A5" t="s">
        <v>33</v>
      </c>
      <c r="B5">
        <f>Sheet1!R5</f>
        <v>7083.3333333333321</v>
      </c>
    </row>
    <row r="6" spans="1:2" x14ac:dyDescent="0.3">
      <c r="A6" t="s">
        <v>33</v>
      </c>
      <c r="B6">
        <f>Sheet1!R6</f>
        <v>6656.2500000000009</v>
      </c>
    </row>
    <row r="7" spans="1:2" x14ac:dyDescent="0.3">
      <c r="A7" t="s">
        <v>34</v>
      </c>
      <c r="B7">
        <f>Sheet1!R7</f>
        <v>1824.4444444444446</v>
      </c>
    </row>
    <row r="8" spans="1:2" x14ac:dyDescent="0.3">
      <c r="A8" t="s">
        <v>34</v>
      </c>
      <c r="B8">
        <f>Sheet1!R8</f>
        <v>521.77777777777771</v>
      </c>
    </row>
    <row r="9" spans="1:2" x14ac:dyDescent="0.3">
      <c r="A9" t="s">
        <v>34</v>
      </c>
      <c r="B9">
        <f>Sheet1!R9</f>
        <v>1368.4444444444446</v>
      </c>
    </row>
    <row r="10" spans="1:2" x14ac:dyDescent="0.3">
      <c r="A10" t="s">
        <v>34</v>
      </c>
      <c r="B10">
        <f>Sheet1!R10</f>
        <v>6444.4444444444443</v>
      </c>
    </row>
    <row r="11" spans="1:2" x14ac:dyDescent="0.3">
      <c r="A11" t="s">
        <v>34</v>
      </c>
      <c r="B11">
        <f>Sheet1!R11</f>
        <v>3685.7142857142858</v>
      </c>
    </row>
    <row r="12" spans="1:2" x14ac:dyDescent="0.3">
      <c r="A12" t="s">
        <v>35</v>
      </c>
      <c r="B12">
        <f>Sheet1!R12</f>
        <v>6655.5555555555566</v>
      </c>
    </row>
    <row r="13" spans="1:2" x14ac:dyDescent="0.3">
      <c r="A13" t="s">
        <v>35</v>
      </c>
      <c r="B13">
        <f>Sheet1!R13</f>
        <v>5077.7777777777783</v>
      </c>
    </row>
    <row r="14" spans="1:2" x14ac:dyDescent="0.3">
      <c r="A14" t="s">
        <v>35</v>
      </c>
      <c r="B14">
        <f>Sheet1!R14</f>
        <v>5088.8888888888887</v>
      </c>
    </row>
    <row r="15" spans="1:2" x14ac:dyDescent="0.3">
      <c r="A15" t="s">
        <v>35</v>
      </c>
      <c r="B15">
        <f>Sheet1!R15</f>
        <v>3783.3333333333335</v>
      </c>
    </row>
    <row r="16" spans="1:2" x14ac:dyDescent="0.3">
      <c r="A16" t="s">
        <v>35</v>
      </c>
      <c r="B16">
        <f>Sheet1!R16</f>
        <v>3420.8333333333335</v>
      </c>
    </row>
    <row r="17" spans="1:2" x14ac:dyDescent="0.3">
      <c r="A17" t="s">
        <v>36</v>
      </c>
      <c r="B17">
        <f>Sheet1!R17</f>
        <v>3127.7777777777778</v>
      </c>
    </row>
    <row r="18" spans="1:2" x14ac:dyDescent="0.3">
      <c r="A18" t="s">
        <v>36</v>
      </c>
      <c r="B18">
        <f>Sheet1!R18</f>
        <v>3053.125</v>
      </c>
    </row>
    <row r="19" spans="1:2" x14ac:dyDescent="0.3">
      <c r="A19" t="s">
        <v>36</v>
      </c>
      <c r="B19">
        <f>Sheet1!R19</f>
        <v>3966.666666666667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DA3-9673-4E97-8627-0A61B98D065F}">
  <dimension ref="A1:E69"/>
  <sheetViews>
    <sheetView tabSelected="1" zoomScale="80" zoomScaleNormal="80" workbookViewId="0">
      <selection activeCell="C10" sqref="C10"/>
    </sheetView>
  </sheetViews>
  <sheetFormatPr defaultRowHeight="14.4" x14ac:dyDescent="0.3"/>
  <cols>
    <col min="1" max="1" width="15.77734375" customWidth="1"/>
    <col min="2" max="2" width="28.88671875" customWidth="1"/>
    <col min="3" max="3" width="27.33203125" customWidth="1"/>
    <col min="4" max="4" width="31.6640625" customWidth="1"/>
    <col min="5" max="5" width="26.6640625" customWidth="1"/>
  </cols>
  <sheetData>
    <row r="1" spans="1:5" x14ac:dyDescent="0.3">
      <c r="A1" t="s">
        <v>32</v>
      </c>
      <c r="B1" t="s">
        <v>41</v>
      </c>
      <c r="C1" t="s">
        <v>44</v>
      </c>
      <c r="D1" t="s">
        <v>42</v>
      </c>
      <c r="E1" t="s">
        <v>45</v>
      </c>
    </row>
    <row r="2" spans="1:5" x14ac:dyDescent="0.3">
      <c r="A2" t="s">
        <v>33</v>
      </c>
      <c r="B2">
        <f>(23.606+17.838+24.114)/3</f>
        <v>21.852666666666668</v>
      </c>
      <c r="C2">
        <f t="shared" ref="C2:C33" si="0">(B2/2)^2*3.1415</f>
        <v>375.0472238890556</v>
      </c>
      <c r="D2">
        <f>(24.496+20.296+12.96+17.805+22.745+24.726+6.202)/3</f>
        <v>43.076666666666675</v>
      </c>
      <c r="E2">
        <f t="shared" ref="E2:E33" si="1">(D2/2)^2*3.1415</f>
        <v>1457.3412304263895</v>
      </c>
    </row>
    <row r="3" spans="1:5" x14ac:dyDescent="0.3">
      <c r="A3" t="s">
        <v>33</v>
      </c>
      <c r="B3">
        <f>(16.879+16.61+17.576)/3</f>
        <v>17.021666666666668</v>
      </c>
      <c r="C3">
        <f t="shared" si="0"/>
        <v>227.55230327326396</v>
      </c>
      <c r="D3">
        <f>9.24+3.507+12.541</f>
        <v>25.288</v>
      </c>
      <c r="E3">
        <f t="shared" si="1"/>
        <v>502.23391714400003</v>
      </c>
    </row>
    <row r="4" spans="1:5" x14ac:dyDescent="0.3">
      <c r="A4" t="s">
        <v>33</v>
      </c>
      <c r="B4">
        <f>(21.528+16.984+17.252)/3</f>
        <v>18.587999999999997</v>
      </c>
      <c r="C4">
        <f t="shared" si="0"/>
        <v>271.35785669399996</v>
      </c>
      <c r="D4">
        <v>16.097000000000001</v>
      </c>
      <c r="E4">
        <f t="shared" si="1"/>
        <v>203.50119359337504</v>
      </c>
    </row>
    <row r="5" spans="1:5" x14ac:dyDescent="0.3">
      <c r="A5" t="s">
        <v>33</v>
      </c>
      <c r="B5">
        <f>(17.589+8.047+18.302+16.283+6.984)/3</f>
        <v>22.401666666666667</v>
      </c>
      <c r="C5">
        <f t="shared" si="0"/>
        <v>394.1284035149306</v>
      </c>
      <c r="D5">
        <f>18.925+9.369</f>
        <v>28.294</v>
      </c>
      <c r="E5">
        <f t="shared" si="1"/>
        <v>628.73229867350005</v>
      </c>
    </row>
    <row r="6" spans="1:5" x14ac:dyDescent="0.3">
      <c r="A6" t="s">
        <v>33</v>
      </c>
      <c r="B6">
        <f>(13.174+21.51+24.718+13.511+17.165)/3</f>
        <v>30.026</v>
      </c>
      <c r="C6">
        <f t="shared" si="0"/>
        <v>708.06321591350002</v>
      </c>
      <c r="D6">
        <f>17.681+17.34</f>
        <v>35.021000000000001</v>
      </c>
      <c r="E6">
        <f t="shared" si="1"/>
        <v>963.23922260037523</v>
      </c>
    </row>
    <row r="7" spans="1:5" x14ac:dyDescent="0.3">
      <c r="A7" t="s">
        <v>33</v>
      </c>
      <c r="B7">
        <v>15.192</v>
      </c>
      <c r="C7">
        <f t="shared" si="0"/>
        <v>181.26208706400001</v>
      </c>
      <c r="D7">
        <f>(16.878+15.809+19.868+12.423+7.104)/3</f>
        <v>24.027333333333331</v>
      </c>
      <c r="E7">
        <f t="shared" si="1"/>
        <v>453.40699876238881</v>
      </c>
    </row>
    <row r="8" spans="1:5" x14ac:dyDescent="0.3">
      <c r="A8" t="s">
        <v>33</v>
      </c>
      <c r="B8">
        <f>(20.273+6.07+24.143+3.988+17.874+9.044)/3</f>
        <v>27.130666666666666</v>
      </c>
      <c r="C8">
        <f t="shared" si="0"/>
        <v>578.09339031822219</v>
      </c>
      <c r="D8">
        <f>(16.751+13.213+12.155+16.886+11.466+2.421+21.506)/3</f>
        <v>31.465999999999998</v>
      </c>
      <c r="E8">
        <f t="shared" si="1"/>
        <v>777.60697839349996</v>
      </c>
    </row>
    <row r="9" spans="1:5" x14ac:dyDescent="0.3">
      <c r="A9" t="s">
        <v>33</v>
      </c>
      <c r="B9">
        <f>(16.236+10.543+21.434+6.7+24.226+4.887)/3</f>
        <v>28.00866666666667</v>
      </c>
      <c r="C9">
        <f t="shared" si="0"/>
        <v>616.1152276570557</v>
      </c>
      <c r="D9">
        <f>(21.379+21.865+8.705+14.675+4.985+18.372)/3</f>
        <v>29.993666666666666</v>
      </c>
      <c r="E9">
        <f t="shared" si="1"/>
        <v>706.53908900226384</v>
      </c>
    </row>
    <row r="10" spans="1:5" x14ac:dyDescent="0.3">
      <c r="A10" t="s">
        <v>33</v>
      </c>
      <c r="B10">
        <f>21.192</f>
        <v>21.192</v>
      </c>
      <c r="C10">
        <f t="shared" si="0"/>
        <v>352.71259106400004</v>
      </c>
      <c r="D10">
        <f>19.652+16.154</f>
        <v>35.805999999999997</v>
      </c>
      <c r="E10">
        <f t="shared" si="1"/>
        <v>1006.9054403734998</v>
      </c>
    </row>
    <row r="11" spans="1:5" x14ac:dyDescent="0.3">
      <c r="A11" t="s">
        <v>34</v>
      </c>
      <c r="B11">
        <f>(23.126+9.561+16.057)/3</f>
        <v>16.248000000000001</v>
      </c>
      <c r="C11">
        <f t="shared" si="0"/>
        <v>207.33703970400006</v>
      </c>
      <c r="D11">
        <f>(19.79+5.644+6.765+16.449+16.237+1.567+13.607+5.056)/3</f>
        <v>28.371666666666659</v>
      </c>
      <c r="E11">
        <f t="shared" si="1"/>
        <v>632.18876031493028</v>
      </c>
    </row>
    <row r="12" spans="1:5" x14ac:dyDescent="0.3">
      <c r="A12" t="s">
        <v>34</v>
      </c>
      <c r="B12">
        <f>(15.978+8.92+13.139)/3</f>
        <v>12.679</v>
      </c>
      <c r="C12">
        <f t="shared" si="0"/>
        <v>126.25456107537502</v>
      </c>
      <c r="D12">
        <f>(17.242+6.784+15.01)/3</f>
        <v>13.012</v>
      </c>
      <c r="E12">
        <f t="shared" si="1"/>
        <v>132.97352509400002</v>
      </c>
    </row>
    <row r="13" spans="1:5" x14ac:dyDescent="0.3">
      <c r="A13" t="s">
        <v>34</v>
      </c>
      <c r="B13">
        <f>(18.017+23.357+17.554+11.537+19.796+16.441)/3</f>
        <v>35.56733333333333</v>
      </c>
      <c r="C13">
        <f t="shared" si="0"/>
        <v>993.52702054905535</v>
      </c>
      <c r="D13">
        <f>(14.949+8.398+4.487+20.081+8.332+20.42+11.719+1.614)/3</f>
        <v>30</v>
      </c>
      <c r="E13">
        <f t="shared" si="1"/>
        <v>706.83750000000009</v>
      </c>
    </row>
    <row r="14" spans="1:5" x14ac:dyDescent="0.3">
      <c r="A14" t="s">
        <v>34</v>
      </c>
      <c r="B14">
        <f>(15.008+6.836+24.466+17.449+7.908)/3</f>
        <v>23.888999999999999</v>
      </c>
      <c r="C14">
        <f t="shared" si="0"/>
        <v>448.201198605375</v>
      </c>
      <c r="D14">
        <v>22.722999999999999</v>
      </c>
      <c r="E14">
        <f t="shared" si="1"/>
        <v>405.51638778837497</v>
      </c>
    </row>
    <row r="15" spans="1:5" x14ac:dyDescent="0.3">
      <c r="A15" t="s">
        <v>34</v>
      </c>
      <c r="B15">
        <f>(17.144+1.762+18.213+22.037)/3</f>
        <v>19.718666666666667</v>
      </c>
      <c r="C15">
        <f t="shared" si="0"/>
        <v>305.37407454288893</v>
      </c>
      <c r="D15">
        <f>14.484+15.957+6.9</f>
        <v>37.341000000000001</v>
      </c>
      <c r="E15">
        <f t="shared" si="1"/>
        <v>1095.087851940375</v>
      </c>
    </row>
    <row r="16" spans="1:5" x14ac:dyDescent="0.3">
      <c r="A16" t="s">
        <v>34</v>
      </c>
      <c r="B16">
        <f>(17.126+1.389+14.313+14.367+18.517+15.885)/3</f>
        <v>27.199000000000002</v>
      </c>
      <c r="C16">
        <f t="shared" si="0"/>
        <v>581.00911638537502</v>
      </c>
      <c r="D16">
        <v>19.922999999999998</v>
      </c>
      <c r="E16">
        <f t="shared" si="1"/>
        <v>311.73570148837496</v>
      </c>
    </row>
    <row r="17" spans="1:5" x14ac:dyDescent="0.3">
      <c r="A17" t="s">
        <v>34</v>
      </c>
      <c r="B17">
        <f>(16.77+22.591+18.22)/3</f>
        <v>19.193666666666669</v>
      </c>
      <c r="C17">
        <f t="shared" si="0"/>
        <v>289.329668302264</v>
      </c>
      <c r="D17">
        <f>(15.863+12.684+9.08+13.78+8.332)/3</f>
        <v>19.913</v>
      </c>
      <c r="E17">
        <f t="shared" si="1"/>
        <v>311.42283950337503</v>
      </c>
    </row>
    <row r="18" spans="1:5" x14ac:dyDescent="0.3">
      <c r="A18" t="s">
        <v>34</v>
      </c>
      <c r="B18">
        <f>(17.521+13.246+24.39+18.722+12.191)/3</f>
        <v>28.69</v>
      </c>
      <c r="C18">
        <f t="shared" si="0"/>
        <v>646.45480703750013</v>
      </c>
      <c r="D18">
        <f>(12.907+4.808+16.504+8.975+23.352+10.278)/3</f>
        <v>25.608000000000004</v>
      </c>
      <c r="E18">
        <f t="shared" si="1"/>
        <v>515.02509986400025</v>
      </c>
    </row>
    <row r="19" spans="1:5" x14ac:dyDescent="0.3">
      <c r="A19" t="s">
        <v>34</v>
      </c>
      <c r="B19">
        <f>(18.052+6.516+22.752+18.073+4.029)/3</f>
        <v>23.140666666666664</v>
      </c>
      <c r="C19">
        <f t="shared" si="0"/>
        <v>420.56081513572218</v>
      </c>
      <c r="D19">
        <v>16.806999999999999</v>
      </c>
      <c r="E19">
        <f t="shared" si="1"/>
        <v>221.84899868337499</v>
      </c>
    </row>
    <row r="20" spans="1:5" x14ac:dyDescent="0.3">
      <c r="A20" t="s">
        <v>34</v>
      </c>
      <c r="B20">
        <f>17.648+16.615</f>
        <v>34.262999999999998</v>
      </c>
      <c r="C20">
        <f t="shared" si="0"/>
        <v>921.99347010337499</v>
      </c>
      <c r="D20">
        <v>21.895</v>
      </c>
      <c r="E20">
        <f t="shared" si="1"/>
        <v>376.501726259375</v>
      </c>
    </row>
    <row r="21" spans="1:5" x14ac:dyDescent="0.3">
      <c r="A21" t="s">
        <v>34</v>
      </c>
      <c r="B21">
        <v>26.742999999999999</v>
      </c>
      <c r="C21">
        <f t="shared" si="0"/>
        <v>561.69081398337505</v>
      </c>
      <c r="D21">
        <f>23.559+5.141</f>
        <v>28.700000000000003</v>
      </c>
      <c r="E21">
        <f t="shared" si="1"/>
        <v>646.90553375000013</v>
      </c>
    </row>
    <row r="22" spans="1:5" x14ac:dyDescent="0.3">
      <c r="A22" t="s">
        <v>34</v>
      </c>
      <c r="B22">
        <f>26.287+9.88</f>
        <v>36.167000000000002</v>
      </c>
      <c r="C22">
        <f t="shared" si="0"/>
        <v>1027.3112523233751</v>
      </c>
      <c r="D22">
        <f>(15.157+16.563+12.106+4.95+13.103)/3</f>
        <v>20.626333333333335</v>
      </c>
      <c r="E22">
        <f t="shared" si="1"/>
        <v>334.13435913059726</v>
      </c>
    </row>
    <row r="23" spans="1:5" x14ac:dyDescent="0.3">
      <c r="A23" t="s">
        <v>35</v>
      </c>
      <c r="B23">
        <f>(19.299+18.016+20.633)/3</f>
        <v>19.315999999999999</v>
      </c>
      <c r="C23">
        <f t="shared" si="0"/>
        <v>293.02958240599997</v>
      </c>
      <c r="D23">
        <v>19.920000000000002</v>
      </c>
      <c r="E23">
        <f t="shared" si="1"/>
        <v>311.64182640000007</v>
      </c>
    </row>
    <row r="24" spans="1:5" x14ac:dyDescent="0.3">
      <c r="A24" t="s">
        <v>35</v>
      </c>
      <c r="B24">
        <f>(16.428+20.295)/2</f>
        <v>18.361499999999999</v>
      </c>
      <c r="C24">
        <f t="shared" si="0"/>
        <v>264.78500482209375</v>
      </c>
      <c r="D24">
        <v>17.916</v>
      </c>
      <c r="E24">
        <f t="shared" si="1"/>
        <v>252.09206760600003</v>
      </c>
    </row>
    <row r="25" spans="1:5" x14ac:dyDescent="0.3">
      <c r="A25" t="s">
        <v>35</v>
      </c>
      <c r="B25">
        <f>(14.669+17.487+13.532+17.2+24.283)/3</f>
        <v>29.057000000000002</v>
      </c>
      <c r="C25">
        <f t="shared" si="0"/>
        <v>663.09937643337514</v>
      </c>
      <c r="D25">
        <f>(16.948+17.66+19.187+19.596+23.856)/3</f>
        <v>32.415666666666674</v>
      </c>
      <c r="E25">
        <f t="shared" si="1"/>
        <v>825.25276546593091</v>
      </c>
    </row>
    <row r="26" spans="1:5" x14ac:dyDescent="0.3">
      <c r="A26" t="s">
        <v>35</v>
      </c>
      <c r="B26">
        <f>14.15</f>
        <v>14.15</v>
      </c>
      <c r="C26">
        <f t="shared" si="0"/>
        <v>157.24974593749999</v>
      </c>
      <c r="D26">
        <f>(17.984+4.985+17.735+18.312+4.703)/3</f>
        <v>21.239666666666668</v>
      </c>
      <c r="E26">
        <f t="shared" si="1"/>
        <v>354.30107177726393</v>
      </c>
    </row>
    <row r="27" spans="1:5" x14ac:dyDescent="0.3">
      <c r="A27" t="s">
        <v>35</v>
      </c>
      <c r="B27">
        <f>25.751+6.11</f>
        <v>31.861000000000001</v>
      </c>
      <c r="C27">
        <f t="shared" si="0"/>
        <v>797.25247823037512</v>
      </c>
      <c r="D27">
        <f>(10.469+11.465+19.183+6.565+4.237+9.008+11.608+9.829)/3</f>
        <v>27.454666666666668</v>
      </c>
      <c r="E27">
        <f t="shared" si="1"/>
        <v>591.98325611622226</v>
      </c>
    </row>
    <row r="28" spans="1:5" x14ac:dyDescent="0.3">
      <c r="A28" t="s">
        <v>35</v>
      </c>
      <c r="B28">
        <v>17.452000000000002</v>
      </c>
      <c r="C28">
        <f t="shared" si="0"/>
        <v>239.20347325400007</v>
      </c>
      <c r="D28">
        <v>14.486000000000001</v>
      </c>
      <c r="E28">
        <f t="shared" si="1"/>
        <v>164.80638543350003</v>
      </c>
    </row>
    <row r="29" spans="1:5" x14ac:dyDescent="0.3">
      <c r="A29" t="s">
        <v>35</v>
      </c>
      <c r="B29">
        <f>(15.89+20.293+19.369)/3</f>
        <v>18.517333333333333</v>
      </c>
      <c r="C29">
        <f t="shared" si="0"/>
        <v>269.29851687822224</v>
      </c>
      <c r="D29">
        <f>(18.574+20.529)/2</f>
        <v>19.551500000000001</v>
      </c>
      <c r="E29">
        <f t="shared" si="1"/>
        <v>300.21835244834375</v>
      </c>
    </row>
    <row r="30" spans="1:5" x14ac:dyDescent="0.3">
      <c r="A30" t="s">
        <v>35</v>
      </c>
      <c r="B30">
        <v>20.823</v>
      </c>
      <c r="C30">
        <f t="shared" si="0"/>
        <v>340.53650226337504</v>
      </c>
      <c r="D30">
        <v>15.864000000000001</v>
      </c>
      <c r="E30">
        <f t="shared" si="1"/>
        <v>197.65257429600004</v>
      </c>
    </row>
    <row r="31" spans="1:5" x14ac:dyDescent="0.3">
      <c r="A31" t="s">
        <v>35</v>
      </c>
      <c r="B31">
        <f>(15.884+22.79+21.77+8.835+8.69)/3</f>
        <v>25.989666666666665</v>
      </c>
      <c r="C31">
        <f t="shared" si="0"/>
        <v>530.49157569393049</v>
      </c>
      <c r="D31">
        <v>27.587</v>
      </c>
      <c r="E31">
        <f t="shared" si="1"/>
        <v>597.70380762837499</v>
      </c>
    </row>
    <row r="32" spans="1:5" x14ac:dyDescent="0.3">
      <c r="A32" t="s">
        <v>35</v>
      </c>
      <c r="B32">
        <f>18.421+17.837+2.542</f>
        <v>38.799999999999997</v>
      </c>
      <c r="C32">
        <f t="shared" si="0"/>
        <v>1182.33494</v>
      </c>
      <c r="D32">
        <f>(16.094+10.759+15.954+15.538+17.309)/3</f>
        <v>25.218</v>
      </c>
      <c r="E32">
        <f t="shared" si="1"/>
        <v>499.45728666150006</v>
      </c>
    </row>
    <row r="33" spans="1:5" x14ac:dyDescent="0.3">
      <c r="A33" t="s">
        <v>36</v>
      </c>
      <c r="B33">
        <f>(17.162+21.864+21.552)/3</f>
        <v>20.192666666666664</v>
      </c>
      <c r="C33">
        <f t="shared" si="0"/>
        <v>320.23177680238882</v>
      </c>
      <c r="D33">
        <v>19.821000000000002</v>
      </c>
      <c r="E33">
        <f t="shared" si="1"/>
        <v>308.55187920037508</v>
      </c>
    </row>
    <row r="34" spans="1:5" x14ac:dyDescent="0.3">
      <c r="A34" t="s">
        <v>36</v>
      </c>
      <c r="B34">
        <f>(16.592+5.127+21.79+17.667+4.009)/3</f>
        <v>21.728333333333335</v>
      </c>
      <c r="C34">
        <f t="shared" ref="C34:C52" si="2">(B34/2)^2*3.1415</f>
        <v>370.79161368993067</v>
      </c>
      <c r="D34">
        <f>(23.145+17.02+27.309)/3</f>
        <v>22.491333333333333</v>
      </c>
      <c r="E34">
        <f t="shared" ref="E34:E52" si="3">(D34/2)^2*3.1415</f>
        <v>397.2898564903889</v>
      </c>
    </row>
    <row r="35" spans="1:5" x14ac:dyDescent="0.3">
      <c r="A35" t="s">
        <v>36</v>
      </c>
      <c r="B35">
        <f>(15.668+3.917+22.432+21.179+2.836)/3</f>
        <v>22.010666666666665</v>
      </c>
      <c r="C35">
        <f t="shared" si="2"/>
        <v>380.49019202488887</v>
      </c>
      <c r="D35">
        <f>20.438</f>
        <v>20.437999999999999</v>
      </c>
      <c r="E35">
        <f t="shared" si="3"/>
        <v>328.06043948149994</v>
      </c>
    </row>
    <row r="36" spans="1:5" x14ac:dyDescent="0.3">
      <c r="A36" t="s">
        <v>36</v>
      </c>
      <c r="B36">
        <f>(21.296+11.038+13.316+25.757+7.171)/3</f>
        <v>26.192666666666671</v>
      </c>
      <c r="C36">
        <f t="shared" si="2"/>
        <v>538.81106380238919</v>
      </c>
      <c r="D36">
        <f>21.518</f>
        <v>21.518000000000001</v>
      </c>
      <c r="E36">
        <f t="shared" si="3"/>
        <v>363.64772846150004</v>
      </c>
    </row>
    <row r="37" spans="1:5" x14ac:dyDescent="0.3">
      <c r="A37" t="s">
        <v>36</v>
      </c>
      <c r="B37">
        <f>(23.571+2.706+17.019+11.967+17.012+10.557)/3</f>
        <v>27.61066666666667</v>
      </c>
      <c r="C37">
        <f t="shared" si="2"/>
        <v>598.72977815822242</v>
      </c>
      <c r="D37">
        <f>(16.667+14.418+14.391+1.567+3.667+13.388)/3</f>
        <v>21.366</v>
      </c>
      <c r="E37">
        <f t="shared" si="3"/>
        <v>358.52836519350001</v>
      </c>
    </row>
    <row r="38" spans="1:5" x14ac:dyDescent="0.3">
      <c r="A38" t="s">
        <v>36</v>
      </c>
      <c r="B38">
        <f>(15.741+16.821+3.347+15.162+17.522+19.939)/3</f>
        <v>29.510666666666662</v>
      </c>
      <c r="C38">
        <f t="shared" si="2"/>
        <v>683.9669457748887</v>
      </c>
      <c r="D38">
        <f>(21.373+24.147+20.774)/3</f>
        <v>22.097999999999999</v>
      </c>
      <c r="E38">
        <f t="shared" si="3"/>
        <v>383.51557974150001</v>
      </c>
    </row>
    <row r="39" spans="1:5" x14ac:dyDescent="0.3">
      <c r="A39" t="s">
        <v>36</v>
      </c>
      <c r="B39">
        <f>(17.592+18.23+20.641)/3</f>
        <v>18.821000000000002</v>
      </c>
      <c r="C39">
        <f t="shared" si="2"/>
        <v>278.20341845037501</v>
      </c>
      <c r="D39">
        <f>18.773</f>
        <v>18.773</v>
      </c>
      <c r="E39">
        <f t="shared" si="3"/>
        <v>276.78619983837501</v>
      </c>
    </row>
    <row r="40" spans="1:5" x14ac:dyDescent="0.3">
      <c r="A40" t="s">
        <v>36</v>
      </c>
      <c r="B40">
        <f>(16.664+8.047+24.14+15.682+7.235)/3</f>
        <v>23.922666666666668</v>
      </c>
      <c r="C40">
        <f t="shared" si="2"/>
        <v>449.46538489155563</v>
      </c>
      <c r="D40">
        <f>(18.574+21.975+18.356)/3</f>
        <v>19.635000000000002</v>
      </c>
      <c r="E40">
        <f t="shared" si="3"/>
        <v>302.78815658437509</v>
      </c>
    </row>
    <row r="41" spans="1:5" x14ac:dyDescent="0.3">
      <c r="A41" t="s">
        <v>36</v>
      </c>
      <c r="B41">
        <f>(12.534+23.927+15.666+22.242+15.811+16.879)/3</f>
        <v>35.686333333333337</v>
      </c>
      <c r="C41">
        <f t="shared" si="2"/>
        <v>1000.1863615155976</v>
      </c>
      <c r="D41">
        <v>20.988</v>
      </c>
      <c r="E41">
        <f t="shared" si="3"/>
        <v>345.95465909399996</v>
      </c>
    </row>
    <row r="42" spans="1:5" x14ac:dyDescent="0.3">
      <c r="A42" t="s">
        <v>37</v>
      </c>
      <c r="B42">
        <f>(23.179+18.427+21.979)/3</f>
        <v>21.194999999999997</v>
      </c>
      <c r="C42">
        <f t="shared" si="2"/>
        <v>352.81246013437493</v>
      </c>
      <c r="D42">
        <f>(19.345+13.437+18.48+5.452+16.984+13.572)/3</f>
        <v>29.090000000000003</v>
      </c>
      <c r="E42">
        <f t="shared" si="3"/>
        <v>664.60639403750019</v>
      </c>
    </row>
    <row r="43" spans="1:5" x14ac:dyDescent="0.3">
      <c r="A43" t="s">
        <v>37</v>
      </c>
      <c r="B43">
        <v>18.577999999999999</v>
      </c>
      <c r="C43">
        <f t="shared" si="2"/>
        <v>271.0659642215</v>
      </c>
      <c r="D43">
        <f>16.321+11.323</f>
        <v>27.644000000000002</v>
      </c>
      <c r="E43">
        <f t="shared" si="3"/>
        <v>600.17629928600013</v>
      </c>
    </row>
    <row r="44" spans="1:5" x14ac:dyDescent="0.3">
      <c r="A44" t="s">
        <v>37</v>
      </c>
      <c r="B44">
        <f>(23.93+12.626+15.221+19.827+3.26)/3</f>
        <v>24.954666666666668</v>
      </c>
      <c r="C44">
        <f t="shared" si="2"/>
        <v>489.08080569955564</v>
      </c>
      <c r="D44">
        <f>(16.076+15.383+22.965+11.807+14.559)/3</f>
        <v>26.929999999999996</v>
      </c>
      <c r="E44">
        <f t="shared" si="3"/>
        <v>569.57350583749985</v>
      </c>
    </row>
    <row r="45" spans="1:5" x14ac:dyDescent="0.3">
      <c r="A45" t="s">
        <v>37</v>
      </c>
      <c r="B45">
        <v>19.222000000000001</v>
      </c>
      <c r="C45">
        <f t="shared" si="2"/>
        <v>290.18450492150004</v>
      </c>
      <c r="D45">
        <f>17.873+4.909</f>
        <v>22.782</v>
      </c>
      <c r="E45">
        <f t="shared" si="3"/>
        <v>407.62495866150005</v>
      </c>
    </row>
    <row r="46" spans="1:5" x14ac:dyDescent="0.3">
      <c r="A46" t="s">
        <v>37</v>
      </c>
      <c r="B46">
        <f>(14.741+15.223+16.122)/3</f>
        <v>15.362</v>
      </c>
      <c r="C46">
        <f t="shared" si="2"/>
        <v>185.34146618150001</v>
      </c>
      <c r="D46">
        <f>(7.798+17.357+12.765+8.766+24.411)/3</f>
        <v>23.699000000000002</v>
      </c>
      <c r="E46">
        <f t="shared" si="3"/>
        <v>441.10005776037514</v>
      </c>
    </row>
    <row r="47" spans="1:5" x14ac:dyDescent="0.3">
      <c r="A47" t="s">
        <v>37</v>
      </c>
      <c r="B47">
        <f>(18.8+19.318+18.266)/3</f>
        <v>18.794666666666668</v>
      </c>
      <c r="C47">
        <f t="shared" si="2"/>
        <v>277.42546847288895</v>
      </c>
      <c r="D47">
        <f>16.17+15.102</f>
        <v>31.272000000000002</v>
      </c>
      <c r="E47">
        <f t="shared" si="3"/>
        <v>768.0480441840001</v>
      </c>
    </row>
    <row r="48" spans="1:5" x14ac:dyDescent="0.3">
      <c r="A48" t="s">
        <v>37</v>
      </c>
      <c r="B48">
        <f>(17.357+17.624+16.386)/3</f>
        <v>17.12233333333333</v>
      </c>
      <c r="C48">
        <f t="shared" si="2"/>
        <v>230.25176490259716</v>
      </c>
      <c r="D48">
        <f>(15.543+16.183+16.396+20.111+9.42)/3</f>
        <v>25.884333333333334</v>
      </c>
      <c r="E48">
        <f t="shared" si="3"/>
        <v>526.20023852426391</v>
      </c>
    </row>
    <row r="49" spans="1:5" x14ac:dyDescent="0.3">
      <c r="A49" t="s">
        <v>38</v>
      </c>
      <c r="B49">
        <f>(16.77+2.511+17.144+17.156+2.847)/3</f>
        <v>18.809333333333331</v>
      </c>
      <c r="C49">
        <f t="shared" si="2"/>
        <v>277.85862268155552</v>
      </c>
      <c r="D49">
        <f>11.408+13.717</f>
        <v>25.125</v>
      </c>
      <c r="E49">
        <f t="shared" si="3"/>
        <v>495.78024023437501</v>
      </c>
    </row>
    <row r="50" spans="1:5" x14ac:dyDescent="0.3">
      <c r="A50" t="s">
        <v>38</v>
      </c>
      <c r="B50">
        <f>(16.559+4.006+16.93+19.868+6.601)/3</f>
        <v>21.321333333333332</v>
      </c>
      <c r="C50">
        <f t="shared" si="2"/>
        <v>357.03088998288888</v>
      </c>
      <c r="D50">
        <f>(17.945+6.41+23.499+7+19.9389+9.026)/3</f>
        <v>27.939633333333333</v>
      </c>
      <c r="E50">
        <f t="shared" si="3"/>
        <v>613.08187564542266</v>
      </c>
    </row>
    <row r="51" spans="1:5" x14ac:dyDescent="0.3">
      <c r="A51" t="s">
        <v>38</v>
      </c>
      <c r="B51">
        <f>(16.877+2.938+17.197+18.812+1.186)/3</f>
        <v>19.003333333333334</v>
      </c>
      <c r="C51">
        <f t="shared" si="2"/>
        <v>283.61986455972226</v>
      </c>
      <c r="D51">
        <f>(16.45+11.376+18.96+15.608+6.888)/3</f>
        <v>23.094000000000005</v>
      </c>
      <c r="E51">
        <f t="shared" si="3"/>
        <v>418.86627607350022</v>
      </c>
    </row>
    <row r="52" spans="1:5" x14ac:dyDescent="0.3">
      <c r="A52" t="s">
        <v>38</v>
      </c>
      <c r="B52">
        <v>20.760999999999999</v>
      </c>
      <c r="C52">
        <f t="shared" si="2"/>
        <v>338.511642155375</v>
      </c>
      <c r="D52">
        <f>(16.666+13.192+21.577+2.403+19.652+12.108)/3</f>
        <v>28.532666666666671</v>
      </c>
      <c r="E52">
        <f t="shared" si="3"/>
        <v>639.38405008238908</v>
      </c>
    </row>
    <row r="53" spans="1:5" x14ac:dyDescent="0.3">
      <c r="A53" t="s">
        <v>38</v>
      </c>
      <c r="B53">
        <v>18.925000000000001</v>
      </c>
      <c r="C53">
        <f t="shared" ref="C53:C69" si="4">(B53/2)^2*3.1415</f>
        <v>281.28647398437505</v>
      </c>
      <c r="D53">
        <v>21.591999999999999</v>
      </c>
      <c r="E53">
        <f t="shared" ref="E53:E69" si="5">(D53/2)^2*3.1415</f>
        <v>366.15318466399998</v>
      </c>
    </row>
    <row r="54" spans="1:5" x14ac:dyDescent="0.3">
      <c r="A54" t="s">
        <v>38</v>
      </c>
      <c r="B54">
        <f>(23.874+13.565+22.912)/3</f>
        <v>20.117000000000001</v>
      </c>
      <c r="C54">
        <f t="shared" si="4"/>
        <v>317.83630599837505</v>
      </c>
      <c r="D54">
        <f>(16.931+10.308+24.624+13.916+8.633)/3</f>
        <v>24.803999999999998</v>
      </c>
      <c r="E54">
        <f t="shared" si="5"/>
        <v>483.19287096599999</v>
      </c>
    </row>
    <row r="55" spans="1:5" x14ac:dyDescent="0.3">
      <c r="A55" t="s">
        <v>39</v>
      </c>
      <c r="B55">
        <f>(16.29+3.258+24.554+18.977+3.361)/3</f>
        <v>22.146666666666665</v>
      </c>
      <c r="C55">
        <f t="shared" si="4"/>
        <v>385.20668095555556</v>
      </c>
      <c r="D55">
        <f>(17.625+9.987+20.991+19.984+7.307)/3</f>
        <v>25.298000000000002</v>
      </c>
      <c r="E55">
        <f t="shared" si="5"/>
        <v>502.63120694150007</v>
      </c>
    </row>
    <row r="56" spans="1:5" x14ac:dyDescent="0.3">
      <c r="A56" t="s">
        <v>39</v>
      </c>
      <c r="B56">
        <v>24.407</v>
      </c>
      <c r="C56">
        <f t="shared" si="4"/>
        <v>467.84918258337501</v>
      </c>
      <c r="D56">
        <f>10.5+15.155</f>
        <v>25.655000000000001</v>
      </c>
      <c r="E56">
        <f t="shared" si="5"/>
        <v>516.91735175937504</v>
      </c>
    </row>
    <row r="57" spans="1:5" x14ac:dyDescent="0.3">
      <c r="A57" t="s">
        <v>39</v>
      </c>
      <c r="B57">
        <f>(17.518+6.249+24.514+20.761+4.839)/3</f>
        <v>24.626999999999999</v>
      </c>
      <c r="C57">
        <f t="shared" si="4"/>
        <v>476.32139968837498</v>
      </c>
      <c r="D57">
        <f>(15.174+13.031+13.619)/3</f>
        <v>13.941333333333333</v>
      </c>
      <c r="E57">
        <f t="shared" si="5"/>
        <v>152.64609375288887</v>
      </c>
    </row>
    <row r="58" spans="1:5" x14ac:dyDescent="0.3">
      <c r="A58" t="s">
        <v>39</v>
      </c>
      <c r="B58">
        <v>21.331</v>
      </c>
      <c r="C58">
        <f t="shared" si="4"/>
        <v>357.35470472037503</v>
      </c>
      <c r="D58">
        <f>(12.765+22.699+18.977)/3</f>
        <v>18.147000000000002</v>
      </c>
      <c r="E58">
        <f t="shared" si="5"/>
        <v>258.63467566837511</v>
      </c>
    </row>
    <row r="59" spans="1:5" x14ac:dyDescent="0.3">
      <c r="A59" t="s">
        <v>39</v>
      </c>
      <c r="B59">
        <f>(15.596+8.225+17.304+17.144+16.621+9.127)/3</f>
        <v>28.005666666666666</v>
      </c>
      <c r="C59">
        <f t="shared" si="4"/>
        <v>615.9832508859306</v>
      </c>
      <c r="D59">
        <v>17.439</v>
      </c>
      <c r="E59">
        <f t="shared" si="5"/>
        <v>238.847240505375</v>
      </c>
    </row>
    <row r="60" spans="1:5" x14ac:dyDescent="0.3">
      <c r="A60" t="s">
        <v>39</v>
      </c>
      <c r="B60">
        <v>17.196999999999999</v>
      </c>
      <c r="C60">
        <f t="shared" si="4"/>
        <v>232.264296368375</v>
      </c>
      <c r="D60">
        <v>19.882000000000001</v>
      </c>
      <c r="E60">
        <f t="shared" si="5"/>
        <v>310.45396556150007</v>
      </c>
    </row>
    <row r="61" spans="1:5" x14ac:dyDescent="0.3">
      <c r="A61" t="s">
        <v>39</v>
      </c>
      <c r="B61">
        <f>(24.034+15.702+4.54+18.77+3.891)/3</f>
        <v>22.312333333333331</v>
      </c>
      <c r="C61">
        <f t="shared" si="4"/>
        <v>390.99126182259715</v>
      </c>
      <c r="D61">
        <f>(15.649+19.79+18.479)/3</f>
        <v>17.972666666666665</v>
      </c>
      <c r="E61">
        <f t="shared" si="5"/>
        <v>253.68927776238885</v>
      </c>
    </row>
    <row r="62" spans="1:5" x14ac:dyDescent="0.3">
      <c r="A62" t="s">
        <v>40</v>
      </c>
      <c r="B62">
        <f>(17.591+10.503+4.771+21.79+17.051+11.859)/3</f>
        <v>27.855</v>
      </c>
      <c r="C62">
        <f t="shared" si="4"/>
        <v>609.37326750937507</v>
      </c>
      <c r="D62">
        <v>19.628</v>
      </c>
      <c r="E62">
        <f t="shared" si="5"/>
        <v>302.57230333400003</v>
      </c>
    </row>
    <row r="63" spans="1:5" x14ac:dyDescent="0.3">
      <c r="A63" t="s">
        <v>40</v>
      </c>
      <c r="B63">
        <f>(16.238+3.204+17.998+17.557+2.803)/3</f>
        <v>19.266666666666666</v>
      </c>
      <c r="C63">
        <f t="shared" si="4"/>
        <v>291.53469055555553</v>
      </c>
      <c r="D63">
        <f>(26.026+9.24+10.842)/3</f>
        <v>15.369333333333332</v>
      </c>
      <c r="E63">
        <f t="shared" si="5"/>
        <v>185.51846073488886</v>
      </c>
    </row>
    <row r="64" spans="1:5" x14ac:dyDescent="0.3">
      <c r="A64" t="s">
        <v>40</v>
      </c>
      <c r="B64">
        <f>(16.984+3.632+18.48+16.451+1.218)/3</f>
        <v>18.921666666666667</v>
      </c>
      <c r="C64">
        <f t="shared" si="4"/>
        <v>281.18739456493057</v>
      </c>
      <c r="D64">
        <v>12.603</v>
      </c>
      <c r="E64">
        <f t="shared" si="5"/>
        <v>124.745516418375</v>
      </c>
    </row>
    <row r="65" spans="1:5" x14ac:dyDescent="0.3">
      <c r="A65" t="s">
        <v>40</v>
      </c>
      <c r="B65">
        <v>18.172999999999998</v>
      </c>
      <c r="C65">
        <f t="shared" si="4"/>
        <v>259.37632098837497</v>
      </c>
      <c r="D65">
        <f>(27.072+6.836+10.203)/3</f>
        <v>14.703666666666669</v>
      </c>
      <c r="E65">
        <f t="shared" si="5"/>
        <v>169.79635773393062</v>
      </c>
    </row>
    <row r="66" spans="1:5" x14ac:dyDescent="0.3">
      <c r="A66" t="s">
        <v>40</v>
      </c>
      <c r="B66">
        <v>18.469000000000001</v>
      </c>
      <c r="C66">
        <f t="shared" si="4"/>
        <v>267.89452337037505</v>
      </c>
      <c r="D66">
        <f>(17.998+16.557+21.945)/3</f>
        <v>18.833333333333332</v>
      </c>
      <c r="E66">
        <f t="shared" si="5"/>
        <v>278.56814930555555</v>
      </c>
    </row>
    <row r="67" spans="1:5" x14ac:dyDescent="0.3">
      <c r="A67" t="s">
        <v>40</v>
      </c>
      <c r="B67">
        <f>(15.597+25.189+15.232)/3</f>
        <v>18.672666666666668</v>
      </c>
      <c r="C67">
        <f t="shared" si="4"/>
        <v>273.83550782905559</v>
      </c>
      <c r="D67">
        <v>13.276</v>
      </c>
      <c r="E67">
        <f t="shared" si="5"/>
        <v>138.42405272600001</v>
      </c>
    </row>
    <row r="68" spans="1:5" x14ac:dyDescent="0.3">
      <c r="A68" t="s">
        <v>40</v>
      </c>
      <c r="B68">
        <f>(17.679+1.869+18.856+17.727+1.274)/3</f>
        <v>19.135000000000002</v>
      </c>
      <c r="C68">
        <f t="shared" si="4"/>
        <v>287.56366220937508</v>
      </c>
      <c r="D68">
        <v>15.715999999999999</v>
      </c>
      <c r="E68">
        <f t="shared" si="5"/>
        <v>193.981857206</v>
      </c>
    </row>
    <row r="69" spans="1:5" x14ac:dyDescent="0.3">
      <c r="A69" t="s">
        <v>40</v>
      </c>
      <c r="B69">
        <f>(15.595+11.911+15.221+15.94+7.932)/3</f>
        <v>22.199666666666669</v>
      </c>
      <c r="C69">
        <f t="shared" si="4"/>
        <v>387.05259153726399</v>
      </c>
      <c r="D69">
        <v>14.096</v>
      </c>
      <c r="E69">
        <f t="shared" si="5"/>
        <v>156.05182601600001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E993-56A6-4E13-B695-6078230CA063}">
  <dimension ref="A1:D71"/>
  <sheetViews>
    <sheetView workbookViewId="0">
      <selection sqref="A1:D1048576"/>
    </sheetView>
  </sheetViews>
  <sheetFormatPr defaultRowHeight="14.4" x14ac:dyDescent="0.3"/>
  <cols>
    <col min="1" max="1" width="19" customWidth="1"/>
    <col min="2" max="2" width="13.88671875" customWidth="1"/>
    <col min="3" max="3" width="26.88671875" customWidth="1"/>
    <col min="4" max="4" width="22.6640625" customWidth="1"/>
  </cols>
  <sheetData>
    <row r="1" spans="1:4" x14ac:dyDescent="0.3">
      <c r="A1" t="s">
        <v>9</v>
      </c>
      <c r="B1" t="s">
        <v>10</v>
      </c>
      <c r="C1" t="s">
        <v>11</v>
      </c>
      <c r="D1" t="s">
        <v>31</v>
      </c>
    </row>
    <row r="2" spans="1:4" x14ac:dyDescent="0.3">
      <c r="A2" t="s">
        <v>16</v>
      </c>
      <c r="B2" t="s">
        <v>12</v>
      </c>
      <c r="C2" t="s">
        <v>14</v>
      </c>
      <c r="D2">
        <v>1</v>
      </c>
    </row>
    <row r="3" spans="1:4" x14ac:dyDescent="0.3">
      <c r="A3" t="s">
        <v>16</v>
      </c>
      <c r="B3" t="s">
        <v>12</v>
      </c>
      <c r="C3" t="s">
        <v>14</v>
      </c>
      <c r="D3">
        <v>2</v>
      </c>
    </row>
    <row r="4" spans="1:4" x14ac:dyDescent="0.3">
      <c r="A4" t="s">
        <v>16</v>
      </c>
      <c r="B4" t="s">
        <v>12</v>
      </c>
      <c r="C4" t="s">
        <v>14</v>
      </c>
      <c r="D4">
        <v>3</v>
      </c>
    </row>
    <row r="5" spans="1:4" x14ac:dyDescent="0.3">
      <c r="A5" t="s">
        <v>16</v>
      </c>
      <c r="B5" t="s">
        <v>12</v>
      </c>
      <c r="C5" t="s">
        <v>14</v>
      </c>
      <c r="D5">
        <v>4</v>
      </c>
    </row>
    <row r="6" spans="1:4" x14ac:dyDescent="0.3">
      <c r="A6" t="s">
        <v>16</v>
      </c>
      <c r="B6" t="s">
        <v>12</v>
      </c>
      <c r="C6" t="s">
        <v>14</v>
      </c>
      <c r="D6">
        <v>5</v>
      </c>
    </row>
    <row r="7" spans="1:4" x14ac:dyDescent="0.3">
      <c r="A7" t="s">
        <v>16</v>
      </c>
      <c r="B7" t="s">
        <v>12</v>
      </c>
      <c r="C7" t="s">
        <v>14</v>
      </c>
      <c r="D7">
        <v>6</v>
      </c>
    </row>
    <row r="8" spans="1:4" x14ac:dyDescent="0.3">
      <c r="A8" t="s">
        <v>16</v>
      </c>
      <c r="B8" t="s">
        <v>12</v>
      </c>
      <c r="C8" t="s">
        <v>14</v>
      </c>
      <c r="D8">
        <v>7</v>
      </c>
    </row>
    <row r="9" spans="1:4" x14ac:dyDescent="0.3">
      <c r="A9" t="s">
        <v>16</v>
      </c>
      <c r="B9" t="s">
        <v>12</v>
      </c>
      <c r="C9" t="s">
        <v>14</v>
      </c>
      <c r="D9">
        <v>11</v>
      </c>
    </row>
    <row r="10" spans="1:4" x14ac:dyDescent="0.3">
      <c r="A10" t="s">
        <v>16</v>
      </c>
      <c r="B10" t="s">
        <v>12</v>
      </c>
      <c r="C10" t="s">
        <v>14</v>
      </c>
      <c r="D10">
        <v>12</v>
      </c>
    </row>
    <row r="11" spans="1:4" x14ac:dyDescent="0.3">
      <c r="A11" t="s">
        <v>16</v>
      </c>
      <c r="B11" t="s">
        <v>12</v>
      </c>
      <c r="C11" t="s">
        <v>15</v>
      </c>
      <c r="D11">
        <v>1</v>
      </c>
    </row>
    <row r="12" spans="1:4" x14ac:dyDescent="0.3">
      <c r="A12" t="s">
        <v>16</v>
      </c>
      <c r="B12" t="s">
        <v>12</v>
      </c>
      <c r="C12" t="s">
        <v>15</v>
      </c>
      <c r="D12">
        <v>2</v>
      </c>
    </row>
    <row r="13" spans="1:4" x14ac:dyDescent="0.3">
      <c r="A13" t="s">
        <v>17</v>
      </c>
      <c r="B13" t="s">
        <v>12</v>
      </c>
      <c r="C13" t="s">
        <v>15</v>
      </c>
      <c r="D13">
        <v>3</v>
      </c>
    </row>
    <row r="14" spans="1:4" x14ac:dyDescent="0.3">
      <c r="A14" t="s">
        <v>16</v>
      </c>
      <c r="B14" t="s">
        <v>12</v>
      </c>
      <c r="C14" t="s">
        <v>15</v>
      </c>
      <c r="D14">
        <v>4</v>
      </c>
    </row>
    <row r="15" spans="1:4" x14ac:dyDescent="0.3">
      <c r="A15" t="s">
        <v>16</v>
      </c>
      <c r="B15" t="s">
        <v>12</v>
      </c>
      <c r="C15" t="s">
        <v>15</v>
      </c>
      <c r="D15">
        <v>5</v>
      </c>
    </row>
    <row r="16" spans="1:4" x14ac:dyDescent="0.3">
      <c r="A16" t="s">
        <v>16</v>
      </c>
      <c r="B16" t="s">
        <v>12</v>
      </c>
      <c r="C16" t="s">
        <v>15</v>
      </c>
      <c r="D16">
        <v>6</v>
      </c>
    </row>
    <row r="17" spans="1:4" x14ac:dyDescent="0.3">
      <c r="A17" t="s">
        <v>16</v>
      </c>
      <c r="B17" t="s">
        <v>12</v>
      </c>
      <c r="C17" t="s">
        <v>15</v>
      </c>
      <c r="D17">
        <v>7</v>
      </c>
    </row>
    <row r="18" spans="1:4" x14ac:dyDescent="0.3">
      <c r="A18" t="s">
        <v>17</v>
      </c>
      <c r="B18" t="s">
        <v>12</v>
      </c>
      <c r="C18" t="s">
        <v>15</v>
      </c>
      <c r="D18">
        <v>8</v>
      </c>
    </row>
    <row r="19" spans="1:4" x14ac:dyDescent="0.3">
      <c r="A19" t="s">
        <v>16</v>
      </c>
      <c r="B19" t="s">
        <v>12</v>
      </c>
      <c r="C19" t="s">
        <v>15</v>
      </c>
      <c r="D19">
        <v>9</v>
      </c>
    </row>
    <row r="20" spans="1:4" x14ac:dyDescent="0.3">
      <c r="A20" t="s">
        <v>16</v>
      </c>
      <c r="B20" t="s">
        <v>12</v>
      </c>
      <c r="C20" t="s">
        <v>15</v>
      </c>
      <c r="D20">
        <v>10</v>
      </c>
    </row>
    <row r="21" spans="1:4" x14ac:dyDescent="0.3">
      <c r="A21" t="s">
        <v>16</v>
      </c>
      <c r="B21" t="s">
        <v>12</v>
      </c>
      <c r="C21" t="s">
        <v>15</v>
      </c>
      <c r="D21">
        <v>11</v>
      </c>
    </row>
    <row r="22" spans="1:4" x14ac:dyDescent="0.3">
      <c r="A22" t="s">
        <v>16</v>
      </c>
      <c r="B22" t="s">
        <v>12</v>
      </c>
      <c r="C22" t="s">
        <v>15</v>
      </c>
      <c r="D22">
        <v>12</v>
      </c>
    </row>
    <row r="23" spans="1:4" x14ac:dyDescent="0.3">
      <c r="A23" t="s">
        <v>16</v>
      </c>
      <c r="B23" t="s">
        <v>13</v>
      </c>
      <c r="C23" t="s">
        <v>14</v>
      </c>
      <c r="D23">
        <v>1</v>
      </c>
    </row>
    <row r="24" spans="1:4" x14ac:dyDescent="0.3">
      <c r="A24" t="s">
        <v>17</v>
      </c>
      <c r="B24" t="s">
        <v>13</v>
      </c>
      <c r="C24" t="s">
        <v>14</v>
      </c>
      <c r="D24">
        <v>3</v>
      </c>
    </row>
    <row r="25" spans="1:4" x14ac:dyDescent="0.3">
      <c r="A25" t="s">
        <v>16</v>
      </c>
      <c r="B25" t="s">
        <v>13</v>
      </c>
      <c r="C25" t="s">
        <v>14</v>
      </c>
      <c r="D25">
        <v>5</v>
      </c>
    </row>
    <row r="26" spans="1:4" x14ac:dyDescent="0.3">
      <c r="A26" t="s">
        <v>16</v>
      </c>
      <c r="B26" t="s">
        <v>13</v>
      </c>
      <c r="C26" t="s">
        <v>14</v>
      </c>
      <c r="D26">
        <v>6</v>
      </c>
    </row>
    <row r="27" spans="1:4" x14ac:dyDescent="0.3">
      <c r="A27" t="s">
        <v>16</v>
      </c>
      <c r="B27" t="s">
        <v>13</v>
      </c>
      <c r="C27" t="s">
        <v>14</v>
      </c>
      <c r="D27">
        <v>7</v>
      </c>
    </row>
    <row r="28" spans="1:4" x14ac:dyDescent="0.3">
      <c r="A28" t="s">
        <v>17</v>
      </c>
      <c r="B28" t="s">
        <v>13</v>
      </c>
      <c r="C28" t="s">
        <v>14</v>
      </c>
      <c r="D28">
        <v>8</v>
      </c>
    </row>
    <row r="29" spans="1:4" x14ac:dyDescent="0.3">
      <c r="A29" t="s">
        <v>16</v>
      </c>
      <c r="B29" t="s">
        <v>13</v>
      </c>
      <c r="C29" t="s">
        <v>14</v>
      </c>
      <c r="D29">
        <v>9</v>
      </c>
    </row>
    <row r="30" spans="1:4" x14ac:dyDescent="0.3">
      <c r="A30" t="s">
        <v>16</v>
      </c>
      <c r="B30" t="s">
        <v>13</v>
      </c>
      <c r="C30" t="s">
        <v>14</v>
      </c>
      <c r="D30">
        <v>10</v>
      </c>
    </row>
    <row r="31" spans="1:4" x14ac:dyDescent="0.3">
      <c r="A31" t="s">
        <v>16</v>
      </c>
      <c r="B31" t="s">
        <v>13</v>
      </c>
      <c r="C31" t="s">
        <v>14</v>
      </c>
      <c r="D31">
        <v>11</v>
      </c>
    </row>
    <row r="32" spans="1:4" x14ac:dyDescent="0.3">
      <c r="A32" t="s">
        <v>16</v>
      </c>
      <c r="B32" t="s">
        <v>13</v>
      </c>
      <c r="C32" t="s">
        <v>14</v>
      </c>
      <c r="D32">
        <v>12</v>
      </c>
    </row>
    <row r="33" spans="1:4" x14ac:dyDescent="0.3">
      <c r="A33" t="s">
        <v>16</v>
      </c>
      <c r="B33" t="s">
        <v>13</v>
      </c>
      <c r="C33" t="s">
        <v>15</v>
      </c>
      <c r="D33">
        <v>1</v>
      </c>
    </row>
    <row r="34" spans="1:4" x14ac:dyDescent="0.3">
      <c r="A34" t="s">
        <v>16</v>
      </c>
      <c r="B34" t="s">
        <v>13</v>
      </c>
      <c r="C34" t="s">
        <v>15</v>
      </c>
      <c r="D34">
        <v>2</v>
      </c>
    </row>
    <row r="35" spans="1:4" x14ac:dyDescent="0.3">
      <c r="A35" t="s">
        <v>17</v>
      </c>
      <c r="B35" t="s">
        <v>13</v>
      </c>
      <c r="C35" t="s">
        <v>15</v>
      </c>
      <c r="D35">
        <v>5</v>
      </c>
    </row>
    <row r="36" spans="1:4" x14ac:dyDescent="0.3">
      <c r="A36" t="s">
        <v>16</v>
      </c>
      <c r="B36" t="s">
        <v>13</v>
      </c>
      <c r="C36" t="s">
        <v>15</v>
      </c>
      <c r="D36">
        <v>6</v>
      </c>
    </row>
    <row r="37" spans="1:4" x14ac:dyDescent="0.3">
      <c r="A37" t="s">
        <v>16</v>
      </c>
      <c r="B37" t="s">
        <v>13</v>
      </c>
      <c r="C37" t="s">
        <v>15</v>
      </c>
      <c r="D37">
        <v>7</v>
      </c>
    </row>
    <row r="38" spans="1:4" x14ac:dyDescent="0.3">
      <c r="A38" t="s">
        <v>16</v>
      </c>
      <c r="B38" t="s">
        <v>13</v>
      </c>
      <c r="C38" t="s">
        <v>15</v>
      </c>
      <c r="D38">
        <v>8</v>
      </c>
    </row>
    <row r="39" spans="1:4" x14ac:dyDescent="0.3">
      <c r="A39" t="s">
        <v>17</v>
      </c>
      <c r="B39" t="s">
        <v>13</v>
      </c>
      <c r="C39" t="s">
        <v>15</v>
      </c>
      <c r="D39">
        <v>9</v>
      </c>
    </row>
    <row r="40" spans="1:4" x14ac:dyDescent="0.3">
      <c r="A40" t="s">
        <v>16</v>
      </c>
      <c r="B40" t="s">
        <v>13</v>
      </c>
      <c r="C40" t="s">
        <v>15</v>
      </c>
      <c r="D40">
        <v>10</v>
      </c>
    </row>
    <row r="41" spans="1:4" x14ac:dyDescent="0.3">
      <c r="A41" t="s">
        <v>17</v>
      </c>
      <c r="B41" t="s">
        <v>13</v>
      </c>
      <c r="C41" t="s">
        <v>15</v>
      </c>
      <c r="D41">
        <v>11</v>
      </c>
    </row>
    <row r="42" spans="1:4" x14ac:dyDescent="0.3">
      <c r="A42" t="s">
        <v>18</v>
      </c>
      <c r="B42" t="s">
        <v>12</v>
      </c>
      <c r="C42" t="s">
        <v>14</v>
      </c>
      <c r="D42">
        <v>1</v>
      </c>
    </row>
    <row r="43" spans="1:4" x14ac:dyDescent="0.3">
      <c r="A43" t="s">
        <v>18</v>
      </c>
      <c r="B43" t="s">
        <v>12</v>
      </c>
      <c r="C43" t="s">
        <v>14</v>
      </c>
      <c r="D43">
        <v>2</v>
      </c>
    </row>
    <row r="44" spans="1:4" x14ac:dyDescent="0.3">
      <c r="A44" t="s">
        <v>18</v>
      </c>
      <c r="B44" t="s">
        <v>12</v>
      </c>
      <c r="C44" t="s">
        <v>14</v>
      </c>
      <c r="D44">
        <v>3</v>
      </c>
    </row>
    <row r="45" spans="1:4" x14ac:dyDescent="0.3">
      <c r="A45" t="s">
        <v>18</v>
      </c>
      <c r="B45" t="s">
        <v>12</v>
      </c>
      <c r="C45" t="s">
        <v>14</v>
      </c>
      <c r="D45">
        <v>4</v>
      </c>
    </row>
    <row r="46" spans="1:4" x14ac:dyDescent="0.3">
      <c r="A46" t="s">
        <v>18</v>
      </c>
      <c r="B46" t="s">
        <v>12</v>
      </c>
      <c r="C46" t="s">
        <v>14</v>
      </c>
      <c r="D46">
        <v>5</v>
      </c>
    </row>
    <row r="47" spans="1:4" x14ac:dyDescent="0.3">
      <c r="A47" t="s">
        <v>18</v>
      </c>
      <c r="B47" t="s">
        <v>12</v>
      </c>
      <c r="C47" t="s">
        <v>14</v>
      </c>
      <c r="D47">
        <v>6</v>
      </c>
    </row>
    <row r="48" spans="1:4" x14ac:dyDescent="0.3">
      <c r="A48" t="s">
        <v>18</v>
      </c>
      <c r="B48" t="s">
        <v>12</v>
      </c>
      <c r="C48" t="s">
        <v>14</v>
      </c>
      <c r="D48">
        <v>7</v>
      </c>
    </row>
    <row r="49" spans="1:4" x14ac:dyDescent="0.3">
      <c r="A49" t="s">
        <v>18</v>
      </c>
      <c r="B49" t="s">
        <v>12</v>
      </c>
      <c r="C49" t="s">
        <v>15</v>
      </c>
      <c r="D49">
        <v>1</v>
      </c>
    </row>
    <row r="50" spans="1:4" x14ac:dyDescent="0.3">
      <c r="A50" t="s">
        <v>18</v>
      </c>
      <c r="B50" t="s">
        <v>12</v>
      </c>
      <c r="C50" t="s">
        <v>15</v>
      </c>
      <c r="D50">
        <v>2</v>
      </c>
    </row>
    <row r="51" spans="1:4" x14ac:dyDescent="0.3">
      <c r="A51" t="s">
        <v>18</v>
      </c>
      <c r="B51" t="s">
        <v>12</v>
      </c>
      <c r="C51" t="s">
        <v>15</v>
      </c>
      <c r="D51">
        <v>3</v>
      </c>
    </row>
    <row r="52" spans="1:4" x14ac:dyDescent="0.3">
      <c r="A52" t="s">
        <v>18</v>
      </c>
      <c r="B52" t="s">
        <v>12</v>
      </c>
      <c r="C52" t="s">
        <v>15</v>
      </c>
      <c r="D52">
        <v>4</v>
      </c>
    </row>
    <row r="53" spans="1:4" x14ac:dyDescent="0.3">
      <c r="A53" t="s">
        <v>18</v>
      </c>
      <c r="B53" t="s">
        <v>12</v>
      </c>
      <c r="C53" t="s">
        <v>15</v>
      </c>
      <c r="D53">
        <v>5</v>
      </c>
    </row>
    <row r="54" spans="1:4" x14ac:dyDescent="0.3">
      <c r="A54" t="s">
        <v>18</v>
      </c>
      <c r="B54" t="s">
        <v>12</v>
      </c>
      <c r="C54" t="s">
        <v>15</v>
      </c>
      <c r="D54">
        <v>6</v>
      </c>
    </row>
    <row r="55" spans="1:4" x14ac:dyDescent="0.3">
      <c r="A55" t="s">
        <v>18</v>
      </c>
      <c r="B55" t="s">
        <v>12</v>
      </c>
      <c r="C55" t="s">
        <v>15</v>
      </c>
      <c r="D55">
        <v>7</v>
      </c>
    </row>
    <row r="56" spans="1:4" x14ac:dyDescent="0.3">
      <c r="A56" t="s">
        <v>18</v>
      </c>
      <c r="B56" t="s">
        <v>12</v>
      </c>
      <c r="C56" t="s">
        <v>15</v>
      </c>
      <c r="D56">
        <v>8</v>
      </c>
    </row>
    <row r="57" spans="1:4" x14ac:dyDescent="0.3">
      <c r="A57" t="s">
        <v>18</v>
      </c>
      <c r="B57" t="s">
        <v>13</v>
      </c>
      <c r="C57" t="s">
        <v>14</v>
      </c>
      <c r="D57">
        <v>1</v>
      </c>
    </row>
    <row r="58" spans="1:4" x14ac:dyDescent="0.3">
      <c r="A58" t="s">
        <v>18</v>
      </c>
      <c r="B58" t="s">
        <v>13</v>
      </c>
      <c r="C58" t="s">
        <v>14</v>
      </c>
      <c r="D58">
        <v>2</v>
      </c>
    </row>
    <row r="59" spans="1:4" x14ac:dyDescent="0.3">
      <c r="A59" t="s">
        <v>18</v>
      </c>
      <c r="B59" t="s">
        <v>13</v>
      </c>
      <c r="C59" t="s">
        <v>14</v>
      </c>
      <c r="D59">
        <v>3</v>
      </c>
    </row>
    <row r="60" spans="1:4" x14ac:dyDescent="0.3">
      <c r="A60" t="s">
        <v>18</v>
      </c>
      <c r="B60" t="s">
        <v>13</v>
      </c>
      <c r="C60" t="s">
        <v>14</v>
      </c>
      <c r="D60">
        <v>4</v>
      </c>
    </row>
    <row r="61" spans="1:4" x14ac:dyDescent="0.3">
      <c r="A61" t="s">
        <v>18</v>
      </c>
      <c r="B61" t="s">
        <v>13</v>
      </c>
      <c r="C61" t="s">
        <v>14</v>
      </c>
      <c r="D61">
        <v>5</v>
      </c>
    </row>
    <row r="62" spans="1:4" x14ac:dyDescent="0.3">
      <c r="A62" t="s">
        <v>18</v>
      </c>
      <c r="B62" t="s">
        <v>13</v>
      </c>
      <c r="C62" t="s">
        <v>14</v>
      </c>
      <c r="D62">
        <v>6</v>
      </c>
    </row>
    <row r="63" spans="1:4" x14ac:dyDescent="0.3">
      <c r="A63" t="s">
        <v>18</v>
      </c>
      <c r="B63" t="s">
        <v>13</v>
      </c>
      <c r="C63" t="s">
        <v>14</v>
      </c>
      <c r="D63">
        <v>7</v>
      </c>
    </row>
    <row r="64" spans="1:4" x14ac:dyDescent="0.3">
      <c r="A64" t="s">
        <v>18</v>
      </c>
      <c r="B64" t="s">
        <v>13</v>
      </c>
      <c r="C64" t="s">
        <v>15</v>
      </c>
      <c r="D64">
        <v>1</v>
      </c>
    </row>
    <row r="65" spans="1:4" x14ac:dyDescent="0.3">
      <c r="A65" t="s">
        <v>18</v>
      </c>
      <c r="B65" t="s">
        <v>13</v>
      </c>
      <c r="C65" t="s">
        <v>15</v>
      </c>
      <c r="D65">
        <v>2</v>
      </c>
    </row>
    <row r="66" spans="1:4" x14ac:dyDescent="0.3">
      <c r="A66" t="s">
        <v>18</v>
      </c>
      <c r="B66" t="s">
        <v>13</v>
      </c>
      <c r="C66" t="s">
        <v>15</v>
      </c>
      <c r="D66">
        <v>3</v>
      </c>
    </row>
    <row r="67" spans="1:4" x14ac:dyDescent="0.3">
      <c r="A67" t="s">
        <v>18</v>
      </c>
      <c r="B67" t="s">
        <v>13</v>
      </c>
      <c r="C67" t="s">
        <v>15</v>
      </c>
      <c r="D67">
        <v>4</v>
      </c>
    </row>
    <row r="68" spans="1:4" x14ac:dyDescent="0.3">
      <c r="A68" t="s">
        <v>18</v>
      </c>
      <c r="B68" t="s">
        <v>13</v>
      </c>
      <c r="C68" t="s">
        <v>15</v>
      </c>
      <c r="D68">
        <v>5</v>
      </c>
    </row>
    <row r="69" spans="1:4" x14ac:dyDescent="0.3">
      <c r="A69" t="s">
        <v>18</v>
      </c>
      <c r="B69" t="s">
        <v>13</v>
      </c>
      <c r="C69" t="s">
        <v>15</v>
      </c>
      <c r="D69">
        <v>6</v>
      </c>
    </row>
    <row r="70" spans="1:4" x14ac:dyDescent="0.3">
      <c r="A70" t="s">
        <v>18</v>
      </c>
      <c r="B70" t="s">
        <v>13</v>
      </c>
      <c r="C70" t="s">
        <v>15</v>
      </c>
      <c r="D70">
        <v>7</v>
      </c>
    </row>
    <row r="71" spans="1:4" x14ac:dyDescent="0.3">
      <c r="A71" t="s">
        <v>18</v>
      </c>
      <c r="B71" t="s">
        <v>13</v>
      </c>
      <c r="C71" t="s">
        <v>15</v>
      </c>
      <c r="D7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energy reserves</vt:lpstr>
      <vt:lpstr>Sheet1</vt:lpstr>
      <vt:lpstr>carbs</vt:lpstr>
      <vt:lpstr>lipids</vt:lpstr>
      <vt:lpstr>protein</vt:lpstr>
      <vt:lpstr>Pedal disk size</vt:lpstr>
      <vt:lpstr>algae</vt:lpstr>
      <vt:lpstr>Pedal disk size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Erick</dc:creator>
  <cp:lastModifiedBy>White, Erick</cp:lastModifiedBy>
  <dcterms:created xsi:type="dcterms:W3CDTF">2023-11-01T18:19:46Z</dcterms:created>
  <dcterms:modified xsi:type="dcterms:W3CDTF">2024-09-12T21:06:23Z</dcterms:modified>
</cp:coreProperties>
</file>