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omments3.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4.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5.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comments6.xml" ContentType="application/vnd.openxmlformats-officedocument.spreadsheetml.comments+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comments7.xml" ContentType="application/vnd.openxmlformats-officedocument.spreadsheetml.comments+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comments8.xml" ContentType="application/vnd.openxmlformats-officedocument.spreadsheetml.comments+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9.xml" ContentType="application/vnd.openxmlformats-officedocument.spreadsheetml.comments+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comments10.xml" ContentType="application/vnd.openxmlformats-officedocument.spreadsheetml.comments+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comments11.xml" ContentType="application/vnd.openxmlformats-officedocument.spreadsheetml.comments+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drawings/drawing12.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charts/chart493.xml" ContentType="application/vnd.openxmlformats-officedocument.drawingml.chart+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charts/chart527.xml" ContentType="application/vnd.openxmlformats-officedocument.drawingml.chart+xml"/>
  <Override PartName="/xl/charts/chart528.xml" ContentType="application/vnd.openxmlformats-officedocument.drawingml.chart+xml"/>
  <Override PartName="/xl/charts/chart529.xml" ContentType="application/vnd.openxmlformats-officedocument.drawingml.chart+xml"/>
  <Override PartName="/xl/charts/chart530.xml" ContentType="application/vnd.openxmlformats-officedocument.drawingml.chart+xml"/>
  <Override PartName="/xl/charts/chart531.xml" ContentType="application/vnd.openxmlformats-officedocument.drawingml.chart+xml"/>
  <Override PartName="/xl/charts/chart532.xml" ContentType="application/vnd.openxmlformats-officedocument.drawingml.chart+xml"/>
  <Override PartName="/xl/charts/chart533.xml" ContentType="application/vnd.openxmlformats-officedocument.drawingml.chart+xml"/>
  <Override PartName="/xl/charts/chart534.xml" ContentType="application/vnd.openxmlformats-officedocument.drawingml.chart+xml"/>
  <Override PartName="/xl/charts/chart535.xml" ContentType="application/vnd.openxmlformats-officedocument.drawingml.chart+xml"/>
  <Override PartName="/xl/charts/chart536.xml" ContentType="application/vnd.openxmlformats-officedocument.drawingml.chart+xml"/>
  <Override PartName="/xl/charts/chart537.xml" ContentType="application/vnd.openxmlformats-officedocument.drawingml.chart+xml"/>
  <Override PartName="/xl/charts/chart538.xml" ContentType="application/vnd.openxmlformats-officedocument.drawingml.chart+xml"/>
  <Override PartName="/xl/charts/chart539.xml" ContentType="application/vnd.openxmlformats-officedocument.drawingml.chart+xml"/>
  <Override PartName="/xl/charts/chart540.xml" ContentType="application/vnd.openxmlformats-officedocument.drawingml.chart+xml"/>
  <Override PartName="/xl/charts/chart541.xml" ContentType="application/vnd.openxmlformats-officedocument.drawingml.chart+xml"/>
  <Override PartName="/xl/charts/chart542.xml" ContentType="application/vnd.openxmlformats-officedocument.drawingml.chart+xml"/>
  <Override PartName="/xl/charts/chart543.xml" ContentType="application/vnd.openxmlformats-officedocument.drawingml.chart+xml"/>
  <Override PartName="/xl/charts/chart544.xml" ContentType="application/vnd.openxmlformats-officedocument.drawingml.chart+xml"/>
  <Override PartName="/xl/charts/chart545.xml" ContentType="application/vnd.openxmlformats-officedocument.drawingml.chart+xml"/>
  <Override PartName="/xl/charts/chart546.xml" ContentType="application/vnd.openxmlformats-officedocument.drawingml.chart+xml"/>
  <Override PartName="/xl/charts/chart547.xml" ContentType="application/vnd.openxmlformats-officedocument.drawingml.chart+xml"/>
  <Override PartName="/xl/charts/chart548.xml" ContentType="application/vnd.openxmlformats-officedocument.drawingml.chart+xml"/>
  <Override PartName="/xl/charts/chart549.xml" ContentType="application/vnd.openxmlformats-officedocument.drawingml.chart+xml"/>
  <Override PartName="/xl/charts/chart550.xml" ContentType="application/vnd.openxmlformats-officedocument.drawingml.chart+xml"/>
  <Override PartName="/xl/charts/chart551.xml" ContentType="application/vnd.openxmlformats-officedocument.drawingml.chart+xml"/>
  <Override PartName="/xl/charts/chart552.xml" ContentType="application/vnd.openxmlformats-officedocument.drawingml.chart+xml"/>
  <Override PartName="/xl/charts/chart553.xml" ContentType="application/vnd.openxmlformats-officedocument.drawingml.chart+xml"/>
  <Override PartName="/xl/charts/chart554.xml" ContentType="application/vnd.openxmlformats-officedocument.drawingml.chart+xml"/>
  <Override PartName="/xl/charts/chart555.xml" ContentType="application/vnd.openxmlformats-officedocument.drawingml.chart+xml"/>
  <Override PartName="/xl/charts/chart556.xml" ContentType="application/vnd.openxmlformats-officedocument.drawingml.chart+xml"/>
  <Override PartName="/xl/charts/chart557.xml" ContentType="application/vnd.openxmlformats-officedocument.drawingml.chart+xml"/>
  <Override PartName="/xl/charts/chart558.xml" ContentType="application/vnd.openxmlformats-officedocument.drawingml.chart+xml"/>
  <Override PartName="/xl/charts/chart559.xml" ContentType="application/vnd.openxmlformats-officedocument.drawingml.chart+xml"/>
  <Override PartName="/xl/charts/chart560.xml" ContentType="application/vnd.openxmlformats-officedocument.drawingml.chart+xml"/>
  <Override PartName="/xl/charts/chart561.xml" ContentType="application/vnd.openxmlformats-officedocument.drawingml.chart+xml"/>
  <Override PartName="/xl/charts/chart562.xml" ContentType="application/vnd.openxmlformats-officedocument.drawingml.chart+xml"/>
  <Override PartName="/xl/charts/chart563.xml" ContentType="application/vnd.openxmlformats-officedocument.drawingml.chart+xml"/>
  <Override PartName="/xl/charts/chart564.xml" ContentType="application/vnd.openxmlformats-officedocument.drawingml.chart+xml"/>
  <Override PartName="/xl/charts/chart565.xml" ContentType="application/vnd.openxmlformats-officedocument.drawingml.chart+xml"/>
  <Override PartName="/xl/charts/chart566.xml" ContentType="application/vnd.openxmlformats-officedocument.drawingml.chart+xml"/>
  <Override PartName="/xl/charts/chart567.xml" ContentType="application/vnd.openxmlformats-officedocument.drawingml.chart+xml"/>
  <Override PartName="/xl/charts/chart568.xml" ContentType="application/vnd.openxmlformats-officedocument.drawingml.chart+xml"/>
  <Override PartName="/xl/charts/chart569.xml" ContentType="application/vnd.openxmlformats-officedocument.drawingml.chart+xml"/>
  <Override PartName="/xl/charts/chart570.xml" ContentType="application/vnd.openxmlformats-officedocument.drawingml.chart+xml"/>
  <Override PartName="/xl/charts/chart571.xml" ContentType="application/vnd.openxmlformats-officedocument.drawingml.chart+xml"/>
  <Override PartName="/xl/charts/chart572.xml" ContentType="application/vnd.openxmlformats-officedocument.drawingml.chart+xml"/>
  <Override PartName="/xl/charts/chart573.xml" ContentType="application/vnd.openxmlformats-officedocument.drawingml.chart+xml"/>
  <Override PartName="/xl/charts/chart574.xml" ContentType="application/vnd.openxmlformats-officedocument.drawingml.chart+xml"/>
  <Override PartName="/xl/charts/chart575.xml" ContentType="application/vnd.openxmlformats-officedocument.drawingml.chart+xml"/>
  <Override PartName="/xl/charts/chart576.xml" ContentType="application/vnd.openxmlformats-officedocument.drawingml.chart+xml"/>
  <Override PartName="/xl/charts/chart577.xml" ContentType="application/vnd.openxmlformats-officedocument.drawingml.chart+xml"/>
  <Override PartName="/xl/charts/chart578.xml" ContentType="application/vnd.openxmlformats-officedocument.drawingml.chart+xml"/>
  <Override PartName="/xl/charts/chart579.xml" ContentType="application/vnd.openxmlformats-officedocument.drawingml.chart+xml"/>
  <Override PartName="/xl/charts/chart580.xml" ContentType="application/vnd.openxmlformats-officedocument.drawingml.chart+xml"/>
  <Override PartName="/xl/charts/chart581.xml" ContentType="application/vnd.openxmlformats-officedocument.drawingml.chart+xml"/>
  <Override PartName="/xl/charts/chart582.xml" ContentType="application/vnd.openxmlformats-officedocument.drawingml.chart+xml"/>
  <Override PartName="/xl/charts/chart583.xml" ContentType="application/vnd.openxmlformats-officedocument.drawingml.chart+xml"/>
  <Override PartName="/xl/charts/chart584.xml" ContentType="application/vnd.openxmlformats-officedocument.drawingml.chart+xml"/>
  <Override PartName="/xl/charts/chart585.xml" ContentType="application/vnd.openxmlformats-officedocument.drawingml.chart+xml"/>
  <Override PartName="/xl/charts/chart586.xml" ContentType="application/vnd.openxmlformats-officedocument.drawingml.chart+xml"/>
  <Override PartName="/xl/charts/chart587.xml" ContentType="application/vnd.openxmlformats-officedocument.drawingml.chart+xml"/>
  <Override PartName="/xl/charts/chart588.xml" ContentType="application/vnd.openxmlformats-officedocument.drawingml.chart+xml"/>
  <Override PartName="/xl/charts/chart589.xml" ContentType="application/vnd.openxmlformats-officedocument.drawingml.chart+xml"/>
  <Override PartName="/xl/charts/chart590.xml" ContentType="application/vnd.openxmlformats-officedocument.drawingml.chart+xml"/>
  <Override PartName="/xl/charts/chart591.xml" ContentType="application/vnd.openxmlformats-officedocument.drawingml.chart+xml"/>
  <Override PartName="/xl/charts/chart592.xml" ContentType="application/vnd.openxmlformats-officedocument.drawingml.chart+xml"/>
  <Override PartName="/xl/charts/chart593.xml" ContentType="application/vnd.openxmlformats-officedocument.drawingml.chart+xml"/>
  <Override PartName="/xl/charts/chart594.xml" ContentType="application/vnd.openxmlformats-officedocument.drawingml.chart+xml"/>
  <Override PartName="/xl/charts/chart595.xml" ContentType="application/vnd.openxmlformats-officedocument.drawingml.chart+xml"/>
  <Override PartName="/xl/charts/chart596.xml" ContentType="application/vnd.openxmlformats-officedocument.drawingml.chart+xml"/>
  <Override PartName="/xl/charts/chart597.xml" ContentType="application/vnd.openxmlformats-officedocument.drawingml.chart+xml"/>
  <Override PartName="/xl/charts/chart598.xml" ContentType="application/vnd.openxmlformats-officedocument.drawingml.chart+xml"/>
  <Override PartName="/xl/charts/chart599.xml" ContentType="application/vnd.openxmlformats-officedocument.drawingml.chart+xml"/>
  <Override PartName="/xl/charts/chart600.xml" ContentType="application/vnd.openxmlformats-officedocument.drawingml.chart+xml"/>
  <Override PartName="/xl/charts/chart601.xml" ContentType="application/vnd.openxmlformats-officedocument.drawingml.chart+xml"/>
  <Override PartName="/xl/charts/chart602.xml" ContentType="application/vnd.openxmlformats-officedocument.drawingml.chart+xml"/>
  <Override PartName="/xl/charts/chart603.xml" ContentType="application/vnd.openxmlformats-officedocument.drawingml.chart+xml"/>
  <Override PartName="/xl/charts/chart604.xml" ContentType="application/vnd.openxmlformats-officedocument.drawingml.chart+xml"/>
  <Override PartName="/xl/charts/chart605.xml" ContentType="application/vnd.openxmlformats-officedocument.drawingml.chart+xml"/>
  <Override PartName="/xl/charts/chart606.xml" ContentType="application/vnd.openxmlformats-officedocument.drawingml.chart+xml"/>
  <Override PartName="/xl/charts/chart607.xml" ContentType="application/vnd.openxmlformats-officedocument.drawingml.chart+xml"/>
  <Override PartName="/xl/charts/chart608.xml" ContentType="application/vnd.openxmlformats-officedocument.drawingml.chart+xml"/>
  <Override PartName="/xl/charts/chart609.xml" ContentType="application/vnd.openxmlformats-officedocument.drawingml.chart+xml"/>
  <Override PartName="/xl/charts/chart610.xml" ContentType="application/vnd.openxmlformats-officedocument.drawingml.chart+xml"/>
  <Override PartName="/xl/charts/chart611.xml" ContentType="application/vnd.openxmlformats-officedocument.drawingml.chart+xml"/>
  <Override PartName="/xl/charts/chart612.xml" ContentType="application/vnd.openxmlformats-officedocument.drawingml.chart+xml"/>
  <Override PartName="/xl/charts/chart613.xml" ContentType="application/vnd.openxmlformats-officedocument.drawingml.chart+xml"/>
  <Override PartName="/xl/charts/chart614.xml" ContentType="application/vnd.openxmlformats-officedocument.drawingml.chart+xml"/>
  <Override PartName="/xl/charts/chart615.xml" ContentType="application/vnd.openxmlformats-officedocument.drawingml.chart+xml"/>
  <Override PartName="/xl/charts/chart616.xml" ContentType="application/vnd.openxmlformats-officedocument.drawingml.chart+xml"/>
  <Override PartName="/xl/charts/chart617.xml" ContentType="application/vnd.openxmlformats-officedocument.drawingml.chart+xml"/>
  <Override PartName="/xl/charts/chart618.xml" ContentType="application/vnd.openxmlformats-officedocument.drawingml.chart+xml"/>
  <Override PartName="/xl/charts/chart619.xml" ContentType="application/vnd.openxmlformats-officedocument.drawingml.chart+xml"/>
  <Override PartName="/xl/charts/chart620.xml" ContentType="application/vnd.openxmlformats-officedocument.drawingml.chart+xml"/>
  <Override PartName="/xl/charts/chart621.xml" ContentType="application/vnd.openxmlformats-officedocument.drawingml.chart+xml"/>
  <Override PartName="/xl/charts/chart622.xml" ContentType="application/vnd.openxmlformats-officedocument.drawingml.chart+xml"/>
  <Override PartName="/xl/charts/chart623.xml" ContentType="application/vnd.openxmlformats-officedocument.drawingml.chart+xml"/>
  <Override PartName="/xl/charts/chart624.xml" ContentType="application/vnd.openxmlformats-officedocument.drawingml.chart+xml"/>
  <Override PartName="/xl/charts/chart625.xml" ContentType="application/vnd.openxmlformats-officedocument.drawingml.chart+xml"/>
  <Override PartName="/xl/charts/chart626.xml" ContentType="application/vnd.openxmlformats-officedocument.drawingml.chart+xml"/>
  <Override PartName="/xl/charts/chart627.xml" ContentType="application/vnd.openxmlformats-officedocument.drawingml.chart+xml"/>
  <Override PartName="/xl/charts/chart628.xml" ContentType="application/vnd.openxmlformats-officedocument.drawingml.chart+xml"/>
  <Override PartName="/xl/charts/chart629.xml" ContentType="application/vnd.openxmlformats-officedocument.drawingml.chart+xml"/>
  <Override PartName="/xl/charts/chart630.xml" ContentType="application/vnd.openxmlformats-officedocument.drawingml.chart+xml"/>
  <Override PartName="/xl/charts/chart631.xml" ContentType="application/vnd.openxmlformats-officedocument.drawingml.chart+xml"/>
  <Override PartName="/xl/charts/chart632.xml" ContentType="application/vnd.openxmlformats-officedocument.drawingml.chart+xml"/>
  <Override PartName="/xl/charts/chart633.xml" ContentType="application/vnd.openxmlformats-officedocument.drawingml.chart+xml"/>
  <Override PartName="/xl/charts/chart634.xml" ContentType="application/vnd.openxmlformats-officedocument.drawingml.chart+xml"/>
  <Override PartName="/xl/charts/chart635.xml" ContentType="application/vnd.openxmlformats-officedocument.drawingml.chart+xml"/>
  <Override PartName="/xl/charts/chart636.xml" ContentType="application/vnd.openxmlformats-officedocument.drawingml.chart+xml"/>
  <Override PartName="/xl/charts/chart637.xml" ContentType="application/vnd.openxmlformats-officedocument.drawingml.chart+xml"/>
  <Override PartName="/xl/charts/chart638.xml" ContentType="application/vnd.openxmlformats-officedocument.drawingml.chart+xml"/>
  <Override PartName="/xl/charts/chart639.xml" ContentType="application/vnd.openxmlformats-officedocument.drawingml.chart+xml"/>
  <Override PartName="/xl/charts/chart640.xml" ContentType="application/vnd.openxmlformats-officedocument.drawingml.chart+xml"/>
  <Override PartName="/xl/charts/chart641.xml" ContentType="application/vnd.openxmlformats-officedocument.drawingml.chart+xml"/>
  <Override PartName="/xl/charts/chart642.xml" ContentType="application/vnd.openxmlformats-officedocument.drawingml.chart+xml"/>
  <Override PartName="/xl/charts/chart643.xml" ContentType="application/vnd.openxmlformats-officedocument.drawingml.chart+xml"/>
  <Override PartName="/xl/charts/chart644.xml" ContentType="application/vnd.openxmlformats-officedocument.drawingml.chart+xml"/>
  <Override PartName="/xl/charts/chart645.xml" ContentType="application/vnd.openxmlformats-officedocument.drawingml.chart+xml"/>
  <Override PartName="/xl/charts/chart646.xml" ContentType="application/vnd.openxmlformats-officedocument.drawingml.chart+xml"/>
  <Override PartName="/xl/charts/chart647.xml" ContentType="application/vnd.openxmlformats-officedocument.drawingml.chart+xml"/>
  <Override PartName="/xl/charts/chart648.xml" ContentType="application/vnd.openxmlformats-officedocument.drawingml.chart+xml"/>
  <Override PartName="/xl/charts/chart649.xml" ContentType="application/vnd.openxmlformats-officedocument.drawingml.chart+xml"/>
  <Override PartName="/xl/charts/chart650.xml" ContentType="application/vnd.openxmlformats-officedocument.drawingml.chart+xml"/>
  <Override PartName="/xl/charts/chart651.xml" ContentType="application/vnd.openxmlformats-officedocument.drawingml.chart+xml"/>
  <Override PartName="/xl/charts/chart652.xml" ContentType="application/vnd.openxmlformats-officedocument.drawingml.chart+xml"/>
  <Override PartName="/xl/charts/chart653.xml" ContentType="application/vnd.openxmlformats-officedocument.drawingml.chart+xml"/>
  <Override PartName="/xl/charts/chart654.xml" ContentType="application/vnd.openxmlformats-officedocument.drawingml.chart+xml"/>
  <Override PartName="/xl/charts/chart655.xml" ContentType="application/vnd.openxmlformats-officedocument.drawingml.chart+xml"/>
  <Override PartName="/xl/charts/chart656.xml" ContentType="application/vnd.openxmlformats-officedocument.drawingml.chart+xml"/>
  <Override PartName="/xl/charts/chart657.xml" ContentType="application/vnd.openxmlformats-officedocument.drawingml.chart+xml"/>
  <Override PartName="/xl/charts/chart658.xml" ContentType="application/vnd.openxmlformats-officedocument.drawingml.chart+xml"/>
  <Override PartName="/xl/charts/chart659.xml" ContentType="application/vnd.openxmlformats-officedocument.drawingml.chart+xml"/>
  <Override PartName="/xl/charts/chart660.xml" ContentType="application/vnd.openxmlformats-officedocument.drawingml.chart+xml"/>
  <Override PartName="/xl/charts/chart661.xml" ContentType="application/vnd.openxmlformats-officedocument.drawingml.chart+xml"/>
  <Override PartName="/xl/charts/chart662.xml" ContentType="application/vnd.openxmlformats-officedocument.drawingml.chart+xml"/>
  <Override PartName="/xl/charts/chart663.xml" ContentType="application/vnd.openxmlformats-officedocument.drawingml.chart+xml"/>
  <Override PartName="/xl/charts/chart664.xml" ContentType="application/vnd.openxmlformats-officedocument.drawingml.chart+xml"/>
  <Override PartName="/xl/charts/chart665.xml" ContentType="application/vnd.openxmlformats-officedocument.drawingml.chart+xml"/>
  <Override PartName="/xl/charts/chart666.xml" ContentType="application/vnd.openxmlformats-officedocument.drawingml.chart+xml"/>
  <Override PartName="/xl/charts/chart667.xml" ContentType="application/vnd.openxmlformats-officedocument.drawingml.chart+xml"/>
  <Override PartName="/xl/charts/chart668.xml" ContentType="application/vnd.openxmlformats-officedocument.drawingml.chart+xml"/>
  <Override PartName="/xl/charts/chart669.xml" ContentType="application/vnd.openxmlformats-officedocument.drawingml.chart+xml"/>
  <Override PartName="/xl/charts/chart670.xml" ContentType="application/vnd.openxmlformats-officedocument.drawingml.chart+xml"/>
  <Override PartName="/xl/charts/chart671.xml" ContentType="application/vnd.openxmlformats-officedocument.drawingml.chart+xml"/>
  <Override PartName="/xl/charts/chart672.xml" ContentType="application/vnd.openxmlformats-officedocument.drawingml.chart+xml"/>
  <Override PartName="/xl/charts/chart673.xml" ContentType="application/vnd.openxmlformats-officedocument.drawingml.chart+xml"/>
  <Override PartName="/xl/charts/chart674.xml" ContentType="application/vnd.openxmlformats-officedocument.drawingml.chart+xml"/>
  <Override PartName="/xl/charts/chart675.xml" ContentType="application/vnd.openxmlformats-officedocument.drawingml.chart+xml"/>
  <Override PartName="/xl/charts/chart676.xml" ContentType="application/vnd.openxmlformats-officedocument.drawingml.chart+xml"/>
  <Override PartName="/xl/charts/chart677.xml" ContentType="application/vnd.openxmlformats-officedocument.drawingml.chart+xml"/>
  <Override PartName="/xl/charts/chart678.xml" ContentType="application/vnd.openxmlformats-officedocument.drawingml.chart+xml"/>
  <Override PartName="/xl/charts/chart679.xml" ContentType="application/vnd.openxmlformats-officedocument.drawingml.chart+xml"/>
  <Override PartName="/xl/charts/chart680.xml" ContentType="application/vnd.openxmlformats-officedocument.drawingml.chart+xml"/>
  <Override PartName="/xl/charts/chart681.xml" ContentType="application/vnd.openxmlformats-officedocument.drawingml.chart+xml"/>
  <Override PartName="/xl/charts/chart682.xml" ContentType="application/vnd.openxmlformats-officedocument.drawingml.chart+xml"/>
  <Override PartName="/xl/charts/chart683.xml" ContentType="application/vnd.openxmlformats-officedocument.drawingml.chart+xml"/>
  <Override PartName="/xl/charts/chart684.xml" ContentType="application/vnd.openxmlformats-officedocument.drawingml.chart+xml"/>
  <Override PartName="/xl/charts/chart685.xml" ContentType="application/vnd.openxmlformats-officedocument.drawingml.chart+xml"/>
  <Override PartName="/xl/charts/chart686.xml" ContentType="application/vnd.openxmlformats-officedocument.drawingml.chart+xml"/>
  <Override PartName="/xl/charts/chart687.xml" ContentType="application/vnd.openxmlformats-officedocument.drawingml.chart+xml"/>
  <Override PartName="/xl/charts/chart688.xml" ContentType="application/vnd.openxmlformats-officedocument.drawingml.chart+xml"/>
  <Override PartName="/xl/charts/chart689.xml" ContentType="application/vnd.openxmlformats-officedocument.drawingml.chart+xml"/>
  <Override PartName="/xl/charts/chart690.xml" ContentType="application/vnd.openxmlformats-officedocument.drawingml.chart+xml"/>
  <Override PartName="/xl/charts/chart691.xml" ContentType="application/vnd.openxmlformats-officedocument.drawingml.chart+xml"/>
  <Override PartName="/xl/charts/chart692.xml" ContentType="application/vnd.openxmlformats-officedocument.drawingml.chart+xml"/>
  <Override PartName="/xl/charts/chart693.xml" ContentType="application/vnd.openxmlformats-officedocument.drawingml.chart+xml"/>
  <Override PartName="/xl/charts/chart694.xml" ContentType="application/vnd.openxmlformats-officedocument.drawingml.chart+xml"/>
  <Override PartName="/xl/charts/chart695.xml" ContentType="application/vnd.openxmlformats-officedocument.drawingml.chart+xml"/>
  <Override PartName="/xl/charts/chart696.xml" ContentType="application/vnd.openxmlformats-officedocument.drawingml.chart+xml"/>
  <Override PartName="/xl/charts/chart697.xml" ContentType="application/vnd.openxmlformats-officedocument.drawingml.chart+xml"/>
  <Override PartName="/xl/charts/chart698.xml" ContentType="application/vnd.openxmlformats-officedocument.drawingml.chart+xml"/>
  <Override PartName="/xl/charts/chart699.xml" ContentType="application/vnd.openxmlformats-officedocument.drawingml.chart+xml"/>
  <Override PartName="/xl/charts/chart700.xml" ContentType="application/vnd.openxmlformats-officedocument.drawingml.chart+xml"/>
  <Override PartName="/xl/charts/chart701.xml" ContentType="application/vnd.openxmlformats-officedocument.drawingml.chart+xml"/>
  <Override PartName="/xl/charts/chart702.xml" ContentType="application/vnd.openxmlformats-officedocument.drawingml.chart+xml"/>
  <Override PartName="/xl/charts/chart703.xml" ContentType="application/vnd.openxmlformats-officedocument.drawingml.chart+xml"/>
  <Override PartName="/xl/charts/chart704.xml" ContentType="application/vnd.openxmlformats-officedocument.drawingml.chart+xml"/>
  <Override PartName="/xl/charts/chart705.xml" ContentType="application/vnd.openxmlformats-officedocument.drawingml.chart+xml"/>
  <Override PartName="/xl/charts/chart706.xml" ContentType="application/vnd.openxmlformats-officedocument.drawingml.chart+xml"/>
  <Override PartName="/xl/charts/chart707.xml" ContentType="application/vnd.openxmlformats-officedocument.drawingml.chart+xml"/>
  <Override PartName="/xl/charts/chart708.xml" ContentType="application/vnd.openxmlformats-officedocument.drawingml.chart+xml"/>
  <Override PartName="/xl/charts/chart709.xml" ContentType="application/vnd.openxmlformats-officedocument.drawingml.chart+xml"/>
  <Override PartName="/xl/charts/chart710.xml" ContentType="application/vnd.openxmlformats-officedocument.drawingml.chart+xml"/>
  <Override PartName="/xl/charts/chart711.xml" ContentType="application/vnd.openxmlformats-officedocument.drawingml.chart+xml"/>
  <Override PartName="/xl/charts/chart712.xml" ContentType="application/vnd.openxmlformats-officedocument.drawingml.chart+xml"/>
  <Override PartName="/xl/charts/chart713.xml" ContentType="application/vnd.openxmlformats-officedocument.drawingml.chart+xml"/>
  <Override PartName="/xl/charts/chart714.xml" ContentType="application/vnd.openxmlformats-officedocument.drawingml.chart+xml"/>
  <Override PartName="/xl/charts/chart715.xml" ContentType="application/vnd.openxmlformats-officedocument.drawingml.chart+xml"/>
  <Override PartName="/xl/charts/chart716.xml" ContentType="application/vnd.openxmlformats-officedocument.drawingml.chart+xml"/>
  <Override PartName="/xl/charts/chart717.xml" ContentType="application/vnd.openxmlformats-officedocument.drawingml.chart+xml"/>
  <Override PartName="/xl/charts/chart718.xml" ContentType="application/vnd.openxmlformats-officedocument.drawingml.chart+xml"/>
  <Override PartName="/xl/charts/chart719.xml" ContentType="application/vnd.openxmlformats-officedocument.drawingml.chart+xml"/>
  <Override PartName="/xl/charts/chart720.xml" ContentType="application/vnd.openxmlformats-officedocument.drawingml.chart+xml"/>
  <Override PartName="/xl/charts/chart721.xml" ContentType="application/vnd.openxmlformats-officedocument.drawingml.chart+xml"/>
  <Override PartName="/xl/charts/chart722.xml" ContentType="application/vnd.openxmlformats-officedocument.drawingml.chart+xml"/>
  <Override PartName="/xl/charts/chart723.xml" ContentType="application/vnd.openxmlformats-officedocument.drawingml.chart+xml"/>
  <Override PartName="/xl/charts/chart724.xml" ContentType="application/vnd.openxmlformats-officedocument.drawingml.chart+xml"/>
  <Override PartName="/xl/charts/chart725.xml" ContentType="application/vnd.openxmlformats-officedocument.drawingml.chart+xml"/>
  <Override PartName="/xl/charts/chart726.xml" ContentType="application/vnd.openxmlformats-officedocument.drawingml.chart+xml"/>
  <Override PartName="/xl/charts/chart727.xml" ContentType="application/vnd.openxmlformats-officedocument.drawingml.chart+xml"/>
  <Override PartName="/xl/charts/chart728.xml" ContentType="application/vnd.openxmlformats-officedocument.drawingml.chart+xml"/>
  <Override PartName="/xl/charts/chart729.xml" ContentType="application/vnd.openxmlformats-officedocument.drawingml.chart+xml"/>
  <Override PartName="/xl/charts/chart730.xml" ContentType="application/vnd.openxmlformats-officedocument.drawingml.chart+xml"/>
  <Override PartName="/xl/charts/chart731.xml" ContentType="application/vnd.openxmlformats-officedocument.drawingml.chart+xml"/>
  <Override PartName="/xl/charts/chart732.xml" ContentType="application/vnd.openxmlformats-officedocument.drawingml.chart+xml"/>
  <Override PartName="/xl/charts/chart733.xml" ContentType="application/vnd.openxmlformats-officedocument.drawingml.chart+xml"/>
  <Override PartName="/xl/charts/chart734.xml" ContentType="application/vnd.openxmlformats-officedocument.drawingml.chart+xml"/>
  <Override PartName="/xl/charts/chart735.xml" ContentType="application/vnd.openxmlformats-officedocument.drawingml.chart+xml"/>
  <Override PartName="/xl/charts/chart736.xml" ContentType="application/vnd.openxmlformats-officedocument.drawingml.chart+xml"/>
  <Override PartName="/xl/charts/chart737.xml" ContentType="application/vnd.openxmlformats-officedocument.drawingml.chart+xml"/>
  <Override PartName="/xl/charts/chart738.xml" ContentType="application/vnd.openxmlformats-officedocument.drawingml.chart+xml"/>
  <Override PartName="/xl/charts/chart739.xml" ContentType="application/vnd.openxmlformats-officedocument.drawingml.chart+xml"/>
  <Override PartName="/xl/charts/chart740.xml" ContentType="application/vnd.openxmlformats-officedocument.drawingml.chart+xml"/>
  <Override PartName="/xl/charts/chart741.xml" ContentType="application/vnd.openxmlformats-officedocument.drawingml.chart+xml"/>
  <Override PartName="/xl/charts/chart742.xml" ContentType="application/vnd.openxmlformats-officedocument.drawingml.chart+xml"/>
  <Override PartName="/xl/charts/chart743.xml" ContentType="application/vnd.openxmlformats-officedocument.drawingml.chart+xml"/>
  <Override PartName="/xl/charts/chart744.xml" ContentType="application/vnd.openxmlformats-officedocument.drawingml.chart+xml"/>
  <Override PartName="/xl/charts/chart745.xml" ContentType="application/vnd.openxmlformats-officedocument.drawingml.chart+xml"/>
  <Override PartName="/xl/charts/chart746.xml" ContentType="application/vnd.openxmlformats-officedocument.drawingml.chart+xml"/>
  <Override PartName="/xl/charts/chart747.xml" ContentType="application/vnd.openxmlformats-officedocument.drawingml.chart+xml"/>
  <Override PartName="/xl/charts/chart748.xml" ContentType="application/vnd.openxmlformats-officedocument.drawingml.chart+xml"/>
  <Override PartName="/xl/charts/chart749.xml" ContentType="application/vnd.openxmlformats-officedocument.drawingml.chart+xml"/>
  <Override PartName="/xl/charts/chart750.xml" ContentType="application/vnd.openxmlformats-officedocument.drawingml.chart+xml"/>
  <Override PartName="/xl/charts/chart751.xml" ContentType="application/vnd.openxmlformats-officedocument.drawingml.chart+xml"/>
  <Override PartName="/xl/charts/chart752.xml" ContentType="application/vnd.openxmlformats-officedocument.drawingml.chart+xml"/>
  <Override PartName="/xl/charts/chart753.xml" ContentType="application/vnd.openxmlformats-officedocument.drawingml.chart+xml"/>
  <Override PartName="/xl/charts/chart754.xml" ContentType="application/vnd.openxmlformats-officedocument.drawingml.chart+xml"/>
  <Override PartName="/xl/charts/chart755.xml" ContentType="application/vnd.openxmlformats-officedocument.drawingml.chart+xml"/>
  <Override PartName="/xl/charts/chart756.xml" ContentType="application/vnd.openxmlformats-officedocument.drawingml.chart+xml"/>
  <Override PartName="/xl/charts/chart757.xml" ContentType="application/vnd.openxmlformats-officedocument.drawingml.chart+xml"/>
  <Override PartName="/xl/charts/chart758.xml" ContentType="application/vnd.openxmlformats-officedocument.drawingml.chart+xml"/>
  <Override PartName="/xl/charts/chart759.xml" ContentType="application/vnd.openxmlformats-officedocument.drawingml.chart+xml"/>
  <Override PartName="/xl/charts/chart760.xml" ContentType="application/vnd.openxmlformats-officedocument.drawingml.chart+xml"/>
  <Override PartName="/xl/charts/chart761.xml" ContentType="application/vnd.openxmlformats-officedocument.drawingml.chart+xml"/>
  <Override PartName="/xl/charts/chart762.xml" ContentType="application/vnd.openxmlformats-officedocument.drawingml.chart+xml"/>
  <Override PartName="/xl/charts/chart763.xml" ContentType="application/vnd.openxmlformats-officedocument.drawingml.chart+xml"/>
  <Override PartName="/xl/charts/chart764.xml" ContentType="application/vnd.openxmlformats-officedocument.drawingml.chart+xml"/>
  <Override PartName="/xl/charts/chart765.xml" ContentType="application/vnd.openxmlformats-officedocument.drawingml.chart+xml"/>
  <Override PartName="/xl/charts/chart766.xml" ContentType="application/vnd.openxmlformats-officedocument.drawingml.chart+xml"/>
  <Override PartName="/xl/charts/chart767.xml" ContentType="application/vnd.openxmlformats-officedocument.drawingml.chart+xml"/>
  <Override PartName="/xl/charts/chart768.xml" ContentType="application/vnd.openxmlformats-officedocument.drawingml.chart+xml"/>
  <Override PartName="/xl/charts/chart769.xml" ContentType="application/vnd.openxmlformats-officedocument.drawingml.chart+xml"/>
  <Override PartName="/xl/charts/chart770.xml" ContentType="application/vnd.openxmlformats-officedocument.drawingml.chart+xml"/>
  <Override PartName="/xl/charts/chart771.xml" ContentType="application/vnd.openxmlformats-officedocument.drawingml.chart+xml"/>
  <Override PartName="/xl/charts/chart772.xml" ContentType="application/vnd.openxmlformats-officedocument.drawingml.chart+xml"/>
  <Override PartName="/xl/charts/chart773.xml" ContentType="application/vnd.openxmlformats-officedocument.drawingml.chart+xml"/>
  <Override PartName="/xl/charts/chart774.xml" ContentType="application/vnd.openxmlformats-officedocument.drawingml.chart+xml"/>
  <Override PartName="/xl/charts/chart775.xml" ContentType="application/vnd.openxmlformats-officedocument.drawingml.chart+xml"/>
  <Override PartName="/xl/charts/chart776.xml" ContentType="application/vnd.openxmlformats-officedocument.drawingml.chart+xml"/>
  <Override PartName="/xl/charts/chart777.xml" ContentType="application/vnd.openxmlformats-officedocument.drawingml.chart+xml"/>
  <Override PartName="/xl/charts/chart778.xml" ContentType="application/vnd.openxmlformats-officedocument.drawingml.chart+xml"/>
  <Override PartName="/xl/charts/chart779.xml" ContentType="application/vnd.openxmlformats-officedocument.drawingml.chart+xml"/>
  <Override PartName="/xl/charts/chart780.xml" ContentType="application/vnd.openxmlformats-officedocument.drawingml.chart+xml"/>
  <Override PartName="/xl/charts/chart781.xml" ContentType="application/vnd.openxmlformats-officedocument.drawingml.chart+xml"/>
  <Override PartName="/xl/charts/chart782.xml" ContentType="application/vnd.openxmlformats-officedocument.drawingml.chart+xml"/>
  <Override PartName="/xl/charts/chart783.xml" ContentType="application/vnd.openxmlformats-officedocument.drawingml.chart+xml"/>
  <Override PartName="/xl/charts/chart784.xml" ContentType="application/vnd.openxmlformats-officedocument.drawingml.chart+xml"/>
  <Override PartName="/xl/charts/chart785.xml" ContentType="application/vnd.openxmlformats-officedocument.drawingml.chart+xml"/>
  <Override PartName="/xl/charts/chart786.xml" ContentType="application/vnd.openxmlformats-officedocument.drawingml.chart+xml"/>
  <Override PartName="/xl/charts/chart787.xml" ContentType="application/vnd.openxmlformats-officedocument.drawingml.chart+xml"/>
  <Override PartName="/xl/charts/chart788.xml" ContentType="application/vnd.openxmlformats-officedocument.drawingml.chart+xml"/>
  <Override PartName="/xl/charts/chart789.xml" ContentType="application/vnd.openxmlformats-officedocument.drawingml.chart+xml"/>
  <Override PartName="/xl/charts/chart790.xml" ContentType="application/vnd.openxmlformats-officedocument.drawingml.chart+xml"/>
  <Override PartName="/xl/charts/chart791.xml" ContentType="application/vnd.openxmlformats-officedocument.drawingml.chart+xml"/>
  <Override PartName="/xl/charts/chart792.xml" ContentType="application/vnd.openxmlformats-officedocument.drawingml.chart+xml"/>
  <Override PartName="/xl/charts/chart793.xml" ContentType="application/vnd.openxmlformats-officedocument.drawingml.chart+xml"/>
  <Override PartName="/xl/charts/chart794.xml" ContentType="application/vnd.openxmlformats-officedocument.drawingml.chart+xml"/>
  <Override PartName="/xl/charts/chart795.xml" ContentType="application/vnd.openxmlformats-officedocument.drawingml.chart+xml"/>
  <Override PartName="/xl/charts/chart796.xml" ContentType="application/vnd.openxmlformats-officedocument.drawingml.chart+xml"/>
  <Override PartName="/xl/charts/chart797.xml" ContentType="application/vnd.openxmlformats-officedocument.drawingml.chart+xml"/>
  <Override PartName="/xl/charts/chart798.xml" ContentType="application/vnd.openxmlformats-officedocument.drawingml.chart+xml"/>
  <Override PartName="/xl/charts/chart799.xml" ContentType="application/vnd.openxmlformats-officedocument.drawingml.chart+xml"/>
  <Override PartName="/xl/charts/chart800.xml" ContentType="application/vnd.openxmlformats-officedocument.drawingml.chart+xml"/>
  <Override PartName="/xl/charts/chart801.xml" ContentType="application/vnd.openxmlformats-officedocument.drawingml.chart+xml"/>
  <Override PartName="/xl/charts/chart802.xml" ContentType="application/vnd.openxmlformats-officedocument.drawingml.chart+xml"/>
  <Override PartName="/xl/charts/chart803.xml" ContentType="application/vnd.openxmlformats-officedocument.drawingml.chart+xml"/>
  <Override PartName="/xl/charts/chart804.xml" ContentType="application/vnd.openxmlformats-officedocument.drawingml.chart+xml"/>
  <Override PartName="/xl/charts/chart805.xml" ContentType="application/vnd.openxmlformats-officedocument.drawingml.chart+xml"/>
  <Override PartName="/xl/charts/chart806.xml" ContentType="application/vnd.openxmlformats-officedocument.drawingml.chart+xml"/>
  <Override PartName="/xl/charts/chart807.xml" ContentType="application/vnd.openxmlformats-officedocument.drawingml.chart+xml"/>
  <Override PartName="/xl/charts/chart808.xml" ContentType="application/vnd.openxmlformats-officedocument.drawingml.chart+xml"/>
  <Override PartName="/xl/charts/chart809.xml" ContentType="application/vnd.openxmlformats-officedocument.drawingml.chart+xml"/>
  <Override PartName="/xl/charts/chart810.xml" ContentType="application/vnd.openxmlformats-officedocument.drawingml.chart+xml"/>
  <Override PartName="/xl/charts/chart811.xml" ContentType="application/vnd.openxmlformats-officedocument.drawingml.chart+xml"/>
  <Override PartName="/xl/charts/chart812.xml" ContentType="application/vnd.openxmlformats-officedocument.drawingml.chart+xml"/>
  <Override PartName="/xl/charts/chart813.xml" ContentType="application/vnd.openxmlformats-officedocument.drawingml.chart+xml"/>
  <Override PartName="/xl/charts/chart814.xml" ContentType="application/vnd.openxmlformats-officedocument.drawingml.chart+xml"/>
  <Override PartName="/xl/charts/chart815.xml" ContentType="application/vnd.openxmlformats-officedocument.drawingml.chart+xml"/>
  <Override PartName="/xl/charts/chart816.xml" ContentType="application/vnd.openxmlformats-officedocument.drawingml.chart+xml"/>
  <Override PartName="/xl/charts/chart817.xml" ContentType="application/vnd.openxmlformats-officedocument.drawingml.chart+xml"/>
  <Override PartName="/xl/charts/chart818.xml" ContentType="application/vnd.openxmlformats-officedocument.drawingml.chart+xml"/>
  <Override PartName="/xl/charts/chart819.xml" ContentType="application/vnd.openxmlformats-officedocument.drawingml.chart+xml"/>
  <Override PartName="/xl/charts/chart820.xml" ContentType="application/vnd.openxmlformats-officedocument.drawingml.chart+xml"/>
  <Override PartName="/xl/charts/chart821.xml" ContentType="application/vnd.openxmlformats-officedocument.drawingml.chart+xml"/>
  <Override PartName="/xl/charts/chart822.xml" ContentType="application/vnd.openxmlformats-officedocument.drawingml.chart+xml"/>
  <Override PartName="/xl/charts/chart823.xml" ContentType="application/vnd.openxmlformats-officedocument.drawingml.chart+xml"/>
  <Override PartName="/xl/charts/chart824.xml" ContentType="application/vnd.openxmlformats-officedocument.drawingml.chart+xml"/>
  <Override PartName="/xl/charts/chart825.xml" ContentType="application/vnd.openxmlformats-officedocument.drawingml.chart+xml"/>
  <Override PartName="/xl/charts/chart826.xml" ContentType="application/vnd.openxmlformats-officedocument.drawingml.chart+xml"/>
  <Override PartName="/xl/charts/chart827.xml" ContentType="application/vnd.openxmlformats-officedocument.drawingml.chart+xml"/>
  <Override PartName="/xl/charts/chart828.xml" ContentType="application/vnd.openxmlformats-officedocument.drawingml.chart+xml"/>
  <Override PartName="/xl/charts/chart829.xml" ContentType="application/vnd.openxmlformats-officedocument.drawingml.chart+xml"/>
  <Override PartName="/xl/charts/chart830.xml" ContentType="application/vnd.openxmlformats-officedocument.drawingml.chart+xml"/>
  <Override PartName="/xl/charts/chart831.xml" ContentType="application/vnd.openxmlformats-officedocument.drawingml.chart+xml"/>
  <Override PartName="/xl/charts/chart832.xml" ContentType="application/vnd.openxmlformats-officedocument.drawingml.chart+xml"/>
  <Override PartName="/xl/charts/chart833.xml" ContentType="application/vnd.openxmlformats-officedocument.drawingml.chart+xml"/>
  <Override PartName="/xl/charts/chart834.xml" ContentType="application/vnd.openxmlformats-officedocument.drawingml.chart+xml"/>
  <Override PartName="/xl/charts/chart835.xml" ContentType="application/vnd.openxmlformats-officedocument.drawingml.chart+xml"/>
  <Override PartName="/xl/charts/chart836.xml" ContentType="application/vnd.openxmlformats-officedocument.drawingml.chart+xml"/>
  <Override PartName="/xl/charts/chart837.xml" ContentType="application/vnd.openxmlformats-officedocument.drawingml.chart+xml"/>
  <Override PartName="/xl/charts/chart838.xml" ContentType="application/vnd.openxmlformats-officedocument.drawingml.chart+xml"/>
  <Override PartName="/xl/charts/chart839.xml" ContentType="application/vnd.openxmlformats-officedocument.drawingml.chart+xml"/>
  <Override PartName="/xl/charts/chart840.xml" ContentType="application/vnd.openxmlformats-officedocument.drawingml.chart+xml"/>
  <Override PartName="/xl/charts/chart841.xml" ContentType="application/vnd.openxmlformats-officedocument.drawingml.chart+xml"/>
  <Override PartName="/xl/charts/chart842.xml" ContentType="application/vnd.openxmlformats-officedocument.drawingml.chart+xml"/>
  <Override PartName="/xl/charts/chart843.xml" ContentType="application/vnd.openxmlformats-officedocument.drawingml.chart+xml"/>
  <Override PartName="/xl/charts/chart844.xml" ContentType="application/vnd.openxmlformats-officedocument.drawingml.chart+xml"/>
  <Override PartName="/xl/charts/chart845.xml" ContentType="application/vnd.openxmlformats-officedocument.drawingml.chart+xml"/>
  <Override PartName="/xl/charts/chart846.xml" ContentType="application/vnd.openxmlformats-officedocument.drawingml.chart+xml"/>
  <Override PartName="/xl/charts/chart847.xml" ContentType="application/vnd.openxmlformats-officedocument.drawingml.chart+xml"/>
  <Override PartName="/xl/charts/chart848.xml" ContentType="application/vnd.openxmlformats-officedocument.drawingml.chart+xml"/>
  <Override PartName="/xl/charts/chart849.xml" ContentType="application/vnd.openxmlformats-officedocument.drawingml.chart+xml"/>
  <Override PartName="/xl/charts/chart850.xml" ContentType="application/vnd.openxmlformats-officedocument.drawingml.chart+xml"/>
  <Override PartName="/xl/charts/chart851.xml" ContentType="application/vnd.openxmlformats-officedocument.drawingml.chart+xml"/>
  <Override PartName="/xl/charts/chart852.xml" ContentType="application/vnd.openxmlformats-officedocument.drawingml.chart+xml"/>
  <Override PartName="/xl/charts/chart853.xml" ContentType="application/vnd.openxmlformats-officedocument.drawingml.chart+xml"/>
  <Override PartName="/xl/charts/chart854.xml" ContentType="application/vnd.openxmlformats-officedocument.drawingml.chart+xml"/>
  <Override PartName="/xl/charts/chart855.xml" ContentType="application/vnd.openxmlformats-officedocument.drawingml.chart+xml"/>
  <Override PartName="/xl/charts/chart856.xml" ContentType="application/vnd.openxmlformats-officedocument.drawingml.chart+xml"/>
  <Override PartName="/xl/charts/chart857.xml" ContentType="application/vnd.openxmlformats-officedocument.drawingml.chart+xml"/>
  <Override PartName="/xl/charts/chart858.xml" ContentType="application/vnd.openxmlformats-officedocument.drawingml.chart+xml"/>
  <Override PartName="/xl/charts/chart859.xml" ContentType="application/vnd.openxmlformats-officedocument.drawingml.chart+xml"/>
  <Override PartName="/xl/charts/chart860.xml" ContentType="application/vnd.openxmlformats-officedocument.drawingml.chart+xml"/>
  <Override PartName="/xl/charts/chart861.xml" ContentType="application/vnd.openxmlformats-officedocument.drawingml.chart+xml"/>
  <Override PartName="/xl/charts/chart862.xml" ContentType="application/vnd.openxmlformats-officedocument.drawingml.chart+xml"/>
  <Override PartName="/xl/charts/chart863.xml" ContentType="application/vnd.openxmlformats-officedocument.drawingml.chart+xml"/>
  <Override PartName="/xl/charts/chart864.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C:\Users\ebendo\Documents\GitHub\TripGen\resources\"/>
    </mc:Choice>
  </mc:AlternateContent>
  <xr:revisionPtr revIDLastSave="0" documentId="13_ncr:1_{D593104B-8014-4F29-9BE0-D4B2B26A3004}" xr6:coauthVersionLast="47" xr6:coauthVersionMax="47" xr10:uidLastSave="{00000000-0000-0000-0000-000000000000}"/>
  <bookViews>
    <workbookView xWindow="-108" yWindow="-108" windowWidth="23256" windowHeight="12456" tabRatio="943" firstSheet="5" activeTab="13" xr2:uid="{00000000-000D-0000-FFFF-FFFF00000000}"/>
  </bookViews>
  <sheets>
    <sheet name="Hinweise" sheetId="29" r:id="rId1"/>
    <sheet name="Gesamtübersicht" sheetId="9" r:id="rId2"/>
    <sheet name="Test" sheetId="30" r:id="rId3"/>
    <sheet name="großfl. Einzelhandel " sheetId="2" r:id="rId4"/>
    <sheet name="großfl. Einzelhandel BT A" sheetId="20" r:id="rId5"/>
    <sheet name="Logistikzentrum Bushof" sheetId="24" r:id="rId6"/>
    <sheet name="Dienstleistungsbetrieb BT B" sheetId="21" r:id="rId7"/>
    <sheet name="Wohnen " sheetId="22" r:id="rId8"/>
    <sheet name="Dienstleistungsbetrieb " sheetId="23" r:id="rId9"/>
    <sheet name="Discounter A" sheetId="25" r:id="rId10"/>
    <sheet name="08 - keine Nutzung" sheetId="26" r:id="rId11"/>
    <sheet name="09 - keine Nutzung" sheetId="27" r:id="rId12"/>
    <sheet name="10 - keine Nutzung" sheetId="28" r:id="rId13"/>
    <sheet name="GL-Sets" sheetId="1" r:id="rId14"/>
    <sheet name="NF-Sets" sheetId="3" r:id="rId15"/>
  </sheets>
  <functionGroups builtInGroupCount="19"/>
  <definedNames>
    <definedName name="_xlnm.Print_Area" localSheetId="10">'08 - keine Nutzung'!$I$14:$AA$133</definedName>
    <definedName name="_xlnm.Print_Area" localSheetId="11">'09 - keine Nutzung'!$I$14:$AA$133</definedName>
    <definedName name="_xlnm.Print_Area" localSheetId="12">'10 - keine Nutzung'!$I$14:$AA$133</definedName>
    <definedName name="_xlnm.Print_Area" localSheetId="8">'Dienstleistungsbetrieb '!$I$14:$AA$133</definedName>
    <definedName name="_xlnm.Print_Area" localSheetId="6">'Dienstleistungsbetrieb BT B'!$I$14:$AA$133</definedName>
    <definedName name="_xlnm.Print_Area" localSheetId="9">'Discounter A'!$I$14:$AA$133</definedName>
    <definedName name="_xlnm.Print_Area" localSheetId="1">Gesamtübersicht!$B$3:$AB$109</definedName>
    <definedName name="_xlnm.Print_Area" localSheetId="3">'großfl. Einzelhandel '!$I$14:$AA$133</definedName>
    <definedName name="_xlnm.Print_Area" localSheetId="4">'großfl. Einzelhandel BT A'!$I$14:$AA$133</definedName>
    <definedName name="_xlnm.Print_Area" localSheetId="5">'Logistikzentrum Bushof'!$I$14:$AA$133</definedName>
    <definedName name="_xlnm.Print_Area" localSheetId="7">'Wohnen '!$I$14:$AA$133</definedName>
    <definedName name="x">GET.WORKBOOK(1+0*NOW())</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9" i="2" l="1"/>
  <c r="M29" i="20"/>
  <c r="B4" i="30"/>
  <c r="C9" i="30" s="1"/>
  <c r="C13" i="30" s="1"/>
  <c r="B16" i="30" l="1"/>
  <c r="B9" i="30"/>
  <c r="B13" i="30" s="1"/>
  <c r="DD7" i="3"/>
  <c r="CY7" i="3"/>
  <c r="F6" i="20" l="1" a="1"/>
  <c r="F6" i="20" s="1"/>
  <c r="F6" i="28" l="1" a="1"/>
  <c r="F6" i="28" s="1"/>
  <c r="D6" i="28" a="1"/>
  <c r="D6" i="28" s="1"/>
  <c r="G6" i="28" s="1"/>
  <c r="F6" i="27" a="1"/>
  <c r="F6" i="27" s="1"/>
  <c r="D6" i="27" a="1"/>
  <c r="D6" i="27" s="1"/>
  <c r="G6" i="27" s="1"/>
  <c r="F6" i="26" a="1"/>
  <c r="F6" i="26" s="1"/>
  <c r="D6" i="26" a="1"/>
  <c r="D6" i="26" s="1"/>
  <c r="F6" i="25" a="1"/>
  <c r="F6" i="25" s="1"/>
  <c r="D6" i="25" a="1"/>
  <c r="D6" i="25" s="1"/>
  <c r="G6" i="25" s="1"/>
  <c r="F6" i="24" a="1"/>
  <c r="F6" i="24" s="1"/>
  <c r="D6" i="24" a="1"/>
  <c r="D6" i="24" s="1"/>
  <c r="G6" i="24" s="1"/>
  <c r="F6" i="23" a="1"/>
  <c r="F6" i="23" s="1"/>
  <c r="D6" i="23" a="1"/>
  <c r="D6" i="23" s="1"/>
  <c r="F6" i="22" a="1"/>
  <c r="F6" i="22" s="1"/>
  <c r="D6" i="22" a="1"/>
  <c r="D6" i="22" s="1"/>
  <c r="G6" i="22" s="1"/>
  <c r="F6" i="21" a="1"/>
  <c r="F6" i="21" s="1"/>
  <c r="D6" i="21" a="1"/>
  <c r="D6" i="21" s="1"/>
  <c r="G6" i="21" s="1"/>
  <c r="D6" i="20" a="1"/>
  <c r="D6" i="20" s="1"/>
  <c r="G6" i="20" s="1"/>
  <c r="F6" i="2" a="1"/>
  <c r="F6" i="2" s="1"/>
  <c r="D6" i="2" a="1"/>
  <c r="D6" i="2" s="1"/>
  <c r="G6" i="2" s="1"/>
  <c r="K9" i="20"/>
  <c r="K9" i="21"/>
  <c r="K9" i="22"/>
  <c r="K9" i="23"/>
  <c r="K9" i="24"/>
  <c r="K9" i="25"/>
  <c r="D4" i="26" a="1"/>
  <c r="D4" i="26" s="1"/>
  <c r="F4" i="26" a="1"/>
  <c r="F4" i="26" s="1"/>
  <c r="K9" i="26"/>
  <c r="D4" i="27" a="1"/>
  <c r="D4" i="27" s="1"/>
  <c r="G4" i="27" s="1"/>
  <c r="F4" i="27" a="1"/>
  <c r="F4" i="27" s="1"/>
  <c r="K9" i="27"/>
  <c r="D4" i="28" a="1"/>
  <c r="D4" i="28" s="1"/>
  <c r="F4" i="28" a="1"/>
  <c r="F4" i="28" s="1"/>
  <c r="K9" i="28"/>
  <c r="K9" i="2"/>
  <c r="K8" i="2"/>
  <c r="I15" i="28"/>
  <c r="I15" i="27"/>
  <c r="I15" i="26"/>
  <c r="I93" i="26" s="1"/>
  <c r="I15" i="25"/>
  <c r="I15" i="23"/>
  <c r="I93" i="23" s="1"/>
  <c r="I15" i="24"/>
  <c r="I51" i="24" s="1"/>
  <c r="I15" i="22"/>
  <c r="I93" i="22" s="1"/>
  <c r="I15" i="2"/>
  <c r="I51" i="2" s="1"/>
  <c r="I15" i="20"/>
  <c r="I93" i="20" s="1"/>
  <c r="I15" i="21"/>
  <c r="I51" i="21" s="1"/>
  <c r="C29" i="3"/>
  <c r="CK24" i="25" s="1"/>
  <c r="C6" i="3"/>
  <c r="H6" i="3"/>
  <c r="M6" i="3"/>
  <c r="R6" i="3"/>
  <c r="W6" i="3"/>
  <c r="AB6" i="3"/>
  <c r="AG6" i="3"/>
  <c r="AL6" i="3"/>
  <c r="AQ6" i="3"/>
  <c r="AV6" i="3"/>
  <c r="BA6" i="3"/>
  <c r="BF6" i="3"/>
  <c r="BK6" i="3"/>
  <c r="BP6" i="3"/>
  <c r="BU6" i="3"/>
  <c r="BZ6" i="3"/>
  <c r="CE6" i="3"/>
  <c r="CJ6" i="3"/>
  <c r="CO6" i="3"/>
  <c r="CT6" i="3"/>
  <c r="CY6" i="3"/>
  <c r="DD6" i="3"/>
  <c r="C7" i="3"/>
  <c r="H7" i="3"/>
  <c r="M7" i="3"/>
  <c r="R7" i="3"/>
  <c r="W7" i="3"/>
  <c r="AB7" i="3"/>
  <c r="AG7" i="3"/>
  <c r="AL7" i="3"/>
  <c r="AQ7" i="3"/>
  <c r="AV7" i="3"/>
  <c r="BA7" i="3"/>
  <c r="BF7" i="3"/>
  <c r="BK7" i="3"/>
  <c r="BP7" i="3"/>
  <c r="BU7" i="3"/>
  <c r="BZ7" i="3"/>
  <c r="CE7" i="3"/>
  <c r="CJ7" i="3"/>
  <c r="CO7" i="3"/>
  <c r="CT7" i="3"/>
  <c r="C8" i="3"/>
  <c r="H8" i="3"/>
  <c r="M8" i="3"/>
  <c r="R8" i="3"/>
  <c r="W8" i="3"/>
  <c r="AB8" i="3"/>
  <c r="AG8" i="3"/>
  <c r="AL8" i="3"/>
  <c r="AQ8" i="3"/>
  <c r="AV8" i="3"/>
  <c r="BA8" i="3"/>
  <c r="BF8" i="3"/>
  <c r="BK8" i="3"/>
  <c r="BP8" i="3"/>
  <c r="BU8" i="3"/>
  <c r="BZ8" i="3"/>
  <c r="CE8" i="3"/>
  <c r="CJ8" i="3"/>
  <c r="CO8" i="3"/>
  <c r="CT8" i="3"/>
  <c r="CY8" i="3"/>
  <c r="DD8" i="3"/>
  <c r="C9" i="3"/>
  <c r="H9" i="3"/>
  <c r="M9" i="3"/>
  <c r="R9" i="3"/>
  <c r="W9" i="3"/>
  <c r="AB9" i="3"/>
  <c r="AG9" i="3"/>
  <c r="AL9" i="3"/>
  <c r="AQ9" i="3"/>
  <c r="AV9" i="3"/>
  <c r="BA9" i="3"/>
  <c r="BF9" i="3"/>
  <c r="BK9" i="3"/>
  <c r="BP9" i="3"/>
  <c r="BU9" i="3"/>
  <c r="BZ9" i="3"/>
  <c r="CE9" i="3"/>
  <c r="CJ9" i="3"/>
  <c r="CO9" i="3"/>
  <c r="CT9" i="3"/>
  <c r="CY9" i="3"/>
  <c r="DD9" i="3"/>
  <c r="C10" i="3"/>
  <c r="H10" i="3"/>
  <c r="M10" i="3"/>
  <c r="R10" i="3"/>
  <c r="W10" i="3"/>
  <c r="AB10" i="3"/>
  <c r="AG10" i="3"/>
  <c r="AL10" i="3"/>
  <c r="AQ10" i="3"/>
  <c r="AV10" i="3"/>
  <c r="BA10" i="3"/>
  <c r="BF10" i="3"/>
  <c r="BK10" i="3"/>
  <c r="BP10" i="3"/>
  <c r="BU10" i="3"/>
  <c r="BZ10" i="3"/>
  <c r="CE10" i="3"/>
  <c r="CJ10" i="3"/>
  <c r="CO10" i="3"/>
  <c r="CT10" i="3"/>
  <c r="CY10" i="3"/>
  <c r="DD10" i="3"/>
  <c r="C11" i="3"/>
  <c r="H11" i="3"/>
  <c r="M11" i="3"/>
  <c r="R11" i="3"/>
  <c r="W11" i="3"/>
  <c r="AB11" i="3"/>
  <c r="AG11" i="3"/>
  <c r="AL11" i="3"/>
  <c r="AQ11" i="3"/>
  <c r="AV11" i="3"/>
  <c r="BA11" i="3"/>
  <c r="BF11" i="3"/>
  <c r="BK11" i="3"/>
  <c r="BP11" i="3"/>
  <c r="BU11" i="3"/>
  <c r="BZ11" i="3"/>
  <c r="CE11" i="3"/>
  <c r="CJ11" i="3"/>
  <c r="CO11" i="3"/>
  <c r="CT11" i="3"/>
  <c r="CY11" i="3"/>
  <c r="DD11" i="3"/>
  <c r="C12" i="3"/>
  <c r="H12" i="3"/>
  <c r="M12" i="3"/>
  <c r="R12" i="3"/>
  <c r="W12" i="3"/>
  <c r="AB12" i="3"/>
  <c r="AG12" i="3"/>
  <c r="AL12" i="3"/>
  <c r="AQ12" i="3"/>
  <c r="AV12" i="3"/>
  <c r="BA12" i="3"/>
  <c r="BF12" i="3"/>
  <c r="BK12" i="3"/>
  <c r="BP12" i="3"/>
  <c r="BU12" i="3"/>
  <c r="BZ12" i="3"/>
  <c r="CE12" i="3"/>
  <c r="CJ12" i="3"/>
  <c r="CO12" i="3"/>
  <c r="CT12" i="3"/>
  <c r="CY12" i="3"/>
  <c r="DD12" i="3"/>
  <c r="C13" i="3"/>
  <c r="H13" i="3"/>
  <c r="M13" i="3"/>
  <c r="R13" i="3"/>
  <c r="W13" i="3"/>
  <c r="AB13" i="3"/>
  <c r="AG13" i="3"/>
  <c r="AL13" i="3"/>
  <c r="AQ13" i="3"/>
  <c r="AV13" i="3"/>
  <c r="BA13" i="3"/>
  <c r="BF13" i="3"/>
  <c r="BK13" i="3"/>
  <c r="BP13" i="3"/>
  <c r="BU13" i="3"/>
  <c r="BZ13" i="3"/>
  <c r="CE13" i="3"/>
  <c r="CJ13" i="3"/>
  <c r="CO13" i="3"/>
  <c r="CT13" i="3"/>
  <c r="CY13" i="3"/>
  <c r="DD13" i="3"/>
  <c r="E15" i="3"/>
  <c r="C14" i="3" s="1"/>
  <c r="J15" i="3"/>
  <c r="H14" i="3" s="1"/>
  <c r="O15" i="3"/>
  <c r="M14" i="3" s="1"/>
  <c r="T15" i="3"/>
  <c r="R14" i="3" s="1"/>
  <c r="Y15" i="3"/>
  <c r="W14" i="3" s="1"/>
  <c r="AD15" i="3"/>
  <c r="AB14" i="3" s="1"/>
  <c r="AI15" i="3"/>
  <c r="AG14" i="3" s="1"/>
  <c r="AN15" i="3"/>
  <c r="AL14" i="3" s="1"/>
  <c r="AS15" i="3"/>
  <c r="AQ14" i="3" s="1"/>
  <c r="AX15" i="3"/>
  <c r="AV14" i="3" s="1"/>
  <c r="BC15" i="3"/>
  <c r="BA14" i="3" s="1"/>
  <c r="BH15" i="3"/>
  <c r="BF14" i="3" s="1"/>
  <c r="BM15" i="3"/>
  <c r="BK14" i="3" s="1"/>
  <c r="BR15" i="3"/>
  <c r="BP14" i="3" s="1"/>
  <c r="BW15" i="3"/>
  <c r="BU14" i="3" s="1"/>
  <c r="CB15" i="3"/>
  <c r="BZ14" i="3" s="1"/>
  <c r="CG15" i="3"/>
  <c r="CE14" i="3"/>
  <c r="CL15" i="3"/>
  <c r="CJ14" i="3" s="1"/>
  <c r="CQ15" i="3"/>
  <c r="CO14" i="3" s="1"/>
  <c r="CV15" i="3"/>
  <c r="CT14" i="3"/>
  <c r="DA15" i="3"/>
  <c r="CY14" i="3" s="1"/>
  <c r="DF15" i="3"/>
  <c r="DD14" i="3" s="1"/>
  <c r="C18" i="3"/>
  <c r="H18" i="3"/>
  <c r="M18" i="3"/>
  <c r="R18" i="3"/>
  <c r="W18" i="3"/>
  <c r="AB18" i="3"/>
  <c r="AG18" i="3"/>
  <c r="AL18" i="3"/>
  <c r="AQ18" i="3"/>
  <c r="AV18" i="3"/>
  <c r="BA18" i="3"/>
  <c r="BF18" i="3"/>
  <c r="BK18" i="3"/>
  <c r="BP18" i="3"/>
  <c r="BU18" i="3"/>
  <c r="BZ18" i="3"/>
  <c r="CE18" i="3"/>
  <c r="CJ18" i="3"/>
  <c r="CO18" i="3"/>
  <c r="CT18" i="3"/>
  <c r="CY18" i="3"/>
  <c r="DD18" i="3"/>
  <c r="C19" i="3"/>
  <c r="H19" i="3"/>
  <c r="M19" i="3"/>
  <c r="R19" i="3"/>
  <c r="W19" i="3"/>
  <c r="AB19" i="3"/>
  <c r="AG19" i="3"/>
  <c r="AL19" i="3"/>
  <c r="AQ19" i="3"/>
  <c r="AV19" i="3"/>
  <c r="BA19" i="3"/>
  <c r="BF19" i="3"/>
  <c r="BK19" i="3"/>
  <c r="BP19" i="3"/>
  <c r="BU19" i="3"/>
  <c r="BZ19" i="3"/>
  <c r="CE19" i="3"/>
  <c r="CJ19" i="3"/>
  <c r="CO19" i="3"/>
  <c r="CT19" i="3"/>
  <c r="CY19" i="3"/>
  <c r="DD19" i="3"/>
  <c r="C20" i="3"/>
  <c r="H20" i="3"/>
  <c r="M20" i="3"/>
  <c r="R20" i="3"/>
  <c r="W20" i="3"/>
  <c r="AB20" i="3"/>
  <c r="AG20" i="3"/>
  <c r="AL20" i="3"/>
  <c r="AQ20" i="3"/>
  <c r="AV20" i="3"/>
  <c r="BA20" i="3"/>
  <c r="BF20" i="3"/>
  <c r="BK20" i="3"/>
  <c r="BP20" i="3"/>
  <c r="BU20" i="3"/>
  <c r="BZ20" i="3"/>
  <c r="CE20" i="3"/>
  <c r="CJ20" i="3"/>
  <c r="CO20" i="3"/>
  <c r="CT20" i="3"/>
  <c r="CY20" i="3"/>
  <c r="DD20" i="3"/>
  <c r="C22" i="3"/>
  <c r="D27" i="28"/>
  <c r="D26" i="28"/>
  <c r="D25" i="28"/>
  <c r="D24" i="28"/>
  <c r="D23" i="28"/>
  <c r="D22" i="28"/>
  <c r="D21" i="28"/>
  <c r="D20" i="28"/>
  <c r="D19" i="28"/>
  <c r="AC1" i="28"/>
  <c r="AM1" i="28" s="1"/>
  <c r="K8" i="28"/>
  <c r="B28" i="3"/>
  <c r="CL23" i="28" s="1"/>
  <c r="Q8" i="28"/>
  <c r="K10" i="28"/>
  <c r="AY18" i="28"/>
  <c r="AI20" i="28"/>
  <c r="CA19" i="28" s="1"/>
  <c r="AA96" i="28" s="1"/>
  <c r="CF21" i="28"/>
  <c r="CK21" i="28"/>
  <c r="M29" i="28"/>
  <c r="C87" i="1"/>
  <c r="CF23" i="28" s="1"/>
  <c r="D87" i="1"/>
  <c r="CG23" i="24" s="1"/>
  <c r="CK23" i="28"/>
  <c r="B29" i="28"/>
  <c r="B30" i="28"/>
  <c r="W96" i="28"/>
  <c r="AC1" i="27"/>
  <c r="AM1" i="27" s="1"/>
  <c r="K8" i="27"/>
  <c r="Q8" i="27"/>
  <c r="K10" i="27"/>
  <c r="AY18" i="27"/>
  <c r="AI20" i="27"/>
  <c r="CF21" i="27"/>
  <c r="CK21" i="27"/>
  <c r="M29" i="27"/>
  <c r="CK23" i="27"/>
  <c r="B29" i="27"/>
  <c r="B30" i="27"/>
  <c r="W96" i="27"/>
  <c r="AC1" i="26"/>
  <c r="AM1" i="26" s="1"/>
  <c r="K8" i="26"/>
  <c r="Q8" i="26"/>
  <c r="K10" i="26"/>
  <c r="AY18" i="26"/>
  <c r="AI20" i="26"/>
  <c r="AR20" i="26" s="1"/>
  <c r="CF21" i="26"/>
  <c r="CK21" i="26"/>
  <c r="M29" i="26"/>
  <c r="CF23" i="26"/>
  <c r="CK23" i="26"/>
  <c r="B29" i="26"/>
  <c r="B30" i="26"/>
  <c r="W96" i="26"/>
  <c r="AC1" i="25"/>
  <c r="AM1" i="25" s="1"/>
  <c r="K8" i="25"/>
  <c r="Q8" i="25"/>
  <c r="K10" i="25"/>
  <c r="AY18" i="25"/>
  <c r="AI20" i="25"/>
  <c r="AR20" i="25" s="1"/>
  <c r="CF21" i="25"/>
  <c r="CK21" i="25"/>
  <c r="M29" i="25"/>
  <c r="CF23" i="25"/>
  <c r="CK23" i="25"/>
  <c r="B29" i="25"/>
  <c r="B30" i="25"/>
  <c r="W96" i="25"/>
  <c r="AC1" i="24"/>
  <c r="AM1" i="24" s="1"/>
  <c r="K8" i="24"/>
  <c r="Q8" i="24"/>
  <c r="K10" i="24"/>
  <c r="AY18" i="24"/>
  <c r="AI20" i="24"/>
  <c r="BR20" i="24" s="1"/>
  <c r="CF21" i="24"/>
  <c r="CK21" i="24"/>
  <c r="M29" i="24"/>
  <c r="CF23" i="24"/>
  <c r="CK23" i="24"/>
  <c r="B29" i="24"/>
  <c r="B30" i="24"/>
  <c r="W96" i="24"/>
  <c r="AC1" i="23"/>
  <c r="AM1" i="23" s="1"/>
  <c r="K8" i="23"/>
  <c r="Q8" i="23"/>
  <c r="K10" i="23"/>
  <c r="AY18" i="23"/>
  <c r="AI20" i="23"/>
  <c r="AR20" i="23" s="1"/>
  <c r="CF21" i="23"/>
  <c r="CK21" i="23"/>
  <c r="M29" i="23"/>
  <c r="CK23" i="23"/>
  <c r="B29" i="23"/>
  <c r="B30" i="23"/>
  <c r="W96" i="23"/>
  <c r="AC1" i="22"/>
  <c r="AM1" i="22" s="1"/>
  <c r="K8" i="22"/>
  <c r="Q8" i="22"/>
  <c r="K10" i="22"/>
  <c r="AY18" i="22"/>
  <c r="AI20" i="22"/>
  <c r="CA19" i="22" s="1"/>
  <c r="AA96" i="22" s="1"/>
  <c r="CF21" i="22"/>
  <c r="CK21" i="22"/>
  <c r="M29" i="22"/>
  <c r="CF23" i="22"/>
  <c r="CG23" i="22"/>
  <c r="CK23" i="22"/>
  <c r="B29" i="22"/>
  <c r="B30" i="22"/>
  <c r="W96" i="22"/>
  <c r="AC1" i="21"/>
  <c r="AM1" i="21" s="1"/>
  <c r="K8" i="21"/>
  <c r="Q8" i="21"/>
  <c r="K10" i="21"/>
  <c r="AY18" i="21"/>
  <c r="AI20" i="21"/>
  <c r="BE20" i="21" s="1"/>
  <c r="CF21" i="21"/>
  <c r="CK21" i="21"/>
  <c r="M29" i="21"/>
  <c r="CG23" i="21"/>
  <c r="CK23" i="21"/>
  <c r="B29" i="21"/>
  <c r="B30" i="21"/>
  <c r="W96" i="21"/>
  <c r="AC1" i="20"/>
  <c r="AM1" i="20" s="1"/>
  <c r="K8" i="20"/>
  <c r="Q8" i="20"/>
  <c r="K10" i="20"/>
  <c r="AY18" i="20"/>
  <c r="AI20" i="20"/>
  <c r="CA19" i="20" s="1"/>
  <c r="AA96" i="20" s="1"/>
  <c r="CF21" i="20"/>
  <c r="CK21" i="20"/>
  <c r="CG23" i="20"/>
  <c r="CK23" i="20"/>
  <c r="B29" i="20"/>
  <c r="B30" i="20"/>
  <c r="W96" i="20"/>
  <c r="AC1" i="2"/>
  <c r="AM1" i="2" s="1"/>
  <c r="AI20" i="2"/>
  <c r="W96" i="2"/>
  <c r="EK33" i="1"/>
  <c r="EK34" i="1" s="1"/>
  <c r="EJ33" i="1"/>
  <c r="EJ34" i="1" s="1"/>
  <c r="EI33" i="1"/>
  <c r="EI34" i="1" s="1"/>
  <c r="EH33" i="1"/>
  <c r="EH34" i="1"/>
  <c r="EG33" i="1"/>
  <c r="EG34" i="1" s="1"/>
  <c r="EF33" i="1"/>
  <c r="EF34" i="1" s="1"/>
  <c r="ED33" i="1"/>
  <c r="ED34" i="1" s="1"/>
  <c r="EC33" i="1"/>
  <c r="EC34" i="1" s="1"/>
  <c r="EB33" i="1"/>
  <c r="EB34" i="1" s="1"/>
  <c r="EA33" i="1"/>
  <c r="EA34" i="1" s="1"/>
  <c r="DZ33" i="1"/>
  <c r="DZ34" i="1" s="1"/>
  <c r="DY33" i="1"/>
  <c r="DY34" i="1" s="1"/>
  <c r="DW33" i="1"/>
  <c r="DW34" i="1" s="1"/>
  <c r="DV33" i="1"/>
  <c r="DV34" i="1" s="1"/>
  <c r="DU33" i="1"/>
  <c r="DU34" i="1" s="1"/>
  <c r="DT33" i="1"/>
  <c r="DT34" i="1" s="1"/>
  <c r="DS33" i="1"/>
  <c r="DS34" i="1" s="1"/>
  <c r="DR33" i="1"/>
  <c r="DR34" i="1" s="1"/>
  <c r="DP33" i="1"/>
  <c r="DP34" i="1" s="1"/>
  <c r="DO33" i="1"/>
  <c r="DO34" i="1" s="1"/>
  <c r="DN33" i="1"/>
  <c r="DN34" i="1" s="1"/>
  <c r="DM33" i="1"/>
  <c r="DM34" i="1" s="1"/>
  <c r="DL33" i="1"/>
  <c r="DL34" i="1" s="1"/>
  <c r="DK33" i="1"/>
  <c r="DK34" i="1" s="1"/>
  <c r="DI33" i="1"/>
  <c r="DI34" i="1" s="1"/>
  <c r="DH33" i="1"/>
  <c r="DH34" i="1" s="1"/>
  <c r="DG33" i="1"/>
  <c r="DG34" i="1" s="1"/>
  <c r="DF33" i="1"/>
  <c r="DF34" i="1" s="1"/>
  <c r="DE33" i="1"/>
  <c r="DE34" i="1" s="1"/>
  <c r="DD33" i="1"/>
  <c r="DD34" i="1" s="1"/>
  <c r="DB33" i="1"/>
  <c r="DB34" i="1" s="1"/>
  <c r="DA33" i="1"/>
  <c r="DA34" i="1" s="1"/>
  <c r="CZ33" i="1"/>
  <c r="CZ34" i="1" s="1"/>
  <c r="CY33" i="1"/>
  <c r="CY34" i="1" s="1"/>
  <c r="CX33" i="1"/>
  <c r="CX34" i="1" s="1"/>
  <c r="CW33" i="1"/>
  <c r="CW34" i="1" s="1"/>
  <c r="CU33" i="1"/>
  <c r="CU34" i="1" s="1"/>
  <c r="CT33" i="1"/>
  <c r="CT34" i="1" s="1"/>
  <c r="CS33" i="1"/>
  <c r="CS34" i="1" s="1"/>
  <c r="CR33" i="1"/>
  <c r="CR34" i="1" s="1"/>
  <c r="CQ33" i="1"/>
  <c r="CQ34" i="1" s="1"/>
  <c r="CP33" i="1"/>
  <c r="CP34" i="1" s="1"/>
  <c r="CN33" i="1"/>
  <c r="CN34" i="1"/>
  <c r="CM33" i="1"/>
  <c r="CM34" i="1" s="1"/>
  <c r="CL33" i="1"/>
  <c r="CL34" i="1" s="1"/>
  <c r="CK33" i="1"/>
  <c r="CK34" i="1" s="1"/>
  <c r="CJ33" i="1"/>
  <c r="CJ34" i="1" s="1"/>
  <c r="CI33" i="1"/>
  <c r="CI34" i="1" s="1"/>
  <c r="CG33" i="1"/>
  <c r="CG34" i="1" s="1"/>
  <c r="CF33" i="1"/>
  <c r="CF34" i="1" s="1"/>
  <c r="CE33" i="1"/>
  <c r="CE34" i="1" s="1"/>
  <c r="CD33" i="1"/>
  <c r="CD34" i="1" s="1"/>
  <c r="CC33" i="1"/>
  <c r="CC34" i="1" s="1"/>
  <c r="CB33" i="1"/>
  <c r="CB34" i="1" s="1"/>
  <c r="BZ33" i="1"/>
  <c r="BZ34" i="1" s="1"/>
  <c r="BY33" i="1"/>
  <c r="BY34" i="1" s="1"/>
  <c r="BX33" i="1"/>
  <c r="BX34" i="1" s="1"/>
  <c r="BW33" i="1"/>
  <c r="BW34" i="1" s="1"/>
  <c r="BV33" i="1"/>
  <c r="BV34" i="1" s="1"/>
  <c r="BU33" i="1"/>
  <c r="BU34" i="1" s="1"/>
  <c r="BS33" i="1"/>
  <c r="BS34" i="1" s="1"/>
  <c r="BR33" i="1"/>
  <c r="BR34" i="1" s="1"/>
  <c r="BQ33" i="1"/>
  <c r="BQ34" i="1" s="1"/>
  <c r="BP33" i="1"/>
  <c r="BP34" i="1" s="1"/>
  <c r="BO33" i="1"/>
  <c r="BO34" i="1" s="1"/>
  <c r="BN33" i="1"/>
  <c r="BN34" i="1" s="1"/>
  <c r="BL33" i="1"/>
  <c r="BL34" i="1" s="1"/>
  <c r="BK33" i="1"/>
  <c r="BK34" i="1" s="1"/>
  <c r="BJ33" i="1"/>
  <c r="BJ34" i="1" s="1"/>
  <c r="BI33" i="1"/>
  <c r="BI34" i="1" s="1"/>
  <c r="BH33" i="1"/>
  <c r="BH34" i="1" s="1"/>
  <c r="BG33" i="1"/>
  <c r="BG34" i="1" s="1"/>
  <c r="BE33" i="1"/>
  <c r="BE34" i="1" s="1"/>
  <c r="BD33" i="1"/>
  <c r="BD34" i="1" s="1"/>
  <c r="BC33" i="1"/>
  <c r="BC34" i="1" s="1"/>
  <c r="BB33" i="1"/>
  <c r="BB34" i="1" s="1"/>
  <c r="BA33" i="1"/>
  <c r="BA34" i="1" s="1"/>
  <c r="AZ33" i="1"/>
  <c r="AZ34" i="1" s="1"/>
  <c r="AT33" i="1"/>
  <c r="AT34" i="1" s="1"/>
  <c r="AS33" i="1"/>
  <c r="AS34" i="1" s="1"/>
  <c r="G78" i="9"/>
  <c r="C78" i="9"/>
  <c r="AY18" i="2"/>
  <c r="N8" i="9"/>
  <c r="B30" i="2"/>
  <c r="B29" i="2"/>
  <c r="AP79" i="9"/>
  <c r="BB79" i="9"/>
  <c r="BB43" i="9"/>
  <c r="AP43" i="9"/>
  <c r="AF77" i="9"/>
  <c r="AF41" i="9"/>
  <c r="AF6" i="9"/>
  <c r="Q8" i="2"/>
  <c r="K10" i="2"/>
  <c r="CF21" i="2"/>
  <c r="CK21" i="2"/>
  <c r="CK23" i="2"/>
  <c r="C33" i="1"/>
  <c r="C34" i="1" s="1"/>
  <c r="D33" i="1"/>
  <c r="D34" i="1" s="1"/>
  <c r="E33" i="1"/>
  <c r="E34" i="1" s="1"/>
  <c r="F33" i="1"/>
  <c r="F34" i="1" s="1"/>
  <c r="G33" i="1"/>
  <c r="G34" i="1" s="1"/>
  <c r="H33" i="1"/>
  <c r="H34" i="1" s="1"/>
  <c r="J33" i="1"/>
  <c r="J34" i="1" s="1"/>
  <c r="K33" i="1"/>
  <c r="K34" i="1" s="1"/>
  <c r="L33" i="1"/>
  <c r="L34" i="1" s="1"/>
  <c r="M33" i="1"/>
  <c r="M34" i="1" s="1"/>
  <c r="N33" i="1"/>
  <c r="N34" i="1" s="1"/>
  <c r="O33" i="1"/>
  <c r="O34" i="1" s="1"/>
  <c r="Q33" i="1"/>
  <c r="Q34" i="1" s="1"/>
  <c r="R33" i="1"/>
  <c r="R34" i="1" s="1"/>
  <c r="S33" i="1"/>
  <c r="S34" i="1" s="1"/>
  <c r="T33" i="1"/>
  <c r="T34" i="1" s="1"/>
  <c r="U33" i="1"/>
  <c r="U34" i="1" s="1"/>
  <c r="V33" i="1"/>
  <c r="V34" i="1" s="1"/>
  <c r="X33" i="1"/>
  <c r="X34" i="1" s="1"/>
  <c r="Y33" i="1"/>
  <c r="Y34" i="1" s="1"/>
  <c r="Z33" i="1"/>
  <c r="Z34" i="1" s="1"/>
  <c r="AA33" i="1"/>
  <c r="AA34" i="1" s="1"/>
  <c r="AB33" i="1"/>
  <c r="AB34" i="1" s="1"/>
  <c r="AC33" i="1"/>
  <c r="AC34" i="1" s="1"/>
  <c r="AE33" i="1"/>
  <c r="AE34" i="1" s="1"/>
  <c r="AF33" i="1"/>
  <c r="AF34" i="1" s="1"/>
  <c r="AG33" i="1"/>
  <c r="AG34" i="1" s="1"/>
  <c r="AH33" i="1"/>
  <c r="AH34" i="1" s="1"/>
  <c r="AI33" i="1"/>
  <c r="AI34" i="1" s="1"/>
  <c r="AJ33" i="1"/>
  <c r="AJ34" i="1" s="1"/>
  <c r="AL33" i="1"/>
  <c r="AL34" i="1" s="1"/>
  <c r="AM33" i="1"/>
  <c r="AM34" i="1" s="1"/>
  <c r="AN33" i="1"/>
  <c r="AN34" i="1" s="1"/>
  <c r="AO33" i="1"/>
  <c r="AO34" i="1" s="1"/>
  <c r="AP33" i="1"/>
  <c r="AP34" i="1" s="1"/>
  <c r="AQ33" i="1"/>
  <c r="AQ34" i="1" s="1"/>
  <c r="AU33" i="1"/>
  <c r="AU34" i="1" s="1"/>
  <c r="AV33" i="1"/>
  <c r="AV34" i="1" s="1"/>
  <c r="AW33" i="1"/>
  <c r="AW34" i="1" s="1"/>
  <c r="AX33" i="1"/>
  <c r="AX34" i="1" s="1"/>
  <c r="CF23" i="2"/>
  <c r="AH40" i="2"/>
  <c r="AH23" i="2"/>
  <c r="C19" i="27"/>
  <c r="AF28" i="2"/>
  <c r="AJ35" i="2"/>
  <c r="AJ33" i="2"/>
  <c r="AJ42" i="2"/>
  <c r="B29" i="3"/>
  <c r="D138" i="9"/>
  <c r="AJ45" i="2"/>
  <c r="AE26" i="20"/>
  <c r="AJ32" i="2"/>
  <c r="AH28" i="2"/>
  <c r="K24" i="27"/>
  <c r="D137" i="9"/>
  <c r="B27" i="26"/>
  <c r="AF45" i="2"/>
  <c r="AJ25" i="2"/>
  <c r="D129" i="9"/>
  <c r="AJ39" i="2"/>
  <c r="AE40" i="2"/>
  <c r="AI24" i="22"/>
  <c r="AF42" i="2"/>
  <c r="D136" i="9"/>
  <c r="S6" i="26"/>
  <c r="D131" i="9"/>
  <c r="D134" i="9"/>
  <c r="D127" i="9"/>
  <c r="D132" i="9"/>
  <c r="AJ46" i="2"/>
  <c r="AJ36" i="2"/>
  <c r="D130" i="9"/>
  <c r="AJ27" i="2"/>
  <c r="AE45" i="27"/>
  <c r="S6" i="28"/>
  <c r="B28" i="26"/>
  <c r="D140" i="9"/>
  <c r="AF23" i="20"/>
  <c r="AG43" i="25"/>
  <c r="AH28" i="20"/>
  <c r="C27" i="27"/>
  <c r="AE30" i="24"/>
  <c r="AJ23" i="2"/>
  <c r="AJ37" i="2"/>
  <c r="D128" i="9"/>
  <c r="AG44" i="2"/>
  <c r="B23" i="26"/>
  <c r="D139" i="9"/>
  <c r="D135" i="9"/>
  <c r="AJ24" i="2"/>
  <c r="B30" i="3"/>
  <c r="AE30" i="2"/>
  <c r="AJ44" i="2"/>
  <c r="D133" i="9"/>
  <c r="CL23" i="23" l="1"/>
  <c r="F4" i="25" a="1"/>
  <c r="F4" i="25" s="1"/>
  <c r="K1" i="26"/>
  <c r="I51" i="26"/>
  <c r="C30" i="3"/>
  <c r="CK25" i="20" s="1"/>
  <c r="CL23" i="26"/>
  <c r="CK24" i="22"/>
  <c r="CL23" i="2"/>
  <c r="K1" i="28"/>
  <c r="CA19" i="26"/>
  <c r="AA96" i="26" s="1"/>
  <c r="D4" i="25" a="1"/>
  <c r="D4" i="25" s="1"/>
  <c r="G4" i="25" s="1"/>
  <c r="F4" i="23" a="1"/>
  <c r="F4" i="23" s="1"/>
  <c r="F4" i="24" a="1"/>
  <c r="F4" i="24" s="1"/>
  <c r="D4" i="24" a="1"/>
  <c r="D4" i="24" s="1"/>
  <c r="D4" i="2" a="1"/>
  <c r="D4" i="2" s="1"/>
  <c r="G4" i="2" s="1"/>
  <c r="CK24" i="2"/>
  <c r="CK24" i="24"/>
  <c r="CK24" i="28"/>
  <c r="D4" i="22" a="1"/>
  <c r="D4" i="22" s="1"/>
  <c r="G4" i="22" s="1"/>
  <c r="CK24" i="26"/>
  <c r="CL23" i="21"/>
  <c r="BR20" i="25"/>
  <c r="CA19" i="25"/>
  <c r="AA96" i="25" s="1"/>
  <c r="CK24" i="20"/>
  <c r="CK24" i="27"/>
  <c r="CG23" i="26"/>
  <c r="G6" i="23"/>
  <c r="CA19" i="2"/>
  <c r="AA96" i="2" s="1"/>
  <c r="BE20" i="2"/>
  <c r="AR20" i="2"/>
  <c r="AR20" i="24"/>
  <c r="CA19" i="24"/>
  <c r="AA96" i="24" s="1"/>
  <c r="BE20" i="24"/>
  <c r="CK25" i="27"/>
  <c r="CK25" i="26"/>
  <c r="CK25" i="2"/>
  <c r="CK25" i="25"/>
  <c r="CK25" i="23"/>
  <c r="CK25" i="21"/>
  <c r="I93" i="25"/>
  <c r="I51" i="25"/>
  <c r="K1" i="25"/>
  <c r="CF23" i="20"/>
  <c r="CF23" i="23"/>
  <c r="CL23" i="22"/>
  <c r="CL23" i="20"/>
  <c r="CK24" i="21"/>
  <c r="CF23" i="21"/>
  <c r="CK24" i="23"/>
  <c r="CL23" i="24"/>
  <c r="CL23" i="27"/>
  <c r="K1" i="22"/>
  <c r="I93" i="2"/>
  <c r="K1" i="2"/>
  <c r="I51" i="20"/>
  <c r="K1" i="20"/>
  <c r="D19" i="27"/>
  <c r="D26" i="27"/>
  <c r="D27" i="27"/>
  <c r="D23" i="27"/>
  <c r="D25" i="27"/>
  <c r="D26" i="26"/>
  <c r="I93" i="24"/>
  <c r="K1" i="24"/>
  <c r="K1" i="23"/>
  <c r="I51" i="23"/>
  <c r="D4" i="21" a="1"/>
  <c r="D4" i="21" s="1"/>
  <c r="G4" i="21" s="1"/>
  <c r="F4" i="21" a="1"/>
  <c r="F4" i="21" s="1"/>
  <c r="F4" i="22" a="1"/>
  <c r="F4" i="22" s="1"/>
  <c r="F4" i="2" a="1"/>
  <c r="F4" i="2" s="1"/>
  <c r="D4" i="20" a="1"/>
  <c r="D4" i="20" s="1"/>
  <c r="G4" i="20" s="1"/>
  <c r="D4" i="23" a="1"/>
  <c r="D4" i="23" s="1"/>
  <c r="F4" i="20" a="1"/>
  <c r="F4" i="20" s="1"/>
  <c r="I51" i="22"/>
  <c r="I93" i="21"/>
  <c r="K1" i="21"/>
  <c r="BR20" i="22"/>
  <c r="CL23" i="25"/>
  <c r="BE20" i="25"/>
  <c r="BE20" i="26"/>
  <c r="CG23" i="27"/>
  <c r="BR20" i="28"/>
  <c r="BR20" i="2"/>
  <c r="AR20" i="21"/>
  <c r="CG23" i="23"/>
  <c r="CG23" i="25"/>
  <c r="CG23" i="28"/>
  <c r="CG23" i="2"/>
  <c r="BR20" i="21"/>
  <c r="CA19" i="21"/>
  <c r="AA96" i="21" s="1"/>
  <c r="BE20" i="22"/>
  <c r="CF23" i="27"/>
  <c r="C88" i="1"/>
  <c r="CF24" i="28" s="1"/>
  <c r="AR20" i="28"/>
  <c r="AP28" i="20"/>
  <c r="BP28" i="20" s="1"/>
  <c r="BC28" i="20" s="1"/>
  <c r="AJ22" i="2"/>
  <c r="AO43" i="25"/>
  <c r="AP23" i="2"/>
  <c r="CL24" i="28"/>
  <c r="CL24" i="24"/>
  <c r="CL24" i="26"/>
  <c r="CL24" i="2"/>
  <c r="CL24" i="23"/>
  <c r="CL24" i="27"/>
  <c r="CL24" i="25"/>
  <c r="CL24" i="21"/>
  <c r="CL24" i="20"/>
  <c r="CL24" i="22"/>
  <c r="AP40" i="2"/>
  <c r="BP40" i="2" s="1"/>
  <c r="BC40" i="2" s="1"/>
  <c r="AO44" i="2"/>
  <c r="CL25" i="26"/>
  <c r="CL25" i="27"/>
  <c r="CL25" i="25"/>
  <c r="CL25" i="23"/>
  <c r="CL25" i="22"/>
  <c r="CL25" i="21"/>
  <c r="CL25" i="20"/>
  <c r="CL25" i="28"/>
  <c r="CL25" i="24"/>
  <c r="CL25" i="2"/>
  <c r="BR20" i="20"/>
  <c r="BE20" i="20"/>
  <c r="AR20" i="20"/>
  <c r="I93" i="27"/>
  <c r="I51" i="27"/>
  <c r="CA19" i="23"/>
  <c r="AA96" i="23" s="1"/>
  <c r="BR20" i="23"/>
  <c r="BE20" i="23"/>
  <c r="AR20" i="22"/>
  <c r="AR20" i="27"/>
  <c r="CA19" i="27"/>
  <c r="AA96" i="27" s="1"/>
  <c r="BR20" i="27"/>
  <c r="BE20" i="27"/>
  <c r="G4" i="26"/>
  <c r="I51" i="28"/>
  <c r="I93" i="28"/>
  <c r="C31" i="3"/>
  <c r="CK25" i="28"/>
  <c r="G4" i="28"/>
  <c r="G6" i="26"/>
  <c r="K1" i="27"/>
  <c r="BR20" i="26"/>
  <c r="BE20" i="28"/>
  <c r="J23" i="25"/>
  <c r="K18" i="24"/>
  <c r="B20" i="24"/>
  <c r="C23" i="24"/>
  <c r="J25" i="25"/>
  <c r="J27" i="25"/>
  <c r="S6" i="25"/>
  <c r="B28" i="25"/>
  <c r="K24" i="24"/>
  <c r="K26" i="25"/>
  <c r="S6" i="23"/>
  <c r="S6" i="24"/>
  <c r="J23" i="24"/>
  <c r="B28" i="24"/>
  <c r="B23" i="24"/>
  <c r="B22" i="24"/>
  <c r="K21" i="24"/>
  <c r="B24" i="25"/>
  <c r="J26" i="24"/>
  <c r="CK25" i="24" l="1"/>
  <c r="CK25" i="22"/>
  <c r="D23" i="24"/>
  <c r="G4" i="24"/>
  <c r="D22" i="27"/>
  <c r="G4" i="23"/>
  <c r="BP23" i="2"/>
  <c r="BO43" i="25"/>
  <c r="C32" i="3"/>
  <c r="CK26" i="28"/>
  <c r="CK26" i="26"/>
  <c r="CK26" i="22"/>
  <c r="CK26" i="23"/>
  <c r="CK26" i="21"/>
  <c r="CK26" i="27"/>
  <c r="CK26" i="25"/>
  <c r="CK26" i="2"/>
  <c r="CK26" i="24"/>
  <c r="CK26" i="20"/>
  <c r="BO44" i="2"/>
  <c r="AM1" i="9"/>
  <c r="S8" i="22"/>
  <c r="AJ23" i="23"/>
  <c r="C21" i="27"/>
  <c r="AF25" i="25"/>
  <c r="AJ38" i="2"/>
  <c r="AJ28" i="25"/>
  <c r="B26" i="23"/>
  <c r="AI33" i="25"/>
  <c r="S8" i="21"/>
  <c r="AF24" i="21"/>
  <c r="AI34" i="2"/>
  <c r="B9" i="27"/>
  <c r="AF23" i="25"/>
  <c r="AH39" i="27"/>
  <c r="AJ26" i="2"/>
  <c r="B21" i="24"/>
  <c r="AE44" i="27"/>
  <c r="J23" i="22"/>
  <c r="AJ31" i="2"/>
  <c r="AE36" i="2"/>
  <c r="AO1" i="9"/>
  <c r="AE42" i="25"/>
  <c r="AJ32" i="25"/>
  <c r="AE25" i="27"/>
  <c r="AJ45" i="23"/>
  <c r="K26" i="22"/>
  <c r="AG31" i="27"/>
  <c r="AI30" i="21"/>
  <c r="K22" i="2"/>
  <c r="S6" i="27"/>
  <c r="AG27" i="25"/>
  <c r="K25" i="27"/>
  <c r="B23" i="27"/>
  <c r="J21" i="22"/>
  <c r="AE42" i="27"/>
  <c r="B28" i="27"/>
  <c r="J25" i="27"/>
  <c r="C21" i="24"/>
  <c r="AJ38" i="27"/>
  <c r="K25" i="2"/>
  <c r="B22" i="23"/>
  <c r="J27" i="24"/>
  <c r="C22" i="24"/>
  <c r="AG34" i="25"/>
  <c r="J25" i="24"/>
  <c r="AF29" i="21"/>
  <c r="AH39" i="25"/>
  <c r="AH29" i="21"/>
  <c r="AH41" i="27"/>
  <c r="AJ40" i="27"/>
  <c r="AF41" i="25"/>
  <c r="AF1" i="9"/>
  <c r="C24" i="24"/>
  <c r="AG27" i="2"/>
  <c r="K24" i="23"/>
  <c r="K19" i="27"/>
  <c r="J19" i="27"/>
  <c r="C22" i="2"/>
  <c r="AH31" i="2"/>
  <c r="AG36" i="2"/>
  <c r="AJ40" i="23"/>
  <c r="AE32" i="23"/>
  <c r="B26" i="24"/>
  <c r="J24" i="27"/>
  <c r="AF34" i="27"/>
  <c r="K26" i="27"/>
  <c r="K26" i="24"/>
  <c r="K23" i="22"/>
  <c r="AG43" i="27"/>
  <c r="J20" i="23"/>
  <c r="K22" i="27"/>
  <c r="J26" i="22"/>
  <c r="K19" i="26"/>
  <c r="C27" i="23"/>
  <c r="K27" i="24"/>
  <c r="K22" i="24"/>
  <c r="C27" i="2"/>
  <c r="AJ26" i="21"/>
  <c r="J22" i="23"/>
  <c r="AG29" i="23"/>
  <c r="AJ23" i="25"/>
  <c r="AG25" i="21"/>
  <c r="J26" i="27"/>
  <c r="J18" i="26"/>
  <c r="K19" i="24"/>
  <c r="AE36" i="27"/>
  <c r="AI34" i="25"/>
  <c r="B25" i="27"/>
  <c r="AJ36" i="21"/>
  <c r="AG37" i="27"/>
  <c r="AH42" i="23"/>
  <c r="AG24" i="2"/>
  <c r="C19" i="24"/>
  <c r="K27" i="23"/>
  <c r="K20" i="24"/>
  <c r="C26" i="27"/>
  <c r="B27" i="24"/>
  <c r="AH42" i="27"/>
  <c r="J25" i="23"/>
  <c r="J23" i="23"/>
  <c r="AF44" i="2"/>
  <c r="S8" i="2"/>
  <c r="K23" i="23"/>
  <c r="K18" i="23"/>
  <c r="B21" i="23"/>
  <c r="K26" i="26"/>
  <c r="AF29" i="23"/>
  <c r="AG46" i="27"/>
  <c r="K27" i="27"/>
  <c r="AJ28" i="2"/>
  <c r="AJ25" i="25"/>
  <c r="AI37" i="23"/>
  <c r="C22" i="27"/>
  <c r="J21" i="24"/>
  <c r="B20" i="27"/>
  <c r="AE36" i="23"/>
  <c r="K18" i="27"/>
  <c r="AI32" i="21"/>
  <c r="AF36" i="2"/>
  <c r="J24" i="26"/>
  <c r="AN1" i="9"/>
  <c r="B19" i="26"/>
  <c r="J23" i="2"/>
  <c r="AI24" i="27"/>
  <c r="B25" i="23"/>
  <c r="AF25" i="23"/>
  <c r="AF37" i="21"/>
  <c r="AH37" i="2"/>
  <c r="B27" i="27"/>
  <c r="C23" i="27"/>
  <c r="J18" i="24"/>
  <c r="S8" i="27"/>
  <c r="C20" i="24"/>
  <c r="AJ29" i="27"/>
  <c r="B28" i="23"/>
  <c r="AF27" i="27"/>
  <c r="AK1" i="9"/>
  <c r="K19" i="23"/>
  <c r="J19" i="23"/>
  <c r="AF30" i="27"/>
  <c r="AJ40" i="2"/>
  <c r="K25" i="24"/>
  <c r="J24" i="23"/>
  <c r="AI42" i="27"/>
  <c r="AG45" i="27"/>
  <c r="AE35" i="25"/>
  <c r="K23" i="24"/>
  <c r="K20" i="23"/>
  <c r="K23" i="27"/>
  <c r="AI36" i="27"/>
  <c r="AH46" i="25"/>
  <c r="J22" i="24"/>
  <c r="S6" i="21"/>
  <c r="AJ32" i="23"/>
  <c r="J23" i="27"/>
  <c r="J21" i="27"/>
  <c r="S8" i="20"/>
  <c r="AE45" i="21"/>
  <c r="C20" i="23"/>
  <c r="AG28" i="27"/>
  <c r="AJ41" i="27"/>
  <c r="AJ38" i="25"/>
  <c r="J24" i="24"/>
  <c r="AH24" i="23"/>
  <c r="C22" i="23"/>
  <c r="AH1" i="9"/>
  <c r="AG37" i="25"/>
  <c r="J22" i="27"/>
  <c r="AI45" i="27"/>
  <c r="K26" i="2"/>
  <c r="AF33" i="25"/>
  <c r="AF45" i="23"/>
  <c r="AJ41" i="2"/>
  <c r="B19" i="24"/>
  <c r="AI44" i="27"/>
  <c r="AF27" i="22"/>
  <c r="C21" i="23"/>
  <c r="AE34" i="2"/>
  <c r="AG33" i="21"/>
  <c r="AH23" i="27"/>
  <c r="AE23" i="23"/>
  <c r="AJ46" i="25"/>
  <c r="AJ1" i="9"/>
  <c r="B23" i="23"/>
  <c r="AH46" i="23"/>
  <c r="AG45" i="23"/>
  <c r="K24" i="26"/>
  <c r="K20" i="27"/>
  <c r="AJ35" i="23"/>
  <c r="AJ29" i="2"/>
  <c r="B24" i="27"/>
  <c r="AH31" i="25"/>
  <c r="AL1" i="9"/>
  <c r="AF39" i="2"/>
  <c r="AF39" i="25"/>
  <c r="B9" i="2"/>
  <c r="J27" i="27"/>
  <c r="AE23" i="27"/>
  <c r="J18" i="23"/>
  <c r="K24" i="2"/>
  <c r="B24" i="23"/>
  <c r="AH32" i="25"/>
  <c r="C27" i="24"/>
  <c r="AJ34" i="2"/>
  <c r="AI36" i="23"/>
  <c r="AJ30" i="2"/>
  <c r="K25" i="26"/>
  <c r="AI38" i="2"/>
  <c r="S8" i="25"/>
  <c r="AF34" i="23"/>
  <c r="C26" i="24"/>
  <c r="AE32" i="21"/>
  <c r="B22" i="27"/>
  <c r="J19" i="26"/>
  <c r="J19" i="2"/>
  <c r="J19" i="25"/>
  <c r="B22" i="26"/>
  <c r="B25" i="24"/>
  <c r="AJ28" i="21"/>
  <c r="C25" i="24"/>
  <c r="AJ27" i="27"/>
  <c r="AE46" i="21"/>
  <c r="C26" i="26"/>
  <c r="B20" i="23"/>
  <c r="J19" i="24"/>
  <c r="AJ41" i="23"/>
  <c r="AG33" i="23"/>
  <c r="AJ43" i="2"/>
  <c r="K27" i="26"/>
  <c r="C25" i="27"/>
  <c r="AE32" i="27"/>
  <c r="K21" i="23"/>
  <c r="B19" i="27"/>
  <c r="AI25" i="27"/>
  <c r="B27" i="2"/>
  <c r="AI30" i="2"/>
  <c r="J18" i="27"/>
  <c r="B24" i="24"/>
  <c r="C21" i="26"/>
  <c r="AI1" i="9"/>
  <c r="AH37" i="23"/>
  <c r="AF26" i="27"/>
  <c r="J21" i="23"/>
  <c r="S8" i="23"/>
  <c r="AI41" i="21"/>
  <c r="J20" i="27"/>
  <c r="AI42" i="25"/>
  <c r="B26" i="27"/>
  <c r="C26" i="23"/>
  <c r="K21" i="27"/>
  <c r="AI40" i="21"/>
  <c r="B26" i="26"/>
  <c r="AF41" i="27"/>
  <c r="AG1" i="9"/>
  <c r="K18" i="26"/>
  <c r="J20" i="24"/>
  <c r="C24" i="23"/>
  <c r="J27" i="23"/>
  <c r="AJ43" i="23"/>
  <c r="S8" i="24"/>
  <c r="AS1" i="9" l="1"/>
  <c r="BJ1" i="9"/>
  <c r="AO33" i="23"/>
  <c r="BO33" i="23" s="1"/>
  <c r="BB33" i="23" s="1"/>
  <c r="AP31" i="2"/>
  <c r="BP31" i="2" s="1"/>
  <c r="BC31" i="2" s="1"/>
  <c r="AO37" i="25"/>
  <c r="BO37" i="25" s="1"/>
  <c r="BB37" i="25" s="1"/>
  <c r="D24" i="24"/>
  <c r="BM1" i="9"/>
  <c r="AT1" i="9"/>
  <c r="AP39" i="27"/>
  <c r="BP39" i="27" s="1"/>
  <c r="BC39" i="27" s="1"/>
  <c r="AP31" i="25"/>
  <c r="BP31" i="25" s="1"/>
  <c r="BC31" i="25" s="1"/>
  <c r="AO28" i="27"/>
  <c r="BO28" i="27" s="1"/>
  <c r="BB28" i="27" s="1"/>
  <c r="AP32" i="25"/>
  <c r="BP32" i="25" s="1"/>
  <c r="BC32" i="25" s="1"/>
  <c r="D26" i="24"/>
  <c r="AP39" i="25"/>
  <c r="BP39" i="25" s="1"/>
  <c r="BC39" i="25" s="1"/>
  <c r="AO29" i="23"/>
  <c r="BO29" i="23" s="1"/>
  <c r="BB29" i="23" s="1"/>
  <c r="AG22" i="27"/>
  <c r="AO46" i="27"/>
  <c r="AO22" i="27" s="1"/>
  <c r="BA1" i="9"/>
  <c r="CH1" i="9"/>
  <c r="AO27" i="2"/>
  <c r="BO27" i="2" s="1"/>
  <c r="BB27" i="2" s="1"/>
  <c r="AV1" i="9"/>
  <c r="BS1" i="9"/>
  <c r="D22" i="24"/>
  <c r="AO37" i="27"/>
  <c r="BO37" i="27" s="1"/>
  <c r="BB37" i="27" s="1"/>
  <c r="AO34" i="25"/>
  <c r="BO34" i="25" s="1"/>
  <c r="BB34" i="25" s="1"/>
  <c r="AH22" i="25"/>
  <c r="AP46" i="25"/>
  <c r="BP46" i="25" s="1"/>
  <c r="BC46" i="25" s="1"/>
  <c r="BC22" i="25" s="1"/>
  <c r="AX1" i="9"/>
  <c r="BY1" i="9"/>
  <c r="AP46" i="23"/>
  <c r="AP22" i="23" s="1"/>
  <c r="AH22" i="23"/>
  <c r="AP42" i="23"/>
  <c r="BP42" i="23" s="1"/>
  <c r="BC42" i="23" s="1"/>
  <c r="AP41" i="27"/>
  <c r="BP41" i="27" s="1"/>
  <c r="BC41" i="27" s="1"/>
  <c r="D19" i="24"/>
  <c r="AZ1" i="9"/>
  <c r="CE1" i="9"/>
  <c r="AO45" i="27"/>
  <c r="BO45" i="27" s="1"/>
  <c r="BB45" i="27" s="1"/>
  <c r="D25" i="24"/>
  <c r="AP24" i="23"/>
  <c r="BP24" i="23" s="1"/>
  <c r="BC24" i="23" s="1"/>
  <c r="AO27" i="25"/>
  <c r="BO27" i="25" s="1"/>
  <c r="BB27" i="25" s="1"/>
  <c r="C9" i="27"/>
  <c r="D27" i="24"/>
  <c r="AE22" i="21"/>
  <c r="AP23" i="27"/>
  <c r="BP23" i="27" s="1"/>
  <c r="BC23" i="27" s="1"/>
  <c r="AO24" i="2"/>
  <c r="BO24" i="2" s="1"/>
  <c r="BB24" i="2" s="1"/>
  <c r="AJ47" i="2"/>
  <c r="AO33" i="21"/>
  <c r="BO33" i="21" s="1"/>
  <c r="BB33" i="21" s="1"/>
  <c r="AP29" i="21"/>
  <c r="BP29" i="21" s="1"/>
  <c r="BC29" i="21" s="1"/>
  <c r="AO25" i="21"/>
  <c r="BO25" i="21" s="1"/>
  <c r="BB25" i="21" s="1"/>
  <c r="AJ22" i="25"/>
  <c r="AY1" i="9"/>
  <c r="CB1" i="9"/>
  <c r="AO45" i="23"/>
  <c r="BO45" i="23" s="1"/>
  <c r="AO43" i="27"/>
  <c r="BO43" i="27" s="1"/>
  <c r="BB43" i="27" s="1"/>
  <c r="AR1" i="9"/>
  <c r="BG1" i="9"/>
  <c r="AO31" i="27"/>
  <c r="BO31" i="27" s="1"/>
  <c r="BB31" i="27" s="1"/>
  <c r="AP37" i="23"/>
  <c r="BP37" i="23" s="1"/>
  <c r="BC37" i="23" s="1"/>
  <c r="AO36" i="2"/>
  <c r="BO36" i="2" s="1"/>
  <c r="BB36" i="2" s="1"/>
  <c r="BV1" i="9"/>
  <c r="AW1" i="9"/>
  <c r="C9" i="2"/>
  <c r="AP37" i="2"/>
  <c r="BP37" i="2" s="1"/>
  <c r="BC37" i="2" s="1"/>
  <c r="BP1" i="9"/>
  <c r="AU1" i="9"/>
  <c r="D21" i="24"/>
  <c r="AP42" i="27"/>
  <c r="BP42" i="27" s="1"/>
  <c r="BC42" i="27" s="1"/>
  <c r="D20" i="24"/>
  <c r="D22" i="23"/>
  <c r="D20" i="23"/>
  <c r="D26" i="23"/>
  <c r="D21" i="23"/>
  <c r="D24" i="23"/>
  <c r="D27" i="2"/>
  <c r="D20" i="27"/>
  <c r="D24" i="27"/>
  <c r="D21" i="27"/>
  <c r="D23" i="26"/>
  <c r="D27" i="26"/>
  <c r="D21" i="26"/>
  <c r="D22" i="26"/>
  <c r="D24" i="26"/>
  <c r="D20" i="26"/>
  <c r="D25" i="26"/>
  <c r="D19" i="26"/>
  <c r="C89" i="1"/>
  <c r="CF24" i="25"/>
  <c r="CF24" i="23"/>
  <c r="CF24" i="22"/>
  <c r="CF24" i="27"/>
  <c r="CF24" i="26"/>
  <c r="CF24" i="24"/>
  <c r="CF24" i="21"/>
  <c r="CF24" i="20"/>
  <c r="CF24" i="2"/>
  <c r="BB43" i="25"/>
  <c r="C33" i="3"/>
  <c r="CK27" i="28"/>
  <c r="CK27" i="27"/>
  <c r="CK27" i="26"/>
  <c r="CK27" i="25"/>
  <c r="CK27" i="23"/>
  <c r="CK27" i="24"/>
  <c r="CK27" i="22"/>
  <c r="CK27" i="2"/>
  <c r="CK27" i="21"/>
  <c r="CK27" i="20"/>
  <c r="BB44" i="2"/>
  <c r="BC23" i="2"/>
  <c r="BP22" i="25" l="1"/>
  <c r="AP22" i="25"/>
  <c r="BP46" i="23"/>
  <c r="BP22" i="23" s="1"/>
  <c r="BO46" i="27"/>
  <c r="BB46" i="27" s="1"/>
  <c r="BB22" i="27" s="1"/>
  <c r="BB45" i="23"/>
  <c r="CF25" i="25"/>
  <c r="CF25" i="23"/>
  <c r="CF25" i="22"/>
  <c r="CF25" i="2"/>
  <c r="CF25" i="28"/>
  <c r="CF25" i="26"/>
  <c r="CF25" i="24"/>
  <c r="CF25" i="21"/>
  <c r="CF25" i="20"/>
  <c r="CF25" i="27"/>
  <c r="C90" i="1"/>
  <c r="C34" i="3"/>
  <c r="CK28" i="26"/>
  <c r="CK28" i="28"/>
  <c r="CK28" i="23"/>
  <c r="CK28" i="2"/>
  <c r="CK28" i="27"/>
  <c r="CK28" i="24"/>
  <c r="CK28" i="22"/>
  <c r="CK28" i="25"/>
  <c r="CK28" i="20"/>
  <c r="CK28" i="21"/>
  <c r="BO22" i="27" l="1"/>
  <c r="BC46" i="23"/>
  <c r="BC22" i="23" s="1"/>
  <c r="CF26" i="27"/>
  <c r="CF26" i="26"/>
  <c r="CF26" i="28"/>
  <c r="CF26" i="23"/>
  <c r="CF26" i="24"/>
  <c r="CF26" i="20"/>
  <c r="C91" i="1"/>
  <c r="CF26" i="25"/>
  <c r="CF26" i="2"/>
  <c r="CF26" i="22"/>
  <c r="CF26" i="21"/>
  <c r="CK29" i="27"/>
  <c r="CK29" i="28"/>
  <c r="CK29" i="26"/>
  <c r="CK29" i="25"/>
  <c r="CK29" i="24"/>
  <c r="CK29" i="23"/>
  <c r="C35" i="3"/>
  <c r="CK29" i="21"/>
  <c r="CK29" i="2"/>
  <c r="CK29" i="22"/>
  <c r="CK29" i="20"/>
  <c r="CF27" i="27" l="1"/>
  <c r="CF27" i="25"/>
  <c r="CF27" i="24"/>
  <c r="CF27" i="2"/>
  <c r="C92" i="1"/>
  <c r="CF27" i="28"/>
  <c r="CF27" i="26"/>
  <c r="CF27" i="22"/>
  <c r="CF27" i="23"/>
  <c r="CF27" i="21"/>
  <c r="CF27" i="20"/>
  <c r="C36" i="3"/>
  <c r="CK30" i="28"/>
  <c r="CK30" i="27"/>
  <c r="CK30" i="26"/>
  <c r="CK30" i="23"/>
  <c r="CK30" i="20"/>
  <c r="CK30" i="25"/>
  <c r="CK30" i="22"/>
  <c r="CK30" i="21"/>
  <c r="CK30" i="2"/>
  <c r="CK30" i="24"/>
  <c r="CF28" i="27" l="1"/>
  <c r="CF28" i="28"/>
  <c r="CF28" i="2"/>
  <c r="CF28" i="23"/>
  <c r="CF28" i="25"/>
  <c r="C93" i="1"/>
  <c r="CF28" i="24"/>
  <c r="CF28" i="26"/>
  <c r="CF28" i="22"/>
  <c r="CF28" i="20"/>
  <c r="CF28" i="21"/>
  <c r="CK31" i="28"/>
  <c r="CK31" i="27"/>
  <c r="CK31" i="26"/>
  <c r="CK31" i="25"/>
  <c r="CK31" i="20"/>
  <c r="CK31" i="24"/>
  <c r="CK31" i="23"/>
  <c r="CK31" i="22"/>
  <c r="C37" i="3"/>
  <c r="CK31" i="21"/>
  <c r="CK31" i="2"/>
  <c r="CF29" i="28" l="1"/>
  <c r="C94" i="1"/>
  <c r="CF29" i="24"/>
  <c r="CF29" i="23"/>
  <c r="CF29" i="20"/>
  <c r="CF29" i="2"/>
  <c r="CF29" i="27"/>
  <c r="CF29" i="26"/>
  <c r="CF29" i="22"/>
  <c r="CF29" i="21"/>
  <c r="CF29" i="25"/>
  <c r="CK32" i="28"/>
  <c r="CK32" i="27"/>
  <c r="C38" i="3"/>
  <c r="CK32" i="26"/>
  <c r="CK32" i="25"/>
  <c r="CK32" i="20"/>
  <c r="CK32" i="23"/>
  <c r="CK32" i="2"/>
  <c r="CK32" i="24"/>
  <c r="CK32" i="22"/>
  <c r="CK32" i="21"/>
  <c r="CF30" i="26" l="1"/>
  <c r="CF30" i="28"/>
  <c r="CF30" i="23"/>
  <c r="CF30" i="21"/>
  <c r="CF30" i="20"/>
  <c r="C95" i="1"/>
  <c r="CF30" i="24"/>
  <c r="CF30" i="27"/>
  <c r="CF30" i="25"/>
  <c r="CF30" i="22"/>
  <c r="CF30" i="2"/>
  <c r="C39" i="3"/>
  <c r="CK33" i="27"/>
  <c r="CK33" i="26"/>
  <c r="CK33" i="25"/>
  <c r="CK33" i="20"/>
  <c r="CK33" i="24"/>
  <c r="CK33" i="28"/>
  <c r="CK33" i="23"/>
  <c r="CK33" i="21"/>
  <c r="CK33" i="22"/>
  <c r="CK33" i="2"/>
  <c r="C96" i="1" l="1"/>
  <c r="CF31" i="27"/>
  <c r="CF31" i="24"/>
  <c r="CF31" i="23"/>
  <c r="CF31" i="22"/>
  <c r="CF31" i="20"/>
  <c r="CF31" i="28"/>
  <c r="CF31" i="25"/>
  <c r="CF31" i="26"/>
  <c r="CF31" i="2"/>
  <c r="CF31" i="21"/>
  <c r="C40" i="3"/>
  <c r="CK34" i="28"/>
  <c r="CK34" i="24"/>
  <c r="CK34" i="27"/>
  <c r="CK34" i="25"/>
  <c r="CK34" i="26"/>
  <c r="CK34" i="23"/>
  <c r="CK34" i="20"/>
  <c r="CK34" i="22"/>
  <c r="CK34" i="21"/>
  <c r="CK34" i="2"/>
  <c r="C97" i="1" l="1"/>
  <c r="CF32" i="24"/>
  <c r="CF32" i="26"/>
  <c r="CF32" i="23"/>
  <c r="CF32" i="20"/>
  <c r="CF32" i="27"/>
  <c r="CF32" i="22"/>
  <c r="CF32" i="21"/>
  <c r="CF32" i="28"/>
  <c r="CF32" i="2"/>
  <c r="CF32" i="25"/>
  <c r="C41" i="3"/>
  <c r="CK35" i="27"/>
  <c r="CK35" i="28"/>
  <c r="CK35" i="26"/>
  <c r="CK35" i="25"/>
  <c r="CK35" i="24"/>
  <c r="CK35" i="23"/>
  <c r="CK35" i="22"/>
  <c r="CK35" i="21"/>
  <c r="CK35" i="20"/>
  <c r="CK35" i="2"/>
  <c r="CF33" i="28" l="1"/>
  <c r="CF33" i="25"/>
  <c r="C98" i="1"/>
  <c r="CF33" i="2"/>
  <c r="CF33" i="24"/>
  <c r="CF33" i="20"/>
  <c r="CF33" i="27"/>
  <c r="CF33" i="23"/>
  <c r="CF33" i="26"/>
  <c r="CF33" i="22"/>
  <c r="CF33" i="21"/>
  <c r="CK36" i="24"/>
  <c r="C42" i="3"/>
  <c r="CK36" i="27"/>
  <c r="CK36" i="25"/>
  <c r="CK36" i="2"/>
  <c r="CK36" i="26"/>
  <c r="CK36" i="28"/>
  <c r="CK36" i="23"/>
  <c r="CK36" i="22"/>
  <c r="CK36" i="21"/>
  <c r="CK36" i="20"/>
  <c r="CF34" i="27" l="1"/>
  <c r="CF34" i="26"/>
  <c r="C99" i="1"/>
  <c r="CF34" i="23"/>
  <c r="CF34" i="21"/>
  <c r="CF34" i="20"/>
  <c r="CF34" i="28"/>
  <c r="CF34" i="25"/>
  <c r="CF34" i="24"/>
  <c r="CF34" i="22"/>
  <c r="CF34" i="2"/>
  <c r="CK37" i="28"/>
  <c r="C43" i="3"/>
  <c r="CK37" i="26"/>
  <c r="CK37" i="24"/>
  <c r="CK37" i="25"/>
  <c r="CK37" i="22"/>
  <c r="CK37" i="23"/>
  <c r="CK37" i="21"/>
  <c r="CK37" i="27"/>
  <c r="CK37" i="20"/>
  <c r="CK37" i="2"/>
  <c r="CF35" i="28" l="1"/>
  <c r="CF35" i="20"/>
  <c r="CF35" i="2"/>
  <c r="C100" i="1"/>
  <c r="CF35" i="23"/>
  <c r="CF35" i="25"/>
  <c r="CF35" i="22"/>
  <c r="CF35" i="27"/>
  <c r="CF35" i="26"/>
  <c r="CF35" i="24"/>
  <c r="CF35" i="21"/>
  <c r="C44" i="3"/>
  <c r="CK38" i="24"/>
  <c r="CK38" i="25"/>
  <c r="CK38" i="26"/>
  <c r="CK38" i="27"/>
  <c r="CK38" i="28"/>
  <c r="CK38" i="23"/>
  <c r="CK38" i="22"/>
  <c r="CK38" i="21"/>
  <c r="CK38" i="20"/>
  <c r="CK38" i="2"/>
  <c r="CF36" i="27" l="1"/>
  <c r="CF36" i="26"/>
  <c r="CF36" i="24"/>
  <c r="CF36" i="22"/>
  <c r="CF36" i="21"/>
  <c r="C101" i="1"/>
  <c r="CF36" i="28"/>
  <c r="CF36" i="25"/>
  <c r="CF36" i="2"/>
  <c r="CF36" i="23"/>
  <c r="CF36" i="20"/>
  <c r="CK39" i="27"/>
  <c r="CK39" i="28"/>
  <c r="CK39" i="24"/>
  <c r="C45" i="3"/>
  <c r="CK39" i="23"/>
  <c r="CK39" i="22"/>
  <c r="CK39" i="21"/>
  <c r="CK39" i="20"/>
  <c r="CK39" i="2"/>
  <c r="CK39" i="26"/>
  <c r="CK39" i="25"/>
  <c r="C102" i="1" l="1"/>
  <c r="CF37" i="28"/>
  <c r="CF37" i="24"/>
  <c r="CF37" i="2"/>
  <c r="CF37" i="21"/>
  <c r="CF37" i="20"/>
  <c r="CF37" i="27"/>
  <c r="CF37" i="23"/>
  <c r="CF37" i="22"/>
  <c r="CF37" i="26"/>
  <c r="CF37" i="25"/>
  <c r="CK40" i="28"/>
  <c r="CK40" i="27"/>
  <c r="CK40" i="26"/>
  <c r="CK40" i="25"/>
  <c r="CK40" i="24"/>
  <c r="CK40" i="23"/>
  <c r="C46" i="3"/>
  <c r="CK40" i="2"/>
  <c r="CK40" i="21"/>
  <c r="CK40" i="20"/>
  <c r="CK40" i="22"/>
  <c r="CF38" i="27" l="1"/>
  <c r="CF38" i="25"/>
  <c r="CF38" i="20"/>
  <c r="C103" i="1"/>
  <c r="CF38" i="24"/>
  <c r="CF38" i="28"/>
  <c r="CF38" i="26"/>
  <c r="CF38" i="22"/>
  <c r="CF38" i="2"/>
  <c r="CF38" i="23"/>
  <c r="CF38" i="21"/>
  <c r="C47" i="3"/>
  <c r="CK41" i="28"/>
  <c r="CK41" i="27"/>
  <c r="CK41" i="26"/>
  <c r="CK41" i="25"/>
  <c r="CK41" i="20"/>
  <c r="CK41" i="23"/>
  <c r="CK41" i="24"/>
  <c r="CK41" i="22"/>
  <c r="CK41" i="2"/>
  <c r="CK41" i="21"/>
  <c r="C104" i="1" l="1"/>
  <c r="CF39" i="24"/>
  <c r="CF39" i="25"/>
  <c r="CF39" i="26"/>
  <c r="CF39" i="2"/>
  <c r="CF39" i="28"/>
  <c r="CF39" i="27"/>
  <c r="CF39" i="22"/>
  <c r="CF39" i="23"/>
  <c r="CF39" i="21"/>
  <c r="CF39" i="20"/>
  <c r="C48" i="3"/>
  <c r="CK42" i="27"/>
  <c r="CK42" i="28"/>
  <c r="CK42" i="2"/>
  <c r="CK42" i="22"/>
  <c r="CK42" i="26"/>
  <c r="CK42" i="25"/>
  <c r="CK42" i="24"/>
  <c r="CK42" i="20"/>
  <c r="CK42" i="21"/>
  <c r="CK42" i="23"/>
  <c r="C105" i="1" l="1"/>
  <c r="CF40" i="27"/>
  <c r="CF40" i="25"/>
  <c r="CF40" i="23"/>
  <c r="CF40" i="20"/>
  <c r="CF40" i="28"/>
  <c r="CF40" i="26"/>
  <c r="CF40" i="24"/>
  <c r="CF40" i="22"/>
  <c r="CF40" i="21"/>
  <c r="CF40" i="2"/>
  <c r="CK43" i="27"/>
  <c r="CK43" i="28"/>
  <c r="CK43" i="26"/>
  <c r="CK43" i="24"/>
  <c r="CK43" i="23"/>
  <c r="CK43" i="22"/>
  <c r="CK43" i="21"/>
  <c r="CK43" i="20"/>
  <c r="CK43" i="25"/>
  <c r="C49" i="3"/>
  <c r="CK43" i="2"/>
  <c r="AP28" i="2" l="1"/>
  <c r="BP28" i="2" s="1"/>
  <c r="BC28" i="2" s="1"/>
  <c r="CF41" i="27"/>
  <c r="CF41" i="26"/>
  <c r="CF41" i="24"/>
  <c r="CF41" i="21"/>
  <c r="CF41" i="20"/>
  <c r="C106" i="1"/>
  <c r="CF41" i="28"/>
  <c r="CF41" i="25"/>
  <c r="CF41" i="2"/>
  <c r="CF41" i="22"/>
  <c r="CF41" i="23"/>
  <c r="CK44" i="28"/>
  <c r="CK44" i="27"/>
  <c r="CK44" i="26"/>
  <c r="CK44" i="20"/>
  <c r="C50" i="3"/>
  <c r="CK44" i="24"/>
  <c r="CK44" i="25"/>
  <c r="CK44" i="22"/>
  <c r="CK44" i="2"/>
  <c r="CK44" i="21"/>
  <c r="CK44" i="23"/>
  <c r="CF42" i="28" l="1"/>
  <c r="CF42" i="26"/>
  <c r="CF42" i="23"/>
  <c r="CF42" i="21"/>
  <c r="CF42" i="22"/>
  <c r="CF42" i="27"/>
  <c r="CF42" i="24"/>
  <c r="CF42" i="25"/>
  <c r="CF42" i="2"/>
  <c r="CF42" i="20"/>
  <c r="C51" i="3"/>
  <c r="C52" i="3" l="1"/>
  <c r="C53" i="3" l="1"/>
  <c r="C54" i="3" l="1"/>
  <c r="AJ34" i="24"/>
  <c r="AI25" i="24"/>
  <c r="B8" i="24"/>
  <c r="AH38" i="23"/>
  <c r="AJ27" i="22"/>
  <c r="B27" i="22"/>
  <c r="AH40" i="28"/>
  <c r="J23" i="26"/>
  <c r="AH46" i="20"/>
  <c r="C19" i="22"/>
  <c r="AE36" i="21"/>
  <c r="AI37" i="20"/>
  <c r="C21" i="25"/>
  <c r="AI40" i="26"/>
  <c r="AH33" i="27"/>
  <c r="AF34" i="22"/>
  <c r="C26" i="25"/>
  <c r="AH35" i="24"/>
  <c r="B8" i="23"/>
  <c r="AF36" i="25"/>
  <c r="AI36" i="25"/>
  <c r="AI26" i="28"/>
  <c r="AI23" i="23"/>
  <c r="J129" i="9"/>
  <c r="AE41" i="27"/>
  <c r="AJ27" i="20"/>
  <c r="AF28" i="22"/>
  <c r="AI28" i="2"/>
  <c r="AG27" i="23"/>
  <c r="B20" i="28"/>
  <c r="AH25" i="2"/>
  <c r="B20" i="21"/>
  <c r="B25" i="25"/>
  <c r="AE25" i="28"/>
  <c r="AJ35" i="26"/>
  <c r="J23" i="21"/>
  <c r="AF44" i="25"/>
  <c r="AF23" i="27"/>
  <c r="C20" i="22"/>
  <c r="AF45" i="9"/>
  <c r="AI33" i="23"/>
  <c r="AE35" i="24"/>
  <c r="AI44" i="21"/>
  <c r="AJ29" i="24"/>
  <c r="AI32" i="26"/>
  <c r="AH28" i="26"/>
  <c r="K22" i="25"/>
  <c r="C19" i="28"/>
  <c r="AJ35" i="21"/>
  <c r="AI23" i="22"/>
  <c r="AH25" i="23"/>
  <c r="AF26" i="20"/>
  <c r="AH42" i="20"/>
  <c r="AG26" i="24"/>
  <c r="D102" i="1"/>
  <c r="H138" i="9"/>
  <c r="AH41" i="24"/>
  <c r="AF41" i="20"/>
  <c r="C21" i="22"/>
  <c r="AE26" i="25"/>
  <c r="AE27" i="23"/>
  <c r="AE44" i="21"/>
  <c r="AE43" i="25"/>
  <c r="AI33" i="2"/>
  <c r="AH23" i="22"/>
  <c r="AH25" i="21"/>
  <c r="AG29" i="28"/>
  <c r="AH31" i="20"/>
  <c r="AI26" i="20"/>
  <c r="AF39" i="27"/>
  <c r="AE28" i="26"/>
  <c r="AG24" i="20"/>
  <c r="AE42" i="21"/>
  <c r="AE37" i="27"/>
  <c r="AJ39" i="22"/>
  <c r="AG46" i="22"/>
  <c r="AN45" i="9"/>
  <c r="AF35" i="21"/>
  <c r="AJ45" i="24"/>
  <c r="AH32" i="26"/>
  <c r="AE40" i="21"/>
  <c r="AI30" i="25"/>
  <c r="AJ31" i="20"/>
  <c r="AF46" i="25"/>
  <c r="AG41" i="20"/>
  <c r="AE25" i="24"/>
  <c r="AE41" i="23"/>
  <c r="AH23" i="28"/>
  <c r="AI27" i="24"/>
  <c r="AE38" i="20"/>
  <c r="AF27" i="2"/>
  <c r="AF36" i="20"/>
  <c r="AE34" i="25"/>
  <c r="AJ39" i="24"/>
  <c r="AG26" i="20"/>
  <c r="AE26" i="28"/>
  <c r="AG40" i="28"/>
  <c r="AJ33" i="25"/>
  <c r="AF44" i="22"/>
  <c r="AI28" i="28"/>
  <c r="C23" i="23"/>
  <c r="AG35" i="20"/>
  <c r="AG34" i="22"/>
  <c r="C20" i="27"/>
  <c r="AF28" i="21"/>
  <c r="AF33" i="28"/>
  <c r="J25" i="22"/>
  <c r="AI39" i="21"/>
  <c r="AE29" i="23"/>
  <c r="AJ25" i="23"/>
  <c r="AE30" i="21"/>
  <c r="AH37" i="22"/>
  <c r="C28" i="28"/>
  <c r="AG32" i="20"/>
  <c r="B19" i="21"/>
  <c r="AH25" i="20"/>
  <c r="AF40" i="23"/>
  <c r="B25" i="20"/>
  <c r="J24" i="22"/>
  <c r="AI27" i="23"/>
  <c r="AI24" i="2"/>
  <c r="AJ28" i="26"/>
  <c r="AJ37" i="27"/>
  <c r="AH36" i="22"/>
  <c r="AI41" i="23"/>
  <c r="AH25" i="27"/>
  <c r="AF28" i="20"/>
  <c r="AJ45" i="25"/>
  <c r="AI26" i="21"/>
  <c r="AE24" i="26"/>
  <c r="AJ36" i="25"/>
  <c r="AG34" i="20"/>
  <c r="AG34" i="21"/>
  <c r="J24" i="25"/>
  <c r="AF32" i="20"/>
  <c r="J25" i="26"/>
  <c r="AI32" i="2"/>
  <c r="J27" i="28"/>
  <c r="B20" i="25"/>
  <c r="D98" i="1"/>
  <c r="AE24" i="20"/>
  <c r="I136" i="9"/>
  <c r="AF43" i="27"/>
  <c r="AE42" i="24"/>
  <c r="AF33" i="26"/>
  <c r="AH46" i="24"/>
  <c r="B10" i="24"/>
  <c r="AH46" i="22"/>
  <c r="AJ10" i="9"/>
  <c r="AF40" i="2"/>
  <c r="AE28" i="2"/>
  <c r="C25" i="25"/>
  <c r="AG44" i="20"/>
  <c r="AG27" i="24"/>
  <c r="B23" i="22"/>
  <c r="AG29" i="21"/>
  <c r="AI27" i="2"/>
  <c r="B20" i="2"/>
  <c r="AI31" i="28"/>
  <c r="AF32" i="26"/>
  <c r="D106" i="1"/>
  <c r="AH35" i="28"/>
  <c r="AI34" i="21"/>
  <c r="AG28" i="25"/>
  <c r="AE42" i="20"/>
  <c r="AE31" i="2"/>
  <c r="AI29" i="27"/>
  <c r="AG32" i="28"/>
  <c r="AJ37" i="26"/>
  <c r="S6" i="20"/>
  <c r="AJ35" i="22"/>
  <c r="AF38" i="24"/>
  <c r="AG43" i="20"/>
  <c r="AE43" i="23"/>
  <c r="AG45" i="26"/>
  <c r="C28" i="25"/>
  <c r="AJ29" i="22"/>
  <c r="AI33" i="28"/>
  <c r="AJ34" i="22"/>
  <c r="C23" i="25"/>
  <c r="AH35" i="2"/>
  <c r="AJ24" i="20"/>
  <c r="AJ44" i="26"/>
  <c r="C20" i="26"/>
  <c r="AJ27" i="21"/>
  <c r="AJ44" i="24"/>
  <c r="AI29" i="25"/>
  <c r="AJ32" i="27"/>
  <c r="C19" i="21"/>
  <c r="C26" i="20"/>
  <c r="AH40" i="26"/>
  <c r="AH34" i="2"/>
  <c r="AI30" i="28"/>
  <c r="AJ30" i="20"/>
  <c r="AI46" i="28"/>
  <c r="AE29" i="28"/>
  <c r="AE34" i="26"/>
  <c r="AI44" i="25"/>
  <c r="AF30" i="25"/>
  <c r="AF24" i="2"/>
  <c r="AI23" i="20"/>
  <c r="AI28" i="26"/>
  <c r="AH33" i="24"/>
  <c r="AI45" i="25"/>
  <c r="AI31" i="22"/>
  <c r="AE27" i="22"/>
  <c r="AL45" i="9"/>
  <c r="AG23" i="28"/>
  <c r="AJ41" i="26"/>
  <c r="AG37" i="26"/>
  <c r="AI34" i="28"/>
  <c r="AE25" i="20"/>
  <c r="AH28" i="22"/>
  <c r="AH33" i="28"/>
  <c r="AE44" i="22"/>
  <c r="AJ39" i="27"/>
  <c r="AH44" i="21"/>
  <c r="AE30" i="26"/>
  <c r="AI27" i="22"/>
  <c r="AG39" i="2"/>
  <c r="AF25" i="26"/>
  <c r="AG25" i="24"/>
  <c r="AF36" i="24"/>
  <c r="AJ42" i="28"/>
  <c r="C26" i="28"/>
  <c r="B26" i="21"/>
  <c r="B9" i="21"/>
  <c r="AF37" i="2"/>
  <c r="H135" i="9"/>
  <c r="AF40" i="25"/>
  <c r="AE35" i="23"/>
  <c r="AE35" i="28"/>
  <c r="AH40" i="23"/>
  <c r="C27" i="28"/>
  <c r="AE31" i="26"/>
  <c r="AI26" i="26"/>
  <c r="AF27" i="23"/>
  <c r="AI28" i="21"/>
  <c r="AE41" i="28"/>
  <c r="AG46" i="21"/>
  <c r="AM45" i="9"/>
  <c r="AJ23" i="28"/>
  <c r="AF36" i="21"/>
  <c r="C28" i="22"/>
  <c r="I129" i="9"/>
  <c r="AH39" i="24"/>
  <c r="AF25" i="21"/>
  <c r="AH32" i="20"/>
  <c r="AG44" i="22"/>
  <c r="AH24" i="2"/>
  <c r="AE33" i="24"/>
  <c r="AJ37" i="23"/>
  <c r="AI33" i="26"/>
  <c r="AH45" i="24"/>
  <c r="AG31" i="25"/>
  <c r="AF45" i="22"/>
  <c r="AI40" i="24"/>
  <c r="J24" i="28"/>
  <c r="AF25" i="2"/>
  <c r="AJ26" i="25"/>
  <c r="AI25" i="22"/>
  <c r="AE38" i="21"/>
  <c r="AF43" i="28"/>
  <c r="B22" i="22"/>
  <c r="AE29" i="27"/>
  <c r="AF46" i="23"/>
  <c r="J18" i="21"/>
  <c r="AE28" i="20"/>
  <c r="AE41" i="2"/>
  <c r="AI25" i="21"/>
  <c r="AI37" i="2"/>
  <c r="AH37" i="20"/>
  <c r="K25" i="28"/>
  <c r="K24" i="21"/>
  <c r="AE45" i="23"/>
  <c r="AG41" i="23"/>
  <c r="AF44" i="26"/>
  <c r="AI43" i="25"/>
  <c r="AE35" i="21"/>
  <c r="K23" i="26"/>
  <c r="AF26" i="22"/>
  <c r="AG32" i="24"/>
  <c r="C19" i="26"/>
  <c r="AG42" i="28"/>
  <c r="AK10" i="9"/>
  <c r="AI41" i="2"/>
  <c r="AH31" i="27"/>
  <c r="AJ41" i="25"/>
  <c r="AF23" i="2"/>
  <c r="AE38" i="26"/>
  <c r="AG38" i="27"/>
  <c r="AJ43" i="22"/>
  <c r="AH43" i="22"/>
  <c r="J25" i="21"/>
  <c r="AH34" i="26"/>
  <c r="B28" i="28"/>
  <c r="AF26" i="21"/>
  <c r="C23" i="2"/>
  <c r="AE42" i="28"/>
  <c r="AI26" i="27"/>
  <c r="AH37" i="28"/>
  <c r="AE28" i="24"/>
  <c r="AE41" i="24"/>
  <c r="AE37" i="26"/>
  <c r="AE32" i="20"/>
  <c r="AH31" i="24"/>
  <c r="AJ44" i="25"/>
  <c r="AJ41" i="21"/>
  <c r="AG36" i="24"/>
  <c r="B27" i="23"/>
  <c r="AG45" i="22"/>
  <c r="AG35" i="22"/>
  <c r="AG44" i="27"/>
  <c r="J26" i="25"/>
  <c r="AG23" i="25"/>
  <c r="K25" i="22"/>
  <c r="AJ39" i="28"/>
  <c r="AE29" i="24"/>
  <c r="J138" i="9"/>
  <c r="AI38" i="21"/>
  <c r="AE46" i="2"/>
  <c r="C22" i="28"/>
  <c r="AH43" i="24"/>
  <c r="AH29" i="20"/>
  <c r="AG46" i="25"/>
  <c r="J18" i="22"/>
  <c r="AG26" i="22"/>
  <c r="AJ46" i="28"/>
  <c r="AH10" i="9"/>
  <c r="AI37" i="21"/>
  <c r="AI29" i="20"/>
  <c r="AG42" i="22"/>
  <c r="AH38" i="20"/>
  <c r="H131" i="9"/>
  <c r="AH38" i="2"/>
  <c r="AG44" i="23"/>
  <c r="AI24" i="20"/>
  <c r="AG42" i="24"/>
  <c r="AG40" i="26"/>
  <c r="AJ34" i="20"/>
  <c r="AG34" i="2"/>
  <c r="H136" i="9"/>
  <c r="AF34" i="24"/>
  <c r="AG40" i="22"/>
  <c r="AE34" i="20"/>
  <c r="J21" i="20"/>
  <c r="J20" i="21"/>
  <c r="AJ33" i="26"/>
  <c r="AH27" i="21"/>
  <c r="AG42" i="27"/>
  <c r="I133" i="9"/>
  <c r="AI35" i="24"/>
  <c r="AE39" i="23"/>
  <c r="AJ38" i="21"/>
  <c r="AH34" i="23"/>
  <c r="AG36" i="20"/>
  <c r="AG25" i="28"/>
  <c r="B21" i="27"/>
  <c r="AJ36" i="27"/>
  <c r="BM8" i="9"/>
  <c r="AH35" i="22"/>
  <c r="AJ24" i="23"/>
  <c r="D96" i="1"/>
  <c r="AG30" i="27"/>
  <c r="AF41" i="28"/>
  <c r="AH46" i="2"/>
  <c r="AI36" i="26"/>
  <c r="AE38" i="25"/>
  <c r="AH35" i="21"/>
  <c r="J25" i="28"/>
  <c r="B9" i="23"/>
  <c r="AH27" i="25"/>
  <c r="AG25" i="22"/>
  <c r="AK45" i="9"/>
  <c r="AG35" i="24"/>
  <c r="J26" i="26"/>
  <c r="AI46" i="20"/>
  <c r="AI40" i="22"/>
  <c r="AF31" i="28"/>
  <c r="I132" i="9"/>
  <c r="AI10" i="9"/>
  <c r="AF25" i="28"/>
  <c r="S6" i="22"/>
  <c r="AE46" i="25"/>
  <c r="AI36" i="2"/>
  <c r="C26" i="2"/>
  <c r="AF24" i="27"/>
  <c r="AG45" i="24"/>
  <c r="AE46" i="28"/>
  <c r="AF44" i="23"/>
  <c r="AH27" i="28"/>
  <c r="AE33" i="28"/>
  <c r="AI30" i="26"/>
  <c r="AH27" i="27"/>
  <c r="C20" i="28"/>
  <c r="AG27" i="28"/>
  <c r="AJ23" i="21"/>
  <c r="AH23" i="25"/>
  <c r="AI43" i="26"/>
  <c r="AI27" i="26"/>
  <c r="B24" i="2"/>
  <c r="J27" i="22"/>
  <c r="AH44" i="26"/>
  <c r="AJ24" i="22"/>
  <c r="AJ33" i="22"/>
  <c r="K26" i="23"/>
  <c r="AE46" i="23"/>
  <c r="AF42" i="22"/>
  <c r="AE38" i="22"/>
  <c r="AG38" i="21"/>
  <c r="S8" i="26"/>
  <c r="C20" i="21"/>
  <c r="AG39" i="22"/>
  <c r="AH25" i="25"/>
  <c r="AG46" i="23"/>
  <c r="AF23" i="28"/>
  <c r="AI41" i="20"/>
  <c r="AG31" i="28"/>
  <c r="AE34" i="22"/>
  <c r="AG24" i="25"/>
  <c r="BV8" i="9"/>
  <c r="AE35" i="26"/>
  <c r="AI43" i="23"/>
  <c r="AH42" i="2"/>
  <c r="AE32" i="28"/>
  <c r="AI25" i="20"/>
  <c r="AE31" i="20"/>
  <c r="J23" i="28"/>
  <c r="AF30" i="21"/>
  <c r="K24" i="28"/>
  <c r="C23" i="26"/>
  <c r="AF37" i="24"/>
  <c r="AE43" i="21"/>
  <c r="I137" i="9"/>
  <c r="AI38" i="26"/>
  <c r="AG30" i="20"/>
  <c r="B38" i="3"/>
  <c r="AE29" i="25"/>
  <c r="AF34" i="21"/>
  <c r="AF43" i="21"/>
  <c r="AI40" i="28"/>
  <c r="B22" i="21"/>
  <c r="AI25" i="2"/>
  <c r="AE37" i="2"/>
  <c r="AH43" i="2"/>
  <c r="AG36" i="25"/>
  <c r="C26" i="21"/>
  <c r="AJ46" i="26"/>
  <c r="AE28" i="22"/>
  <c r="AJ44" i="22"/>
  <c r="AF45" i="25"/>
  <c r="AE36" i="28"/>
  <c r="J24" i="21"/>
  <c r="AI42" i="21"/>
  <c r="AE38" i="23"/>
  <c r="AI40" i="23"/>
  <c r="AG32" i="27"/>
  <c r="AJ28" i="23"/>
  <c r="AH28" i="25"/>
  <c r="AJ46" i="20"/>
  <c r="B53" i="3"/>
  <c r="AF45" i="20"/>
  <c r="AE33" i="25"/>
  <c r="AH23" i="26"/>
  <c r="AG43" i="24"/>
  <c r="AG28" i="20"/>
  <c r="AH26" i="23"/>
  <c r="AF29" i="24"/>
  <c r="AH32" i="28"/>
  <c r="AF27" i="20"/>
  <c r="C28" i="2"/>
  <c r="AG33" i="20"/>
  <c r="AI25" i="25"/>
  <c r="AH35" i="26"/>
  <c r="AF41" i="24"/>
  <c r="AE24" i="23"/>
  <c r="AJ33" i="20"/>
  <c r="J23" i="20"/>
  <c r="AI36" i="20"/>
  <c r="AG36" i="27"/>
  <c r="AJ26" i="22"/>
  <c r="AJ39" i="21"/>
  <c r="CH8" i="9"/>
  <c r="AF40" i="22"/>
  <c r="AE40" i="26"/>
  <c r="AE42" i="22"/>
  <c r="B23" i="2"/>
  <c r="AE25" i="25"/>
  <c r="AF35" i="22"/>
  <c r="AO45" i="9"/>
  <c r="C23" i="21"/>
  <c r="K22" i="22"/>
  <c r="AJ46" i="21"/>
  <c r="AF32" i="27"/>
  <c r="AG29" i="22"/>
  <c r="AF46" i="27"/>
  <c r="AF44" i="28"/>
  <c r="AJ38" i="26"/>
  <c r="AE36" i="22"/>
  <c r="AF38" i="21"/>
  <c r="CE8" i="9"/>
  <c r="AG24" i="21"/>
  <c r="AE37" i="21"/>
  <c r="AI45" i="24"/>
  <c r="J24" i="20"/>
  <c r="C28" i="20"/>
  <c r="AE33" i="21"/>
  <c r="AE26" i="27"/>
  <c r="AI40" i="20"/>
  <c r="AH26" i="2"/>
  <c r="J27" i="21"/>
  <c r="AG42" i="2"/>
  <c r="H133" i="9"/>
  <c r="AF31" i="24"/>
  <c r="AF27" i="26"/>
  <c r="AF27" i="24"/>
  <c r="AG41" i="27"/>
  <c r="AE44" i="28"/>
  <c r="B21" i="20"/>
  <c r="AH30" i="21"/>
  <c r="B27" i="25"/>
  <c r="AE39" i="26"/>
  <c r="AG30" i="25"/>
  <c r="AJ38" i="24"/>
  <c r="AI33" i="20"/>
  <c r="B26" i="22"/>
  <c r="K21" i="20"/>
  <c r="AJ37" i="24"/>
  <c r="AJ46" i="24"/>
  <c r="AH32" i="22"/>
  <c r="AE28" i="21"/>
  <c r="AF44" i="20"/>
  <c r="AE24" i="21"/>
  <c r="AJ39" i="25"/>
  <c r="AG28" i="24"/>
  <c r="AE41" i="21"/>
  <c r="AF37" i="26"/>
  <c r="B28" i="2"/>
  <c r="AH32" i="21"/>
  <c r="AJ40" i="20"/>
  <c r="AE28" i="27"/>
  <c r="B21" i="22"/>
  <c r="AI39" i="22"/>
  <c r="AI27" i="20"/>
  <c r="AG28" i="22"/>
  <c r="AH42" i="21"/>
  <c r="AI31" i="26"/>
  <c r="AF23" i="21"/>
  <c r="AH41" i="2"/>
  <c r="AH39" i="28"/>
  <c r="AF35" i="24"/>
  <c r="AH40" i="24"/>
  <c r="D105" i="1"/>
  <c r="AH46" i="28"/>
  <c r="AF26" i="25"/>
  <c r="AI41" i="27"/>
  <c r="AJ29" i="26"/>
  <c r="AE35" i="20"/>
  <c r="AJ42" i="20"/>
  <c r="AI46" i="23"/>
  <c r="AF34" i="26"/>
  <c r="AJ26" i="27"/>
  <c r="AF38" i="23"/>
  <c r="J21" i="26"/>
  <c r="AF28" i="25"/>
  <c r="AH36" i="2"/>
  <c r="AI32" i="23"/>
  <c r="K20" i="2"/>
  <c r="AE44" i="26"/>
  <c r="AE44" i="23"/>
  <c r="AJ27" i="28"/>
  <c r="AH40" i="21"/>
  <c r="AJ32" i="28"/>
  <c r="AG36" i="26"/>
  <c r="J18" i="25"/>
  <c r="AJ37" i="25"/>
  <c r="AG33" i="22"/>
  <c r="AJ26" i="28"/>
  <c r="AG36" i="28"/>
  <c r="AE27" i="2"/>
  <c r="AJ35" i="25"/>
  <c r="AJ38" i="20"/>
  <c r="AE27" i="25"/>
  <c r="AI34" i="20"/>
  <c r="AE29" i="22"/>
  <c r="AI37" i="24"/>
  <c r="AJ33" i="24"/>
  <c r="B24" i="21"/>
  <c r="AG39" i="21"/>
  <c r="K19" i="22"/>
  <c r="K25" i="25"/>
  <c r="AH24" i="27"/>
  <c r="AE40" i="20"/>
  <c r="AH34" i="22"/>
  <c r="C24" i="2"/>
  <c r="C25" i="20"/>
  <c r="AF32" i="21"/>
  <c r="AJ28" i="24"/>
  <c r="AJ35" i="28"/>
  <c r="C27" i="26"/>
  <c r="AI42" i="20"/>
  <c r="AJ38" i="22"/>
  <c r="AI33" i="21"/>
  <c r="AE24" i="22"/>
  <c r="B23" i="28"/>
  <c r="AF39" i="26"/>
  <c r="AE45" i="24"/>
  <c r="AJ30" i="22"/>
  <c r="K24" i="20"/>
  <c r="AJ33" i="27"/>
  <c r="AG23" i="20"/>
  <c r="AI44" i="24"/>
  <c r="AI34" i="26"/>
  <c r="K26" i="20"/>
  <c r="AE30" i="25"/>
  <c r="AH44" i="28"/>
  <c r="B21" i="2"/>
  <c r="AE46" i="20"/>
  <c r="AH36" i="23"/>
  <c r="AG29" i="25"/>
  <c r="AH45" i="2"/>
  <c r="AG38" i="24"/>
  <c r="AI23" i="21"/>
  <c r="AE25" i="2"/>
  <c r="AH36" i="24"/>
  <c r="K18" i="22"/>
  <c r="B50" i="3"/>
  <c r="AF46" i="20"/>
  <c r="AG34" i="23"/>
  <c r="J26" i="20"/>
  <c r="AE24" i="2"/>
  <c r="AG28" i="2"/>
  <c r="B24" i="22"/>
  <c r="AF44" i="27"/>
  <c r="AJ37" i="21"/>
  <c r="AE44" i="2"/>
  <c r="AI32" i="27"/>
  <c r="AF41" i="21"/>
  <c r="AJ24" i="27"/>
  <c r="AH32" i="27"/>
  <c r="K20" i="22"/>
  <c r="AI24" i="23"/>
  <c r="AJ39" i="26"/>
  <c r="J21" i="2"/>
  <c r="K27" i="25"/>
  <c r="AE45" i="2"/>
  <c r="AI36" i="22"/>
  <c r="C22" i="22"/>
  <c r="C28" i="24"/>
  <c r="AE39" i="24"/>
  <c r="AJ36" i="28"/>
  <c r="AH43" i="26"/>
  <c r="K25" i="21"/>
  <c r="K20" i="28"/>
  <c r="AG35" i="23"/>
  <c r="AF31" i="27"/>
  <c r="B35" i="3"/>
  <c r="AI39" i="23"/>
  <c r="AG44" i="28"/>
  <c r="AE25" i="22"/>
  <c r="AJ31" i="27"/>
  <c r="AF28" i="26"/>
  <c r="AJ36" i="24"/>
  <c r="AE36" i="24"/>
  <c r="AI35" i="2"/>
  <c r="AH30" i="20"/>
  <c r="B34" i="3"/>
  <c r="AG42" i="25"/>
  <c r="AH43" i="28"/>
  <c r="K19" i="28"/>
  <c r="AH27" i="22"/>
  <c r="AG28" i="23"/>
  <c r="AI23" i="26"/>
  <c r="B19" i="20"/>
  <c r="AF26" i="24"/>
  <c r="AH24" i="20"/>
  <c r="AF31" i="23"/>
  <c r="AJ44" i="21"/>
  <c r="J19" i="20"/>
  <c r="AG24" i="23"/>
  <c r="AE30" i="27"/>
  <c r="AF25" i="24"/>
  <c r="D95" i="1"/>
  <c r="AJ36" i="23"/>
  <c r="AJ41" i="22"/>
  <c r="AI39" i="25"/>
  <c r="BG8" i="9"/>
  <c r="AJ44" i="28"/>
  <c r="AH26" i="25"/>
  <c r="J19" i="28"/>
  <c r="AJ40" i="25"/>
  <c r="AI31" i="2"/>
  <c r="S8" i="28"/>
  <c r="AI45" i="23"/>
  <c r="AI30" i="27"/>
  <c r="AJ45" i="28"/>
  <c r="AE39" i="21"/>
  <c r="C23" i="22"/>
  <c r="D88" i="1"/>
  <c r="AF28" i="24"/>
  <c r="AJ25" i="22"/>
  <c r="B40" i="3"/>
  <c r="B26" i="28"/>
  <c r="AE46" i="27"/>
  <c r="AE43" i="26"/>
  <c r="AE26" i="22"/>
  <c r="AE24" i="27"/>
  <c r="AG42" i="23"/>
  <c r="AF46" i="21"/>
  <c r="AE27" i="21"/>
  <c r="AE43" i="27"/>
  <c r="AF43" i="26"/>
  <c r="AH40" i="27"/>
  <c r="B26" i="2"/>
  <c r="AJ35" i="24"/>
  <c r="AJ43" i="25"/>
  <c r="AJ25" i="21"/>
  <c r="AE34" i="23"/>
  <c r="AH42" i="22"/>
  <c r="AG38" i="23"/>
  <c r="AG31" i="22"/>
  <c r="AI29" i="26"/>
  <c r="AF38" i="25"/>
  <c r="AH34" i="24"/>
  <c r="AE26" i="24"/>
  <c r="D91" i="1"/>
  <c r="B22" i="28"/>
  <c r="AG36" i="23"/>
  <c r="AJ42" i="21"/>
  <c r="AG43" i="22"/>
  <c r="AG43" i="2"/>
  <c r="AH30" i="2"/>
  <c r="J136" i="9"/>
  <c r="AJ40" i="22"/>
  <c r="C20" i="20"/>
  <c r="AG41" i="22"/>
  <c r="AJ25" i="24"/>
  <c r="J26" i="23"/>
  <c r="AG40" i="21"/>
  <c r="AJ42" i="22"/>
  <c r="AE33" i="20"/>
  <c r="AJ30" i="21"/>
  <c r="K27" i="2"/>
  <c r="AE46" i="24"/>
  <c r="AJ39" i="20"/>
  <c r="B10" i="22"/>
  <c r="K23" i="28"/>
  <c r="I134" i="9"/>
  <c r="AH29" i="2"/>
  <c r="AI41" i="25"/>
  <c r="AG36" i="22"/>
  <c r="AI36" i="21"/>
  <c r="AH40" i="22"/>
  <c r="AH40" i="25"/>
  <c r="AE23" i="20"/>
  <c r="C19" i="23"/>
  <c r="AF43" i="23"/>
  <c r="B52" i="3"/>
  <c r="AE26" i="26"/>
  <c r="B24" i="28"/>
  <c r="AI42" i="22"/>
  <c r="J22" i="28"/>
  <c r="AH29" i="23"/>
  <c r="AE39" i="27"/>
  <c r="AH27" i="20"/>
  <c r="AE23" i="28"/>
  <c r="AI28" i="23"/>
  <c r="AI46" i="2"/>
  <c r="AF43" i="24"/>
  <c r="AH43" i="21"/>
  <c r="AG41" i="21"/>
  <c r="AH36" i="27"/>
  <c r="AF35" i="28"/>
  <c r="B27" i="28"/>
  <c r="AJ42" i="26"/>
  <c r="AE28" i="23"/>
  <c r="AJ41" i="28"/>
  <c r="J22" i="26"/>
  <c r="AG41" i="2"/>
  <c r="AF30" i="26"/>
  <c r="AG33" i="25"/>
  <c r="AG33" i="2"/>
  <c r="J26" i="2"/>
  <c r="K18" i="28"/>
  <c r="AI44" i="20"/>
  <c r="AI43" i="22"/>
  <c r="AF38" i="27"/>
  <c r="AJ45" i="22"/>
  <c r="AE31" i="25"/>
  <c r="AG46" i="26"/>
  <c r="AF31" i="26"/>
  <c r="B10" i="25"/>
  <c r="AI27" i="28"/>
  <c r="AH29" i="25"/>
  <c r="AG29" i="26"/>
  <c r="AJ45" i="27"/>
  <c r="AF27" i="21"/>
  <c r="AG44" i="21"/>
  <c r="AJ43" i="24"/>
  <c r="AF43" i="2"/>
  <c r="B8" i="26"/>
  <c r="AI31" i="20"/>
  <c r="AH42" i="26"/>
  <c r="AG38" i="2"/>
  <c r="J131" i="9"/>
  <c r="AI34" i="22"/>
  <c r="J20" i="26"/>
  <c r="AH28" i="21"/>
  <c r="AH32" i="24"/>
  <c r="AE40" i="24"/>
  <c r="AG30" i="26"/>
  <c r="AF32" i="25"/>
  <c r="AH28" i="27"/>
  <c r="AG30" i="21"/>
  <c r="J130" i="9"/>
  <c r="AH44" i="22"/>
  <c r="AJ29" i="28"/>
  <c r="AI31" i="27"/>
  <c r="AG46" i="28"/>
  <c r="H137" i="9"/>
  <c r="AH43" i="20"/>
  <c r="AH44" i="2"/>
  <c r="AE23" i="26"/>
  <c r="AH44" i="27"/>
  <c r="AI43" i="28"/>
  <c r="AJ31" i="28"/>
  <c r="AI45" i="21"/>
  <c r="AH31" i="21"/>
  <c r="AM10" i="9"/>
  <c r="AE37" i="23"/>
  <c r="AH42" i="28"/>
  <c r="B9" i="26"/>
  <c r="AI43" i="24"/>
  <c r="B39" i="3"/>
  <c r="B26" i="25"/>
  <c r="AG45" i="28"/>
  <c r="B8" i="2"/>
  <c r="B10" i="2"/>
  <c r="AH45" i="20"/>
  <c r="AG31" i="23"/>
  <c r="K25" i="23"/>
  <c r="AI37" i="27"/>
  <c r="AF27" i="28"/>
  <c r="AF37" i="27"/>
  <c r="AF38" i="2"/>
  <c r="AF36" i="23"/>
  <c r="AI39" i="2"/>
  <c r="AH35" i="20"/>
  <c r="AI30" i="22"/>
  <c r="AG31" i="21"/>
  <c r="J19" i="21"/>
  <c r="AE40" i="23"/>
  <c r="AJ31" i="21"/>
  <c r="AE37" i="20"/>
  <c r="B8" i="22"/>
  <c r="B19" i="28"/>
  <c r="AJ28" i="28"/>
  <c r="B20" i="20"/>
  <c r="B9" i="22"/>
  <c r="AF38" i="26"/>
  <c r="AE40" i="25"/>
  <c r="AF37" i="25"/>
  <c r="AJ24" i="26"/>
  <c r="AG35" i="26"/>
  <c r="B21" i="21"/>
  <c r="D99" i="1"/>
  <c r="AI40" i="2"/>
  <c r="AI42" i="23"/>
  <c r="AE36" i="25"/>
  <c r="C22" i="26"/>
  <c r="AF27" i="25"/>
  <c r="K25" i="20"/>
  <c r="AG39" i="20"/>
  <c r="AG46" i="24"/>
  <c r="AJ44" i="27"/>
  <c r="AG30" i="22"/>
  <c r="B27" i="20"/>
  <c r="AJ29" i="21"/>
  <c r="AH28" i="23"/>
  <c r="AF37" i="20"/>
  <c r="AH39" i="21"/>
  <c r="B8" i="27"/>
  <c r="AH23" i="23"/>
  <c r="AG23" i="24"/>
  <c r="H132" i="9"/>
  <c r="B8" i="25"/>
  <c r="C22" i="21"/>
  <c r="K19" i="21"/>
  <c r="AF39" i="28"/>
  <c r="H134" i="9"/>
  <c r="AH43" i="23"/>
  <c r="K18" i="21"/>
  <c r="K22" i="26"/>
  <c r="B9" i="24"/>
  <c r="AE38" i="27"/>
  <c r="J18" i="2"/>
  <c r="AE32" i="22"/>
  <c r="C24" i="27"/>
  <c r="AH24" i="26"/>
  <c r="K22" i="21"/>
  <c r="AI28" i="20"/>
  <c r="AG38" i="28"/>
  <c r="AJ27" i="26"/>
  <c r="J27" i="20"/>
  <c r="AH24" i="22"/>
  <c r="B25" i="26"/>
  <c r="K26" i="28"/>
  <c r="AG42" i="20"/>
  <c r="J19" i="22"/>
  <c r="AE44" i="25"/>
  <c r="AJ23" i="20"/>
  <c r="K26" i="21"/>
  <c r="B19" i="25"/>
  <c r="J21" i="21"/>
  <c r="AI23" i="24"/>
  <c r="AI27" i="27"/>
  <c r="B9" i="20"/>
  <c r="AE34" i="24"/>
  <c r="AJ30" i="28"/>
  <c r="AJ31" i="25"/>
  <c r="C24" i="21"/>
  <c r="AF30" i="22"/>
  <c r="AG32" i="21"/>
  <c r="AE31" i="22"/>
  <c r="AJ36" i="26"/>
  <c r="AH30" i="27"/>
  <c r="AF34" i="25"/>
  <c r="B9" i="25"/>
  <c r="AJ43" i="21"/>
  <c r="AJ40" i="26"/>
  <c r="AG34" i="24"/>
  <c r="AI31" i="24"/>
  <c r="AI29" i="23"/>
  <c r="AE43" i="22"/>
  <c r="AG30" i="28"/>
  <c r="AJ43" i="26"/>
  <c r="AH45" i="25"/>
  <c r="C21" i="28"/>
  <c r="AJ33" i="23"/>
  <c r="K18" i="20"/>
  <c r="AF31" i="20"/>
  <c r="AF42" i="20"/>
  <c r="AH25" i="26"/>
  <c r="AE44" i="20"/>
  <c r="AH41" i="22"/>
  <c r="AH35" i="27"/>
  <c r="AG27" i="27"/>
  <c r="AI37" i="25"/>
  <c r="AH39" i="20"/>
  <c r="K27" i="21"/>
  <c r="J27" i="2"/>
  <c r="AH33" i="23"/>
  <c r="AG37" i="22"/>
  <c r="AJ27" i="24"/>
  <c r="C24" i="28"/>
  <c r="AI32" i="25"/>
  <c r="AJ30" i="25"/>
  <c r="AG44" i="24"/>
  <c r="AF41" i="2"/>
  <c r="AI30" i="23"/>
  <c r="AG45" i="25"/>
  <c r="D101" i="1"/>
  <c r="B22" i="20"/>
  <c r="AG45" i="20"/>
  <c r="AJ35" i="20"/>
  <c r="AJ29" i="20"/>
  <c r="AN10" i="9"/>
  <c r="AJ45" i="26"/>
  <c r="AJ43" i="28"/>
  <c r="AH38" i="22"/>
  <c r="AF36" i="28"/>
  <c r="AH39" i="22"/>
  <c r="K21" i="22"/>
  <c r="AF41" i="26"/>
  <c r="B27" i="21"/>
  <c r="AH30" i="23"/>
  <c r="AF24" i="23"/>
  <c r="AF30" i="23"/>
  <c r="K22" i="23"/>
  <c r="AG28" i="26"/>
  <c r="B37" i="3"/>
  <c r="AF32" i="23"/>
  <c r="AF40" i="28"/>
  <c r="AG32" i="22"/>
  <c r="AF46" i="22"/>
  <c r="AF42" i="28"/>
  <c r="BS8" i="9"/>
  <c r="AJ41" i="20"/>
  <c r="AE45" i="22"/>
  <c r="AJ30" i="27"/>
  <c r="AI35" i="23"/>
  <c r="I138" i="9"/>
  <c r="AE33" i="2"/>
  <c r="AH27" i="26"/>
  <c r="AH29" i="22"/>
  <c r="J21" i="28"/>
  <c r="C27" i="21"/>
  <c r="AI25" i="23"/>
  <c r="B8" i="28"/>
  <c r="AE36" i="26"/>
  <c r="AG40" i="25"/>
  <c r="AJ31" i="26"/>
  <c r="AH25" i="24"/>
  <c r="AH45" i="27"/>
  <c r="B19" i="23"/>
  <c r="AI28" i="25"/>
  <c r="AI30" i="20"/>
  <c r="AI46" i="22"/>
  <c r="AJ32" i="21"/>
  <c r="AI45" i="20"/>
  <c r="AE42" i="26"/>
  <c r="B20" i="22"/>
  <c r="AE46" i="22"/>
  <c r="AG35" i="21"/>
  <c r="D97" i="1"/>
  <c r="AG25" i="26"/>
  <c r="C22" i="20"/>
  <c r="AI32" i="22"/>
  <c r="C24" i="20"/>
  <c r="AI46" i="24"/>
  <c r="AG41" i="28"/>
  <c r="AI34" i="23"/>
  <c r="AG44" i="26"/>
  <c r="AG35" i="27"/>
  <c r="AJ46" i="23"/>
  <c r="AF33" i="21"/>
  <c r="AE37" i="28"/>
  <c r="AJ36" i="20"/>
  <c r="AF31" i="22"/>
  <c r="AH28" i="28"/>
  <c r="AH37" i="21"/>
  <c r="AH41" i="23"/>
  <c r="AF31" i="21"/>
  <c r="AG29" i="2"/>
  <c r="AI38" i="23"/>
  <c r="AJ29" i="23"/>
  <c r="K20" i="25"/>
  <c r="AI39" i="28"/>
  <c r="AE39" i="28"/>
  <c r="AG34" i="26"/>
  <c r="AJ32" i="22"/>
  <c r="AI43" i="27"/>
  <c r="AH23" i="21"/>
  <c r="AG29" i="24"/>
  <c r="AI44" i="28"/>
  <c r="AF46" i="26"/>
  <c r="AG23" i="26"/>
  <c r="AH23" i="24"/>
  <c r="AH35" i="25"/>
  <c r="AJ32" i="20"/>
  <c r="AJ34" i="21"/>
  <c r="AI39" i="24"/>
  <c r="AG28" i="28"/>
  <c r="AG23" i="27"/>
  <c r="AJ27" i="25"/>
  <c r="AE41" i="20"/>
  <c r="AF35" i="25"/>
  <c r="K18" i="25"/>
  <c r="AJ30" i="26"/>
  <c r="AG23" i="22"/>
  <c r="J137" i="9"/>
  <c r="AH45" i="26"/>
  <c r="AH41" i="21"/>
  <c r="H130" i="9"/>
  <c r="B32" i="3"/>
  <c r="AE33" i="23"/>
  <c r="AF33" i="2"/>
  <c r="B49" i="3"/>
  <c r="J134" i="9"/>
  <c r="B10" i="28"/>
  <c r="AI46" i="25"/>
  <c r="AH26" i="26"/>
  <c r="AJ33" i="28"/>
  <c r="AJ24" i="25"/>
  <c r="AF36" i="22"/>
  <c r="S6" i="2"/>
  <c r="AI45" i="22"/>
  <c r="AH28" i="24"/>
  <c r="AF24" i="20"/>
  <c r="AG26" i="23"/>
  <c r="AJ25" i="28"/>
  <c r="D93" i="1"/>
  <c r="AE33" i="27"/>
  <c r="AI25" i="28"/>
  <c r="AJ38" i="28"/>
  <c r="AF44" i="21"/>
  <c r="AH41" i="28"/>
  <c r="AI43" i="21"/>
  <c r="B23" i="20"/>
  <c r="AG30" i="2"/>
  <c r="AJ35" i="27"/>
  <c r="B25" i="21"/>
  <c r="D92" i="1"/>
  <c r="AJ40" i="28"/>
  <c r="AJ26" i="26"/>
  <c r="AG25" i="2"/>
  <c r="J20" i="20"/>
  <c r="AJ45" i="9"/>
  <c r="AH31" i="23"/>
  <c r="AI24" i="21"/>
  <c r="AG25" i="20"/>
  <c r="J25" i="2"/>
  <c r="AG30" i="23"/>
  <c r="AH36" i="28"/>
  <c r="AH45" i="21"/>
  <c r="AE40" i="28"/>
  <c r="AI31" i="25"/>
  <c r="C24" i="26"/>
  <c r="AF33" i="22"/>
  <c r="AG45" i="21"/>
  <c r="AF31" i="25"/>
  <c r="AH37" i="25"/>
  <c r="I130" i="9"/>
  <c r="AG31" i="2"/>
  <c r="AE28" i="28"/>
  <c r="AH35" i="23"/>
  <c r="AF30" i="24"/>
  <c r="AH27" i="2"/>
  <c r="AG26" i="2"/>
  <c r="AJ33" i="21"/>
  <c r="AE39" i="25"/>
  <c r="AG30" i="24"/>
  <c r="AH29" i="28"/>
  <c r="AF29" i="26"/>
  <c r="AH37" i="24"/>
  <c r="J20" i="2"/>
  <c r="AG26" i="25"/>
  <c r="AH32" i="23"/>
  <c r="K21" i="21"/>
  <c r="AF40" i="26"/>
  <c r="AF41" i="23"/>
  <c r="AH38" i="25"/>
  <c r="AF39" i="20"/>
  <c r="AE31" i="28"/>
  <c r="K27" i="20"/>
  <c r="AF25" i="27"/>
  <c r="AG39" i="26"/>
  <c r="AH31" i="26"/>
  <c r="AF39" i="22"/>
  <c r="AH30" i="22"/>
  <c r="AE23" i="2"/>
  <c r="B28" i="22"/>
  <c r="AF26" i="26"/>
  <c r="AF37" i="22"/>
  <c r="C20" i="2"/>
  <c r="AG43" i="26"/>
  <c r="AE43" i="24"/>
  <c r="AJ42" i="23"/>
  <c r="I135" i="9"/>
  <c r="AI41" i="26"/>
  <c r="B22" i="25"/>
  <c r="AF30" i="2"/>
  <c r="AJ36" i="22"/>
  <c r="AG35" i="28"/>
  <c r="J18" i="28"/>
  <c r="AE32" i="2"/>
  <c r="AI42" i="26"/>
  <c r="AE26" i="2"/>
  <c r="J26" i="28"/>
  <c r="AJ28" i="20"/>
  <c r="J133" i="9"/>
  <c r="AE39" i="22"/>
  <c r="AE25" i="23"/>
  <c r="B10" i="27"/>
  <c r="C28" i="27"/>
  <c r="AG40" i="27"/>
  <c r="AF38" i="22"/>
  <c r="AG35" i="2"/>
  <c r="AH37" i="27"/>
  <c r="AJ24" i="24"/>
  <c r="J22" i="21"/>
  <c r="AF42" i="25"/>
  <c r="AG23" i="2"/>
  <c r="J22" i="20"/>
  <c r="AJ38" i="23"/>
  <c r="D100" i="1"/>
  <c r="AF29" i="28"/>
  <c r="AI29" i="21"/>
  <c r="AI30" i="24"/>
  <c r="AE38" i="28"/>
  <c r="AF45" i="28"/>
  <c r="AI43" i="20"/>
  <c r="AH41" i="20"/>
  <c r="K19" i="25"/>
  <c r="AG46" i="20"/>
  <c r="AF46" i="28"/>
  <c r="AF35" i="27"/>
  <c r="AH36" i="26"/>
  <c r="AI38" i="28"/>
  <c r="K20" i="21"/>
  <c r="AG33" i="24"/>
  <c r="AI36" i="28"/>
  <c r="AE31" i="24"/>
  <c r="K23" i="2"/>
  <c r="AF32" i="22"/>
  <c r="AH41" i="25"/>
  <c r="AF24" i="28"/>
  <c r="K23" i="21"/>
  <c r="AF36" i="26"/>
  <c r="AJ23" i="24"/>
  <c r="AG39" i="23"/>
  <c r="AI26" i="22"/>
  <c r="C19" i="2"/>
  <c r="AG37" i="21"/>
  <c r="J27" i="26"/>
  <c r="AJ23" i="26"/>
  <c r="AF42" i="27"/>
  <c r="AG40" i="20"/>
  <c r="AI44" i="23"/>
  <c r="AI40" i="27"/>
  <c r="AE32" i="25"/>
  <c r="AH37" i="26"/>
  <c r="AI27" i="25"/>
  <c r="AE29" i="20"/>
  <c r="AH31" i="22"/>
  <c r="AG24" i="27"/>
  <c r="C23" i="28"/>
  <c r="AF35" i="20"/>
  <c r="AF29" i="20"/>
  <c r="AG41" i="25"/>
  <c r="AE27" i="20"/>
  <c r="AJ45" i="20"/>
  <c r="AG40" i="2"/>
  <c r="J20" i="28"/>
  <c r="AI28" i="27"/>
  <c r="AG27" i="26"/>
  <c r="J20" i="22"/>
  <c r="AJ46" i="22"/>
  <c r="AF30" i="28"/>
  <c r="AJ44" i="23"/>
  <c r="AH38" i="21"/>
  <c r="AI24" i="24"/>
  <c r="AI35" i="21"/>
  <c r="AH30" i="28"/>
  <c r="AI44" i="22"/>
  <c r="AE41" i="22"/>
  <c r="AJ24" i="21"/>
  <c r="AF38" i="20"/>
  <c r="AJ43" i="27"/>
  <c r="B10" i="20"/>
  <c r="AF46" i="2"/>
  <c r="B23" i="25"/>
  <c r="AJ29" i="25"/>
  <c r="AH27" i="24"/>
  <c r="AH36" i="25"/>
  <c r="B21" i="28"/>
  <c r="AE23" i="24"/>
  <c r="AE25" i="21"/>
  <c r="AJ25" i="20"/>
  <c r="B51" i="3"/>
  <c r="AH31" i="28"/>
  <c r="C25" i="23"/>
  <c r="B28" i="21"/>
  <c r="AE37" i="22"/>
  <c r="AJ39" i="23"/>
  <c r="AH43" i="27"/>
  <c r="AG28" i="21"/>
  <c r="AE33" i="26"/>
  <c r="C21" i="2"/>
  <c r="AJ37" i="20"/>
  <c r="K27" i="28"/>
  <c r="C25" i="26"/>
  <c r="B21" i="25"/>
  <c r="AG29" i="27"/>
  <c r="AJ23" i="22"/>
  <c r="AE39" i="20"/>
  <c r="AI41" i="24"/>
  <c r="AE28" i="25"/>
  <c r="AJ31" i="23"/>
  <c r="AF29" i="25"/>
  <c r="AF26" i="23"/>
  <c r="AH39" i="2"/>
  <c r="AF24" i="25"/>
  <c r="AI45" i="9"/>
  <c r="AF43" i="20"/>
  <c r="AI24" i="25"/>
  <c r="AH34" i="28"/>
  <c r="AI46" i="21"/>
  <c r="B20" i="26"/>
  <c r="AI38" i="20"/>
  <c r="AE30" i="28"/>
  <c r="K20" i="20"/>
  <c r="AF30" i="20"/>
  <c r="AE35" i="27"/>
  <c r="AJ25" i="27"/>
  <c r="AI42" i="24"/>
  <c r="C25" i="22"/>
  <c r="AG46" i="2"/>
  <c r="B43" i="3"/>
  <c r="AI46" i="27"/>
  <c r="AF37" i="28"/>
  <c r="C27" i="20"/>
  <c r="AF40" i="24"/>
  <c r="AH42" i="24"/>
  <c r="AI23" i="28"/>
  <c r="AJ31" i="24"/>
  <c r="AG39" i="28"/>
  <c r="AE27" i="26"/>
  <c r="C19" i="20"/>
  <c r="AG32" i="25"/>
  <c r="AH40" i="20"/>
  <c r="AG36" i="21"/>
  <c r="K23" i="25"/>
  <c r="AI35" i="25"/>
  <c r="AH45" i="22"/>
  <c r="C24" i="25"/>
  <c r="B28" i="20"/>
  <c r="K18" i="2"/>
  <c r="AH44" i="24"/>
  <c r="K24" i="25"/>
  <c r="J21" i="25"/>
  <c r="AG26" i="26"/>
  <c r="AH46" i="26"/>
  <c r="AG27" i="22"/>
  <c r="AI37" i="26"/>
  <c r="B48" i="3"/>
  <c r="AF23" i="23"/>
  <c r="AE34" i="27"/>
  <c r="AG39" i="24"/>
  <c r="AJ24" i="28"/>
  <c r="AI43" i="2"/>
  <c r="C20" i="25"/>
  <c r="AF34" i="28"/>
  <c r="AG32" i="26"/>
  <c r="AG38" i="26"/>
  <c r="AE30" i="20"/>
  <c r="AH33" i="22"/>
  <c r="AI42" i="2"/>
  <c r="AH39" i="23"/>
  <c r="AF39" i="23"/>
  <c r="B25" i="2"/>
  <c r="AH24" i="25"/>
  <c r="AE27" i="27"/>
  <c r="AJ34" i="26"/>
  <c r="AF36" i="27"/>
  <c r="AH29" i="24"/>
  <c r="AH38" i="24"/>
  <c r="B25" i="28"/>
  <c r="AG34" i="27"/>
  <c r="J24" i="2"/>
  <c r="AG39" i="25"/>
  <c r="B10" i="23"/>
  <c r="AE43" i="28"/>
  <c r="H129" i="9"/>
  <c r="J20" i="25"/>
  <c r="B33" i="3"/>
  <c r="AH30" i="25"/>
  <c r="AG31" i="24"/>
  <c r="C21" i="21"/>
  <c r="AJ37" i="22"/>
  <c r="AI23" i="27"/>
  <c r="AE25" i="26"/>
  <c r="AI41" i="28"/>
  <c r="AE35" i="2"/>
  <c r="AE27" i="28"/>
  <c r="AH41" i="26"/>
  <c r="AJ42" i="27"/>
  <c r="K19" i="20"/>
  <c r="AG25" i="25"/>
  <c r="AG41" i="26"/>
  <c r="AF46" i="24"/>
  <c r="B10" i="26"/>
  <c r="AH26" i="27"/>
  <c r="AI36" i="24"/>
  <c r="AG23" i="23"/>
  <c r="AJ41" i="24"/>
  <c r="AJ31" i="22"/>
  <c r="AI35" i="26"/>
  <c r="AG45" i="2"/>
  <c r="D94" i="1"/>
  <c r="AI28" i="24"/>
  <c r="AH34" i="21"/>
  <c r="C26" i="22"/>
  <c r="AE37" i="25"/>
  <c r="AE40" i="27"/>
  <c r="AH45" i="28"/>
  <c r="C28" i="23"/>
  <c r="AG35" i="25"/>
  <c r="AI25" i="26"/>
  <c r="AJ37" i="28"/>
  <c r="AH38" i="28"/>
  <c r="D103" i="1"/>
  <c r="AH33" i="21"/>
  <c r="AH25" i="28"/>
  <c r="AF24" i="22"/>
  <c r="AI34" i="24"/>
  <c r="AH44" i="25"/>
  <c r="K21" i="28"/>
  <c r="AG31" i="26"/>
  <c r="AG37" i="20"/>
  <c r="AE45" i="28"/>
  <c r="AJ44" i="20"/>
  <c r="B44" i="3"/>
  <c r="B47" i="3"/>
  <c r="AF39" i="21"/>
  <c r="AI29" i="24"/>
  <c r="AI32" i="20"/>
  <c r="AI26" i="24"/>
  <c r="AF31" i="2"/>
  <c r="AH45" i="23"/>
  <c r="AF42" i="23"/>
  <c r="AH29" i="26"/>
  <c r="B45" i="3"/>
  <c r="AI24" i="26"/>
  <c r="AH34" i="25"/>
  <c r="J132" i="9"/>
  <c r="AI29" i="28"/>
  <c r="AJ26" i="20"/>
  <c r="AH27" i="23"/>
  <c r="AI33" i="22"/>
  <c r="AG29" i="20"/>
  <c r="AJ34" i="27"/>
  <c r="AF40" i="21"/>
  <c r="AF10" i="9"/>
  <c r="AE36" i="20"/>
  <c r="AE30" i="22"/>
  <c r="AE44" i="24"/>
  <c r="AE41" i="25"/>
  <c r="B25" i="22"/>
  <c r="AH33" i="25"/>
  <c r="AI35" i="20"/>
  <c r="AJ32" i="24"/>
  <c r="AG24" i="26"/>
  <c r="AI26" i="25"/>
  <c r="AI31" i="21"/>
  <c r="AJ26" i="24"/>
  <c r="AJ45" i="21"/>
  <c r="AF35" i="2"/>
  <c r="AF38" i="28"/>
  <c r="AH33" i="2"/>
  <c r="AG33" i="26"/>
  <c r="AG33" i="27"/>
  <c r="K20" i="26"/>
  <c r="AI38" i="25"/>
  <c r="AG40" i="23"/>
  <c r="AH32" i="2"/>
  <c r="AF24" i="26"/>
  <c r="AG42" i="26"/>
  <c r="AF40" i="27"/>
  <c r="AI41" i="22"/>
  <c r="J22" i="22"/>
  <c r="AE31" i="23"/>
  <c r="AF24" i="24"/>
  <c r="AE46" i="26"/>
  <c r="AG45" i="9"/>
  <c r="B42" i="3"/>
  <c r="AH34" i="20"/>
  <c r="B36" i="3"/>
  <c r="CB8" i="9"/>
  <c r="AE45" i="26"/>
  <c r="AG43" i="21"/>
  <c r="AI39" i="20"/>
  <c r="AG37" i="24"/>
  <c r="AG37" i="23"/>
  <c r="AH44" i="23"/>
  <c r="J135" i="9"/>
  <c r="AE24" i="24"/>
  <c r="AF26" i="2"/>
  <c r="AE29" i="21"/>
  <c r="AJ34" i="23"/>
  <c r="AI46" i="26"/>
  <c r="AF45" i="27"/>
  <c r="AI45" i="28"/>
  <c r="AG44" i="25"/>
  <c r="BJ8" i="9"/>
  <c r="BP8" i="9"/>
  <c r="AF45" i="26"/>
  <c r="AG26" i="28"/>
  <c r="AJ28" i="22"/>
  <c r="AI23" i="25"/>
  <c r="AE43" i="20"/>
  <c r="AG39" i="27"/>
  <c r="AE23" i="25"/>
  <c r="AF42" i="24"/>
  <c r="AF33" i="23"/>
  <c r="AG23" i="21"/>
  <c r="AI28" i="22"/>
  <c r="C24" i="22"/>
  <c r="AI26" i="23"/>
  <c r="K23" i="20"/>
  <c r="AE23" i="22"/>
  <c r="AI32" i="28"/>
  <c r="AF28" i="23"/>
  <c r="B26" i="20"/>
  <c r="AH25" i="22"/>
  <c r="AJ40" i="24"/>
  <c r="AF28" i="27"/>
  <c r="AI29" i="2"/>
  <c r="AG38" i="25"/>
  <c r="AG10" i="9"/>
  <c r="B22" i="2"/>
  <c r="AE23" i="21"/>
  <c r="AE26" i="21"/>
  <c r="J18" i="20"/>
  <c r="AF43" i="25"/>
  <c r="AI33" i="27"/>
  <c r="AH33" i="20"/>
  <c r="B21" i="26"/>
  <c r="AG37" i="28"/>
  <c r="C22" i="25"/>
  <c r="I131" i="9"/>
  <c r="AH33" i="26"/>
  <c r="AH30" i="26"/>
  <c r="AI42" i="28"/>
  <c r="AF23" i="22"/>
  <c r="AE24" i="28"/>
  <c r="C27" i="22"/>
  <c r="AH46" i="21"/>
  <c r="AH44" i="20"/>
  <c r="B8" i="20"/>
  <c r="AG25" i="27"/>
  <c r="AF32" i="24"/>
  <c r="AF45" i="21"/>
  <c r="B23" i="21"/>
  <c r="C28" i="21"/>
  <c r="B24" i="26"/>
  <c r="AE38" i="24"/>
  <c r="AG27" i="20"/>
  <c r="AF28" i="28"/>
  <c r="AH38" i="26"/>
  <c r="AI26" i="2"/>
  <c r="AG38" i="22"/>
  <c r="AF42" i="26"/>
  <c r="AE30" i="23"/>
  <c r="AG24" i="28"/>
  <c r="K22" i="28"/>
  <c r="AG26" i="21"/>
  <c r="AJ34" i="28"/>
  <c r="AH26" i="22"/>
  <c r="AG34" i="28"/>
  <c r="AJ30" i="23"/>
  <c r="C28" i="26"/>
  <c r="AO10" i="9"/>
  <c r="B8" i="21"/>
  <c r="AF33" i="20"/>
  <c r="AE31" i="27"/>
  <c r="AE34" i="28"/>
  <c r="J25" i="20"/>
  <c r="AH26" i="21"/>
  <c r="AI37" i="28"/>
  <c r="AG24" i="24"/>
  <c r="AI27" i="21"/>
  <c r="AH36" i="20"/>
  <c r="AI33" i="24"/>
  <c r="AJ32" i="26"/>
  <c r="AI34" i="27"/>
  <c r="AI24" i="28"/>
  <c r="C23" i="20"/>
  <c r="AF42" i="21"/>
  <c r="AE38" i="2"/>
  <c r="B19" i="22"/>
  <c r="AG42" i="21"/>
  <c r="AE29" i="2"/>
  <c r="AF44" i="24"/>
  <c r="AH43" i="25"/>
  <c r="AJ26" i="23"/>
  <c r="AF45" i="24"/>
  <c r="AG32" i="23"/>
  <c r="AF32" i="28"/>
  <c r="AI38" i="22"/>
  <c r="C25" i="2"/>
  <c r="AF35" i="23"/>
  <c r="D90" i="1"/>
  <c r="AH24" i="28"/>
  <c r="AI45" i="26"/>
  <c r="AH23" i="20"/>
  <c r="K21" i="2"/>
  <c r="AI35" i="22"/>
  <c r="AI37" i="22"/>
  <c r="AF33" i="27"/>
  <c r="K21" i="26"/>
  <c r="AH29" i="27"/>
  <c r="J22" i="2"/>
  <c r="C27" i="25"/>
  <c r="AJ30" i="24"/>
  <c r="AH38" i="27"/>
  <c r="AJ40" i="21"/>
  <c r="AG33" i="28"/>
  <c r="AE45" i="25"/>
  <c r="AJ28" i="27"/>
  <c r="AE27" i="24"/>
  <c r="AE43" i="2"/>
  <c r="AF29" i="27"/>
  <c r="BY8" i="9"/>
  <c r="AF40" i="20"/>
  <c r="B41" i="3"/>
  <c r="AE33" i="22"/>
  <c r="AH34" i="27"/>
  <c r="AE31" i="21"/>
  <c r="AG25" i="23"/>
  <c r="AJ25" i="26"/>
  <c r="AF23" i="26"/>
  <c r="AH24" i="24"/>
  <c r="AE45" i="20"/>
  <c r="AF34" i="2"/>
  <c r="K22" i="20"/>
  <c r="AJ43" i="20"/>
  <c r="AG31" i="20"/>
  <c r="D89" i="1"/>
  <c r="AI45" i="2"/>
  <c r="AJ42" i="25"/>
  <c r="B19" i="2"/>
  <c r="AG41" i="24"/>
  <c r="C25" i="28"/>
  <c r="AH26" i="28"/>
  <c r="AG37" i="2"/>
  <c r="AI35" i="27"/>
  <c r="AE24" i="25"/>
  <c r="B31" i="3"/>
  <c r="K24" i="22"/>
  <c r="B46" i="3"/>
  <c r="AF29" i="2"/>
  <c r="K19" i="2"/>
  <c r="AF23" i="24"/>
  <c r="AG32" i="2"/>
  <c r="AI44" i="2"/>
  <c r="AI39" i="26"/>
  <c r="AH26" i="20"/>
  <c r="AF37" i="23"/>
  <c r="AJ42" i="24"/>
  <c r="B10" i="21"/>
  <c r="AG38" i="20"/>
  <c r="AI35" i="28"/>
  <c r="C19" i="25"/>
  <c r="AI44" i="26"/>
  <c r="AE40" i="22"/>
  <c r="J22" i="25"/>
  <c r="AE26" i="23"/>
  <c r="AE32" i="26"/>
  <c r="B9" i="28"/>
  <c r="AE41" i="26"/>
  <c r="AH26" i="24"/>
  <c r="AF34" i="20"/>
  <c r="AI32" i="24"/>
  <c r="AF39" i="24"/>
  <c r="AE39" i="2"/>
  <c r="AG26" i="27"/>
  <c r="AI23" i="2"/>
  <c r="AE37" i="24"/>
  <c r="AH42" i="25"/>
  <c r="AF35" i="26"/>
  <c r="K27" i="22"/>
  <c r="B24" i="20"/>
  <c r="J26" i="21"/>
  <c r="AJ23" i="27"/>
  <c r="AE29" i="26"/>
  <c r="AF29" i="22"/>
  <c r="AH24" i="21"/>
  <c r="AG43" i="28"/>
  <c r="AF41" i="22"/>
  <c r="AJ46" i="27"/>
  <c r="AE35" i="22"/>
  <c r="AI31" i="23"/>
  <c r="C25" i="21"/>
  <c r="AH46" i="27"/>
  <c r="AH30" i="24"/>
  <c r="AJ34" i="25"/>
  <c r="AF32" i="2"/>
  <c r="AL10" i="9"/>
  <c r="AE42" i="23"/>
  <c r="AJ27" i="23"/>
  <c r="AI29" i="22"/>
  <c r="AG24" i="22"/>
  <c r="K21" i="25"/>
  <c r="AE32" i="24"/>
  <c r="AF25" i="20"/>
  <c r="AI39" i="27"/>
  <c r="AI38" i="27"/>
  <c r="C21" i="20"/>
  <c r="AE42" i="2"/>
  <c r="AF33" i="24"/>
  <c r="AH36" i="21"/>
  <c r="AG27" i="21"/>
  <c r="AH39" i="26"/>
  <c r="AI40" i="25"/>
  <c r="AI38" i="24"/>
  <c r="AF26" i="28"/>
  <c r="AG40" i="24"/>
  <c r="AF43" i="22"/>
  <c r="AE34" i="21"/>
  <c r="AG43" i="23"/>
  <c r="D104" i="1"/>
  <c r="AF25" i="22"/>
  <c r="AH45" i="9"/>
  <c r="B54" i="3"/>
  <c r="AH63" i="9" l="1"/>
  <c r="AH61" i="9"/>
  <c r="AH68" i="9"/>
  <c r="AH48" i="9"/>
  <c r="AH72" i="9" s="1"/>
  <c r="AH69" i="9"/>
  <c r="AH67" i="9"/>
  <c r="AH58" i="9"/>
  <c r="AH59" i="9"/>
  <c r="AH71" i="9"/>
  <c r="AH47" i="9" s="1"/>
  <c r="AH56" i="9"/>
  <c r="AH70" i="9"/>
  <c r="AH49" i="9"/>
  <c r="AH55" i="9"/>
  <c r="AH57" i="9"/>
  <c r="AH62" i="9"/>
  <c r="AH60" i="9"/>
  <c r="AH66" i="9"/>
  <c r="AH44" i="9"/>
  <c r="AT44" i="9" s="1"/>
  <c r="AH53" i="9"/>
  <c r="AT45" i="9"/>
  <c r="AT65" i="9" s="1"/>
  <c r="AH50" i="9"/>
  <c r="AH52" i="9"/>
  <c r="AH51" i="9"/>
  <c r="AH65" i="9"/>
  <c r="AH54" i="9"/>
  <c r="AH64" i="9"/>
  <c r="CG40" i="23"/>
  <c r="CG40" i="28"/>
  <c r="CG40" i="27"/>
  <c r="CG40" i="24"/>
  <c r="CG40" i="25"/>
  <c r="CG40" i="21"/>
  <c r="CG40" i="26"/>
  <c r="CG40" i="22"/>
  <c r="CG40" i="2"/>
  <c r="CG40" i="20"/>
  <c r="AO43" i="23"/>
  <c r="BO43" i="23" s="1"/>
  <c r="BB43" i="23" s="1"/>
  <c r="AO40" i="24"/>
  <c r="AP39" i="26"/>
  <c r="BP39" i="26" s="1"/>
  <c r="BC39" i="26" s="1"/>
  <c r="AO27" i="21"/>
  <c r="BO27" i="21" s="1"/>
  <c r="BB27" i="21" s="1"/>
  <c r="AP36" i="21"/>
  <c r="BP36" i="21" s="1"/>
  <c r="BC36" i="21" s="1"/>
  <c r="AO24" i="22"/>
  <c r="BO24" i="22" s="1"/>
  <c r="AL19" i="9"/>
  <c r="AL15" i="9"/>
  <c r="AL31" i="9"/>
  <c r="AL22" i="9"/>
  <c r="AL17" i="9"/>
  <c r="AL29" i="9"/>
  <c r="AL16" i="9"/>
  <c r="AL35" i="9"/>
  <c r="AL32" i="9"/>
  <c r="AL36" i="9"/>
  <c r="AL12" i="9" s="1"/>
  <c r="AL34" i="9"/>
  <c r="AL24" i="9"/>
  <c r="AL18" i="9"/>
  <c r="AL21" i="9"/>
  <c r="AL23" i="9"/>
  <c r="AL13" i="9"/>
  <c r="AL37" i="9" s="1"/>
  <c r="AL33" i="9"/>
  <c r="AL20" i="9"/>
  <c r="AL14" i="9"/>
  <c r="AL28" i="9"/>
  <c r="AL25" i="9"/>
  <c r="AL30" i="9"/>
  <c r="AL9" i="9"/>
  <c r="AL80" i="9" s="1"/>
  <c r="AX80" i="9" s="1"/>
  <c r="AL27" i="9"/>
  <c r="AL81" i="9"/>
  <c r="AL92" i="9" s="1"/>
  <c r="AX10" i="9"/>
  <c r="AX36" i="9" s="1"/>
  <c r="AX12" i="9" s="1"/>
  <c r="AL26" i="9"/>
  <c r="AP30" i="24"/>
  <c r="BP30" i="24" s="1"/>
  <c r="BC30" i="24" s="1"/>
  <c r="AH22" i="27"/>
  <c r="AP46" i="27"/>
  <c r="AJ22" i="27"/>
  <c r="AO43" i="28"/>
  <c r="BO43" i="28" s="1"/>
  <c r="AP24" i="21"/>
  <c r="AJ47" i="27"/>
  <c r="D24" i="20"/>
  <c r="AP42" i="25"/>
  <c r="BP42" i="25" s="1"/>
  <c r="BC42" i="25" s="1"/>
  <c r="AI47" i="2"/>
  <c r="AO26" i="27"/>
  <c r="AP26" i="24"/>
  <c r="BP26" i="24" s="1"/>
  <c r="BC26" i="24" s="1"/>
  <c r="C9" i="28"/>
  <c r="AO38" i="20"/>
  <c r="C10" i="21"/>
  <c r="AP26" i="20"/>
  <c r="BP26" i="20" s="1"/>
  <c r="AO32" i="2"/>
  <c r="AF47" i="24"/>
  <c r="CL41" i="27"/>
  <c r="CL41" i="20"/>
  <c r="CL41" i="24"/>
  <c r="CL41" i="25"/>
  <c r="CL41" i="26"/>
  <c r="CL41" i="22"/>
  <c r="CL41" i="2"/>
  <c r="CL41" i="23"/>
  <c r="CL41" i="28"/>
  <c r="CL41" i="21"/>
  <c r="D10" i="20" a="1"/>
  <c r="D10" i="20" s="1"/>
  <c r="CL26" i="23"/>
  <c r="D9" i="25" a="1"/>
  <c r="D9" i="25" s="1"/>
  <c r="D8" i="22" a="1"/>
  <c r="D8" i="22" s="1"/>
  <c r="D10" i="25" a="1"/>
  <c r="D10" i="25" s="1"/>
  <c r="D10" i="2" a="1"/>
  <c r="D10" i="2" s="1"/>
  <c r="D8" i="20" a="1"/>
  <c r="D8" i="20" s="1"/>
  <c r="CL26" i="22"/>
  <c r="D8" i="28" a="1"/>
  <c r="D8" i="28" s="1"/>
  <c r="D8" i="2" a="1"/>
  <c r="D8" i="2" s="1"/>
  <c r="D8" i="23" a="1"/>
  <c r="D8" i="23" s="1"/>
  <c r="D8" i="26" a="1"/>
  <c r="D8" i="26" s="1"/>
  <c r="D9" i="2" a="1"/>
  <c r="D9" i="2" s="1"/>
  <c r="D9" i="23" a="1"/>
  <c r="D9" i="23" s="1"/>
  <c r="D10" i="23" a="1"/>
  <c r="D10" i="23" s="1"/>
  <c r="D10" i="24" a="1"/>
  <c r="D10" i="24" s="1"/>
  <c r="D9" i="26" a="1"/>
  <c r="D9" i="26" s="1"/>
  <c r="D10" i="28" a="1"/>
  <c r="D10" i="28" s="1"/>
  <c r="D9" i="27" a="1"/>
  <c r="D9" i="27" s="1"/>
  <c r="D9" i="22" a="1"/>
  <c r="D9" i="22" s="1"/>
  <c r="D8" i="25" a="1"/>
  <c r="D8" i="25" s="1"/>
  <c r="CL26" i="20"/>
  <c r="D8" i="27" a="1"/>
  <c r="D8" i="27" s="1"/>
  <c r="CL26" i="28"/>
  <c r="CL26" i="24"/>
  <c r="D10" i="27" a="1"/>
  <c r="D10" i="27" s="1"/>
  <c r="CL26" i="2"/>
  <c r="D8" i="21" a="1"/>
  <c r="D8" i="21" s="1"/>
  <c r="CL26" i="26"/>
  <c r="CL26" i="21"/>
  <c r="D9" i="21" a="1"/>
  <c r="D9" i="21" s="1"/>
  <c r="D9" i="28" a="1"/>
  <c r="D9" i="28" s="1"/>
  <c r="D8" i="24" a="1"/>
  <c r="D8" i="24" s="1"/>
  <c r="CL26" i="25"/>
  <c r="D9" i="24" a="1"/>
  <c r="D9" i="24" s="1"/>
  <c r="CL26" i="27"/>
  <c r="D10" i="26" a="1"/>
  <c r="D10" i="26" s="1"/>
  <c r="D10" i="22" a="1"/>
  <c r="D10" i="22" s="1"/>
  <c r="D10" i="21" a="1"/>
  <c r="D10" i="21" s="1"/>
  <c r="D9" i="20" a="1"/>
  <c r="D9" i="20" s="1"/>
  <c r="AO37" i="2"/>
  <c r="BO37" i="2" s="1"/>
  <c r="BB37" i="2" s="1"/>
  <c r="BD37" i="2" s="1"/>
  <c r="AP26" i="28"/>
  <c r="BP26" i="28" s="1"/>
  <c r="BC26" i="28" s="1"/>
  <c r="AO41" i="24"/>
  <c r="D19" i="2"/>
  <c r="CG25" i="21"/>
  <c r="CG25" i="25"/>
  <c r="CG25" i="26"/>
  <c r="CG25" i="24"/>
  <c r="CG25" i="27"/>
  <c r="CG25" i="20"/>
  <c r="CG25" i="28"/>
  <c r="CG25" i="2"/>
  <c r="CG25" i="23"/>
  <c r="CG25" i="22"/>
  <c r="AO31" i="20"/>
  <c r="BO31" i="20" s="1"/>
  <c r="BB31" i="20" s="1"/>
  <c r="AP24" i="24"/>
  <c r="BP24" i="24" s="1"/>
  <c r="BC24" i="24" s="1"/>
  <c r="AF47" i="26"/>
  <c r="AO25" i="23"/>
  <c r="BO25" i="23" s="1"/>
  <c r="AP34" i="27"/>
  <c r="BP34" i="27" s="1"/>
  <c r="BC34" i="27" s="1"/>
  <c r="CL36" i="24"/>
  <c r="CL36" i="26"/>
  <c r="CL36" i="28"/>
  <c r="CL36" i="27"/>
  <c r="CL36" i="2"/>
  <c r="CL36" i="21"/>
  <c r="CL36" i="20"/>
  <c r="CL36" i="23"/>
  <c r="CL36" i="22"/>
  <c r="CL36" i="25"/>
  <c r="BZ19" i="9"/>
  <c r="CA19" i="9"/>
  <c r="BZ20" i="9"/>
  <c r="CA15" i="9"/>
  <c r="CA29" i="9"/>
  <c r="BZ13" i="9"/>
  <c r="BY14" i="9"/>
  <c r="BY9" i="9"/>
  <c r="BY39" i="9" s="1"/>
  <c r="CA27" i="9"/>
  <c r="CA24" i="9"/>
  <c r="CA14" i="9"/>
  <c r="BZ26" i="9"/>
  <c r="BZ25" i="9"/>
  <c r="BZ14" i="9"/>
  <c r="CA26" i="9"/>
  <c r="CA25" i="9"/>
  <c r="CA31" i="9"/>
  <c r="BZ28" i="9"/>
  <c r="CA17" i="9"/>
  <c r="CA21" i="9"/>
  <c r="BZ33" i="9"/>
  <c r="CA30" i="9"/>
  <c r="CA18" i="9"/>
  <c r="BZ31" i="9"/>
  <c r="BZ22" i="9"/>
  <c r="BY7" i="9"/>
  <c r="CA13" i="9"/>
  <c r="BZ30" i="9"/>
  <c r="BZ21" i="9"/>
  <c r="BZ15" i="9"/>
  <c r="BZ18" i="9"/>
  <c r="BY13" i="9"/>
  <c r="BZ9" i="9"/>
  <c r="BZ39" i="9" s="1"/>
  <c r="BZ27" i="9"/>
  <c r="BZ29" i="9"/>
  <c r="CA9" i="9"/>
  <c r="BZ32" i="9"/>
  <c r="BZ24" i="9"/>
  <c r="CA28" i="9"/>
  <c r="CA20" i="9"/>
  <c r="BZ23" i="9"/>
  <c r="CA23" i="9"/>
  <c r="BY15" i="9"/>
  <c r="CA16" i="9"/>
  <c r="BZ16" i="9"/>
  <c r="BZ17" i="9"/>
  <c r="CA22" i="9"/>
  <c r="AO33" i="28"/>
  <c r="AP38" i="27"/>
  <c r="BP38" i="27" s="1"/>
  <c r="BC38" i="27" s="1"/>
  <c r="AP29" i="27"/>
  <c r="AP23" i="20"/>
  <c r="BP23" i="20" s="1"/>
  <c r="BC23" i="20" s="1"/>
  <c r="AH47" i="20"/>
  <c r="AP24" i="28"/>
  <c r="CG26" i="27"/>
  <c r="CG26" i="25"/>
  <c r="CG26" i="2"/>
  <c r="CG26" i="20"/>
  <c r="CG26" i="28"/>
  <c r="CG26" i="22"/>
  <c r="CG26" i="26"/>
  <c r="CG26" i="24"/>
  <c r="CG26" i="21"/>
  <c r="CG26" i="23"/>
  <c r="AO32" i="23"/>
  <c r="BO32" i="23" s="1"/>
  <c r="BB32" i="23" s="1"/>
  <c r="AP43" i="25"/>
  <c r="AO42" i="21"/>
  <c r="BO42" i="21" s="1"/>
  <c r="D19" i="22"/>
  <c r="AP36" i="20"/>
  <c r="BP36" i="20" s="1"/>
  <c r="BC36" i="20" s="1"/>
  <c r="AO24" i="24"/>
  <c r="AP26" i="21"/>
  <c r="BP26" i="21" s="1"/>
  <c r="BC26" i="21" s="1"/>
  <c r="B11" i="21"/>
  <c r="C8" i="21"/>
  <c r="AO34" i="9"/>
  <c r="AO14" i="9"/>
  <c r="AO35" i="9"/>
  <c r="AO24" i="9"/>
  <c r="AO32" i="9"/>
  <c r="AO15" i="9"/>
  <c r="AO29" i="9"/>
  <c r="AO18" i="9"/>
  <c r="AO13" i="9"/>
  <c r="AO37" i="9" s="1"/>
  <c r="AO30" i="9"/>
  <c r="AO23" i="9"/>
  <c r="BA10" i="9"/>
  <c r="BA15" i="9" s="1"/>
  <c r="AO21" i="9"/>
  <c r="AO20" i="9"/>
  <c r="AO19" i="9"/>
  <c r="AO81" i="9"/>
  <c r="AO89" i="9" s="1"/>
  <c r="AO25" i="9"/>
  <c r="AO17" i="9"/>
  <c r="AO33" i="9"/>
  <c r="AO22" i="9"/>
  <c r="AO26" i="9"/>
  <c r="AO16" i="9"/>
  <c r="AO31" i="9"/>
  <c r="AO36" i="9"/>
  <c r="AO12" i="9" s="1"/>
  <c r="AO27" i="9"/>
  <c r="AO28" i="9"/>
  <c r="AO9" i="9"/>
  <c r="AO80" i="9" s="1"/>
  <c r="BA80" i="9" s="1"/>
  <c r="M31" i="26"/>
  <c r="AS41" i="26" s="1"/>
  <c r="B31" i="26"/>
  <c r="AO34" i="28"/>
  <c r="BO34" i="28" s="1"/>
  <c r="BB34" i="28" s="1"/>
  <c r="AP26" i="22"/>
  <c r="BP26" i="22" s="1"/>
  <c r="BC26" i="22" s="1"/>
  <c r="AO26" i="21"/>
  <c r="BO26" i="21" s="1"/>
  <c r="AO24" i="28"/>
  <c r="BO24" i="28" s="1"/>
  <c r="BB24" i="28" s="1"/>
  <c r="AO38" i="22"/>
  <c r="BO38" i="22" s="1"/>
  <c r="BB38" i="22" s="1"/>
  <c r="AP38" i="26"/>
  <c r="BP38" i="26" s="1"/>
  <c r="BC38" i="26" s="1"/>
  <c r="AO27" i="20"/>
  <c r="M31" i="21"/>
  <c r="AS31" i="21" s="1"/>
  <c r="BS31" i="21" s="1"/>
  <c r="BF31" i="21" s="1"/>
  <c r="B31" i="21"/>
  <c r="D23" i="21"/>
  <c r="AO25" i="27"/>
  <c r="C8" i="20"/>
  <c r="B11" i="20"/>
  <c r="AP44" i="20"/>
  <c r="BP44" i="20" s="1"/>
  <c r="BC44" i="20" s="1"/>
  <c r="AP46" i="21"/>
  <c r="BP46" i="21" s="1"/>
  <c r="AH22" i="21"/>
  <c r="AF47" i="22"/>
  <c r="AP30" i="26"/>
  <c r="BP30" i="26" s="1"/>
  <c r="BC30" i="26" s="1"/>
  <c r="AP33" i="26"/>
  <c r="BP33" i="26" s="1"/>
  <c r="BC33" i="26" s="1"/>
  <c r="AO37" i="28"/>
  <c r="BO37" i="28" s="1"/>
  <c r="AP33" i="20"/>
  <c r="BP33" i="20" s="1"/>
  <c r="BC33" i="20" s="1"/>
  <c r="AE47" i="21"/>
  <c r="D22" i="2"/>
  <c r="AG9" i="9"/>
  <c r="AG80" i="9" s="1"/>
  <c r="AS80" i="9" s="1"/>
  <c r="AG20" i="9"/>
  <c r="AG31" i="9"/>
  <c r="AG17" i="9"/>
  <c r="AS10" i="9"/>
  <c r="AS28" i="9" s="1"/>
  <c r="AG29" i="9"/>
  <c r="AG34" i="9"/>
  <c r="AG15" i="9"/>
  <c r="AG27" i="9"/>
  <c r="AG19" i="9"/>
  <c r="AG33" i="9"/>
  <c r="AG30" i="9"/>
  <c r="AG23" i="9"/>
  <c r="AG35" i="9"/>
  <c r="AG81" i="9"/>
  <c r="AG86" i="9" s="1"/>
  <c r="AG32" i="9"/>
  <c r="AG26" i="9"/>
  <c r="AG18" i="9"/>
  <c r="AG22" i="9"/>
  <c r="AG25" i="9"/>
  <c r="AG36" i="9"/>
  <c r="AG12" i="9" s="1"/>
  <c r="AG24" i="9"/>
  <c r="AG21" i="9"/>
  <c r="AG14" i="9"/>
  <c r="AG16" i="9"/>
  <c r="AG13" i="9"/>
  <c r="AG37" i="9" s="1"/>
  <c r="AG28" i="9"/>
  <c r="AO38" i="25"/>
  <c r="AP25" i="22"/>
  <c r="D26" i="20"/>
  <c r="AE47" i="22"/>
  <c r="AO23" i="21"/>
  <c r="BO23" i="21" s="1"/>
  <c r="BB23" i="21" s="1"/>
  <c r="AG47" i="21"/>
  <c r="AE47" i="25"/>
  <c r="AO39" i="27"/>
  <c r="AI47" i="25"/>
  <c r="AO26" i="28"/>
  <c r="BO26" i="28" s="1"/>
  <c r="BB26" i="28" s="1"/>
  <c r="BR20" i="9"/>
  <c r="BQ19" i="9"/>
  <c r="BP9" i="9"/>
  <c r="BP39" i="9" s="1"/>
  <c r="BQ23" i="9"/>
  <c r="BQ9" i="9"/>
  <c r="BQ39" i="9" s="1"/>
  <c r="BR22" i="9"/>
  <c r="BR16" i="9"/>
  <c r="BQ21" i="9"/>
  <c r="BR13" i="9"/>
  <c r="BR21" i="9"/>
  <c r="BQ22" i="9"/>
  <c r="BR17" i="9"/>
  <c r="BP7" i="9"/>
  <c r="BQ16" i="9"/>
  <c r="BQ13" i="9"/>
  <c r="BP13" i="9"/>
  <c r="BQ17" i="9"/>
  <c r="BQ24" i="9"/>
  <c r="BR15" i="9"/>
  <c r="BQ18" i="9"/>
  <c r="BQ15" i="9"/>
  <c r="BR19" i="9"/>
  <c r="BR9" i="9"/>
  <c r="BR18" i="9"/>
  <c r="BQ14" i="9"/>
  <c r="BQ20" i="9"/>
  <c r="BR14" i="9"/>
  <c r="BK13" i="9"/>
  <c r="BL18" i="9"/>
  <c r="BK18" i="9"/>
  <c r="BK16" i="9"/>
  <c r="BK14" i="9"/>
  <c r="BL14" i="9"/>
  <c r="BJ13" i="9"/>
  <c r="BJ7" i="9"/>
  <c r="BK9" i="9"/>
  <c r="BK39" i="9" s="1"/>
  <c r="BL17" i="9"/>
  <c r="BK15" i="9"/>
  <c r="BL9" i="9"/>
  <c r="BL13" i="9"/>
  <c r="BK17" i="9"/>
  <c r="BL15" i="9"/>
  <c r="BL16" i="9"/>
  <c r="BJ9" i="9"/>
  <c r="BJ39" i="9" s="1"/>
  <c r="AO44" i="25"/>
  <c r="AI22" i="26"/>
  <c r="AP44" i="23"/>
  <c r="BP44" i="23" s="1"/>
  <c r="BC44" i="23" s="1"/>
  <c r="AO37" i="23"/>
  <c r="AQ37" i="23" s="1"/>
  <c r="AO37" i="24"/>
  <c r="AO43" i="21"/>
  <c r="BO43" i="21" s="1"/>
  <c r="BB43" i="21" s="1"/>
  <c r="CD18" i="9"/>
  <c r="CD9" i="9"/>
  <c r="CC16" i="9"/>
  <c r="CB7" i="9"/>
  <c r="CD13" i="9"/>
  <c r="CC13" i="9"/>
  <c r="CC9" i="9"/>
  <c r="CC39" i="9" s="1"/>
  <c r="CC14" i="9"/>
  <c r="CB9" i="9"/>
  <c r="CB39" i="9" s="1"/>
  <c r="CC15" i="9"/>
  <c r="CD19" i="9"/>
  <c r="CC17" i="9"/>
  <c r="CC18" i="9"/>
  <c r="CB13" i="9"/>
  <c r="CC19" i="9"/>
  <c r="CD14" i="9"/>
  <c r="CD17" i="9"/>
  <c r="CD16" i="9"/>
  <c r="CD15" i="9"/>
  <c r="CL31" i="21"/>
  <c r="CL31" i="2"/>
  <c r="CL31" i="20"/>
  <c r="CL31" i="25"/>
  <c r="CL31" i="22"/>
  <c r="CL31" i="24"/>
  <c r="CL31" i="27"/>
  <c r="CL31" i="23"/>
  <c r="CL31" i="28"/>
  <c r="CL31" i="26"/>
  <c r="AP34" i="20"/>
  <c r="BP34" i="20" s="1"/>
  <c r="BC34" i="20" s="1"/>
  <c r="CL37" i="20"/>
  <c r="CL37" i="22"/>
  <c r="CL37" i="2"/>
  <c r="CL37" i="23"/>
  <c r="CL37" i="27"/>
  <c r="CL37" i="25"/>
  <c r="CL37" i="26"/>
  <c r="CL37" i="21"/>
  <c r="CL37" i="28"/>
  <c r="CL37" i="24"/>
  <c r="AG63" i="9"/>
  <c r="AG58" i="9"/>
  <c r="AG64" i="9"/>
  <c r="AG69" i="9"/>
  <c r="AG48" i="9"/>
  <c r="AG72" i="9" s="1"/>
  <c r="AG59" i="9"/>
  <c r="AS45" i="9"/>
  <c r="AS55" i="9" s="1"/>
  <c r="AG65" i="9"/>
  <c r="AG55" i="9"/>
  <c r="AG52" i="9"/>
  <c r="AG66" i="9"/>
  <c r="AG44" i="9"/>
  <c r="AS44" i="9" s="1"/>
  <c r="AG54" i="9"/>
  <c r="AG70" i="9"/>
  <c r="AG57" i="9"/>
  <c r="AG67" i="9"/>
  <c r="AG62" i="9"/>
  <c r="AG56" i="9"/>
  <c r="AG51" i="9"/>
  <c r="AG50" i="9"/>
  <c r="AG68" i="9"/>
  <c r="AG53" i="9"/>
  <c r="AG61" i="9"/>
  <c r="AG60" i="9"/>
  <c r="AG49" i="9"/>
  <c r="AG71" i="9"/>
  <c r="AG47" i="9" s="1"/>
  <c r="AE22" i="26"/>
  <c r="AO42" i="26"/>
  <c r="AP32" i="2"/>
  <c r="BP32" i="2" s="1"/>
  <c r="BC32" i="2" s="1"/>
  <c r="AO40" i="23"/>
  <c r="BO40" i="23" s="1"/>
  <c r="AO33" i="27"/>
  <c r="BO33" i="27" s="1"/>
  <c r="BB33" i="27" s="1"/>
  <c r="AO33" i="26"/>
  <c r="BO33" i="26" s="1"/>
  <c r="AP33" i="2"/>
  <c r="BP33" i="2" s="1"/>
  <c r="BC33" i="2" s="1"/>
  <c r="AO24" i="26"/>
  <c r="BO24" i="26" s="1"/>
  <c r="BB24" i="26" s="1"/>
  <c r="AP33" i="25"/>
  <c r="BP33" i="25" s="1"/>
  <c r="BC33" i="25" s="1"/>
  <c r="D25" i="22"/>
  <c r="AF33" i="9"/>
  <c r="AP33" i="9" s="1"/>
  <c r="E32" i="9" s="1"/>
  <c r="AF13" i="9"/>
  <c r="AF37" i="9" s="1"/>
  <c r="AP37" i="9" s="1"/>
  <c r="E36" i="9" s="1"/>
  <c r="AF30" i="9"/>
  <c r="AP30" i="9" s="1"/>
  <c r="E29" i="9" s="1"/>
  <c r="AR10" i="9"/>
  <c r="AR33" i="9" s="1"/>
  <c r="BB33" i="9" s="1"/>
  <c r="AF28" i="9"/>
  <c r="AP28" i="9" s="1"/>
  <c r="E27" i="9" s="1"/>
  <c r="AF15" i="9"/>
  <c r="AP15" i="9" s="1"/>
  <c r="E14" i="9" s="1"/>
  <c r="AF35" i="9"/>
  <c r="AP35" i="9" s="1"/>
  <c r="E34" i="9" s="1"/>
  <c r="AF19" i="9"/>
  <c r="AP19" i="9" s="1"/>
  <c r="E18" i="9" s="1"/>
  <c r="AF36" i="9"/>
  <c r="AF12" i="9" s="1"/>
  <c r="AF25" i="9"/>
  <c r="AP25" i="9" s="1"/>
  <c r="E24" i="9" s="1"/>
  <c r="AF26" i="9"/>
  <c r="AP26" i="9" s="1"/>
  <c r="E25" i="9" s="1"/>
  <c r="AF32" i="9"/>
  <c r="AP32" i="9" s="1"/>
  <c r="E31" i="9" s="1"/>
  <c r="AF18" i="9"/>
  <c r="AP18" i="9" s="1"/>
  <c r="E17" i="9" s="1"/>
  <c r="AF23" i="9"/>
  <c r="AP23" i="9" s="1"/>
  <c r="E22" i="9" s="1"/>
  <c r="AF16" i="9"/>
  <c r="AP16" i="9" s="1"/>
  <c r="E15" i="9" s="1"/>
  <c r="AF20" i="9"/>
  <c r="AP20" i="9" s="1"/>
  <c r="E19" i="9" s="1"/>
  <c r="AF81" i="9"/>
  <c r="AF22" i="9"/>
  <c r="AP22" i="9" s="1"/>
  <c r="E21" i="9" s="1"/>
  <c r="AF21" i="9"/>
  <c r="AP21" i="9" s="1"/>
  <c r="E20" i="9" s="1"/>
  <c r="AF14" i="9"/>
  <c r="AP14" i="9" s="1"/>
  <c r="E13" i="9" s="1"/>
  <c r="AF31" i="9"/>
  <c r="AP31" i="9" s="1"/>
  <c r="E30" i="9" s="1"/>
  <c r="AF27" i="9"/>
  <c r="AP27" i="9" s="1"/>
  <c r="E26" i="9" s="1"/>
  <c r="AF17" i="9"/>
  <c r="AP17" i="9" s="1"/>
  <c r="E16" i="9" s="1"/>
  <c r="AF29" i="9"/>
  <c r="AP29" i="9" s="1"/>
  <c r="E28" i="9" s="1"/>
  <c r="AF24" i="9"/>
  <c r="AP24" i="9" s="1"/>
  <c r="E23" i="9" s="1"/>
  <c r="AF9" i="9"/>
  <c r="AF80" i="9" s="1"/>
  <c r="AR80" i="9" s="1"/>
  <c r="AF34" i="9"/>
  <c r="AP34" i="9" s="1"/>
  <c r="E33" i="9" s="1"/>
  <c r="AO29" i="20"/>
  <c r="BO29" i="20" s="1"/>
  <c r="BB29" i="20" s="1"/>
  <c r="AP27" i="23"/>
  <c r="BP27" i="23" s="1"/>
  <c r="BC27" i="23" s="1"/>
  <c r="AP34" i="25"/>
  <c r="BP34" i="25" s="1"/>
  <c r="CL40" i="20"/>
  <c r="CL40" i="21"/>
  <c r="CL40" i="24"/>
  <c r="CL40" i="22"/>
  <c r="CL40" i="2"/>
  <c r="CL40" i="26"/>
  <c r="CL40" i="27"/>
  <c r="CL40" i="28"/>
  <c r="CL40" i="25"/>
  <c r="CL40" i="23"/>
  <c r="AP29" i="26"/>
  <c r="BP29" i="26" s="1"/>
  <c r="BC29" i="26" s="1"/>
  <c r="AP45" i="23"/>
  <c r="CL42" i="23"/>
  <c r="CL42" i="22"/>
  <c r="CL42" i="27"/>
  <c r="CL42" i="25"/>
  <c r="CL42" i="26"/>
  <c r="CL42" i="20"/>
  <c r="CL42" i="2"/>
  <c r="CL42" i="28"/>
  <c r="CL42" i="24"/>
  <c r="CL42" i="21"/>
  <c r="CL39" i="20"/>
  <c r="CL39" i="21"/>
  <c r="CL39" i="23"/>
  <c r="CL39" i="24"/>
  <c r="CL39" i="26"/>
  <c r="CL39" i="22"/>
  <c r="CL39" i="2"/>
  <c r="CL39" i="25"/>
  <c r="CL39" i="27"/>
  <c r="CL39" i="28"/>
  <c r="AO37" i="20"/>
  <c r="AO31" i="26"/>
  <c r="AP44" i="25"/>
  <c r="BP44" i="25" s="1"/>
  <c r="BC44" i="25" s="1"/>
  <c r="AP25" i="28"/>
  <c r="BP25" i="28" s="1"/>
  <c r="BC25" i="28" s="1"/>
  <c r="AP33" i="21"/>
  <c r="CG39" i="26"/>
  <c r="CG39" i="25"/>
  <c r="CG39" i="2"/>
  <c r="CG39" i="27"/>
  <c r="CG39" i="28"/>
  <c r="CG39" i="20"/>
  <c r="CG39" i="24"/>
  <c r="CG39" i="23"/>
  <c r="CG39" i="21"/>
  <c r="CG39" i="22"/>
  <c r="AP38" i="28"/>
  <c r="BP38" i="28" s="1"/>
  <c r="BC38" i="28" s="1"/>
  <c r="AO35" i="25"/>
  <c r="BO35" i="25" s="1"/>
  <c r="BB35" i="25" s="1"/>
  <c r="B31" i="23"/>
  <c r="M31" i="23"/>
  <c r="AS41" i="23" s="1"/>
  <c r="BS41" i="23" s="1"/>
  <c r="BF41" i="23" s="1"/>
  <c r="AP45" i="28"/>
  <c r="AP34" i="21"/>
  <c r="BP34" i="21" s="1"/>
  <c r="BC34" i="21" s="1"/>
  <c r="CG30" i="24"/>
  <c r="CG30" i="21"/>
  <c r="CG30" i="2"/>
  <c r="CG30" i="22"/>
  <c r="CG30" i="26"/>
  <c r="CG30" i="27"/>
  <c r="CG30" i="28"/>
  <c r="CG30" i="25"/>
  <c r="CG30" i="23"/>
  <c r="CG30" i="20"/>
  <c r="AO45" i="2"/>
  <c r="AG47" i="23"/>
  <c r="AO23" i="23"/>
  <c r="AP26" i="27"/>
  <c r="BP26" i="27" s="1"/>
  <c r="C10" i="26"/>
  <c r="AF22" i="24"/>
  <c r="AO41" i="26"/>
  <c r="AO25" i="25"/>
  <c r="AP41" i="26"/>
  <c r="BP41" i="26" s="1"/>
  <c r="BC41" i="26" s="1"/>
  <c r="AI47" i="27"/>
  <c r="AO31" i="24"/>
  <c r="AP30" i="25"/>
  <c r="BP30" i="25" s="1"/>
  <c r="BC30" i="25" s="1"/>
  <c r="CL28" i="21"/>
  <c r="CL28" i="2"/>
  <c r="CL28" i="25"/>
  <c r="CL28" i="26"/>
  <c r="CL28" i="24"/>
  <c r="CL28" i="20"/>
  <c r="CL28" i="22"/>
  <c r="CL28" i="28"/>
  <c r="CL28" i="23"/>
  <c r="CL28" i="27"/>
  <c r="H141" i="9"/>
  <c r="C10" i="23"/>
  <c r="AO39" i="25"/>
  <c r="AQ39" i="25" s="1"/>
  <c r="AO34" i="27"/>
  <c r="BO34" i="27" s="1"/>
  <c r="BB34" i="27" s="1"/>
  <c r="AP38" i="24"/>
  <c r="BP38" i="24" s="1"/>
  <c r="BC38" i="24" s="1"/>
  <c r="AP29" i="24"/>
  <c r="BP29" i="24" s="1"/>
  <c r="BC29" i="24" s="1"/>
  <c r="AP24" i="25"/>
  <c r="D25" i="2"/>
  <c r="AP39" i="23"/>
  <c r="BP39" i="23" s="1"/>
  <c r="BC39" i="23" s="1"/>
  <c r="AP33" i="22"/>
  <c r="BP33" i="22" s="1"/>
  <c r="BC33" i="22" s="1"/>
  <c r="AO38" i="26"/>
  <c r="BO38" i="26" s="1"/>
  <c r="AO32" i="26"/>
  <c r="BO32" i="26" s="1"/>
  <c r="BB32" i="26" s="1"/>
  <c r="AO39" i="24"/>
  <c r="BO39" i="24" s="1"/>
  <c r="BB39" i="24" s="1"/>
  <c r="AF47" i="23"/>
  <c r="CL43" i="20"/>
  <c r="CL43" i="23"/>
  <c r="CL43" i="25"/>
  <c r="CL43" i="26"/>
  <c r="CL43" i="22"/>
  <c r="CL43" i="2"/>
  <c r="CL43" i="21"/>
  <c r="CL43" i="27"/>
  <c r="CL43" i="28"/>
  <c r="CL43" i="24"/>
  <c r="AO27" i="22"/>
  <c r="AP46" i="26"/>
  <c r="AP22" i="26" s="1"/>
  <c r="AH22" i="26"/>
  <c r="AO26" i="26"/>
  <c r="BO26" i="26" s="1"/>
  <c r="BB26" i="26" s="1"/>
  <c r="AP44" i="24"/>
  <c r="BP44" i="24" s="1"/>
  <c r="BC44" i="24" s="1"/>
  <c r="D24" i="25"/>
  <c r="AP45" i="22"/>
  <c r="BP45" i="22" s="1"/>
  <c r="BC45" i="22" s="1"/>
  <c r="AO36" i="21"/>
  <c r="BO36" i="21" s="1"/>
  <c r="AP40" i="20"/>
  <c r="BP40" i="20" s="1"/>
  <c r="BC40" i="20" s="1"/>
  <c r="AO32" i="25"/>
  <c r="AO39" i="28"/>
  <c r="AI47" i="28"/>
  <c r="AP42" i="24"/>
  <c r="BP42" i="24" s="1"/>
  <c r="BC42" i="24" s="1"/>
  <c r="AI22" i="27"/>
  <c r="CL38" i="24"/>
  <c r="CL38" i="25"/>
  <c r="CL38" i="27"/>
  <c r="CL38" i="21"/>
  <c r="CL38" i="28"/>
  <c r="CL38" i="23"/>
  <c r="CL38" i="2"/>
  <c r="CL38" i="20"/>
  <c r="CL38" i="22"/>
  <c r="CL38" i="26"/>
  <c r="AG22" i="2"/>
  <c r="AO46" i="2"/>
  <c r="BO46" i="2" s="1"/>
  <c r="AI22" i="21"/>
  <c r="AP34" i="28"/>
  <c r="AI68" i="9"/>
  <c r="AI52" i="9"/>
  <c r="AU45" i="9"/>
  <c r="AU64" i="9" s="1"/>
  <c r="AI60" i="9"/>
  <c r="AI66" i="9"/>
  <c r="AI70" i="9"/>
  <c r="AI53" i="9"/>
  <c r="AI56" i="9"/>
  <c r="AI62" i="9"/>
  <c r="AI44" i="9"/>
  <c r="AU44" i="9" s="1"/>
  <c r="AI59" i="9"/>
  <c r="AI54" i="9"/>
  <c r="AI65" i="9"/>
  <c r="AI64" i="9"/>
  <c r="AI57" i="9"/>
  <c r="AI49" i="9"/>
  <c r="AI58" i="9"/>
  <c r="AI63" i="9"/>
  <c r="AI61" i="9"/>
  <c r="AI67" i="9"/>
  <c r="AI50" i="9"/>
  <c r="AI55" i="9"/>
  <c r="AI69" i="9"/>
  <c r="AI51" i="9"/>
  <c r="AI48" i="9"/>
  <c r="AI72" i="9" s="1"/>
  <c r="AI71" i="9"/>
  <c r="AI47" i="9" s="1"/>
  <c r="AF47" i="25"/>
  <c r="AP39" i="2"/>
  <c r="BP39" i="2" s="1"/>
  <c r="BC39" i="2" s="1"/>
  <c r="AJ47" i="22"/>
  <c r="AO29" i="27"/>
  <c r="BO29" i="27" s="1"/>
  <c r="BB29" i="27" s="1"/>
  <c r="D21" i="25"/>
  <c r="AO28" i="21"/>
  <c r="BO28" i="21" s="1"/>
  <c r="BB28" i="21" s="1"/>
  <c r="AP43" i="27"/>
  <c r="D25" i="23"/>
  <c r="AP31" i="28"/>
  <c r="BP31" i="28" s="1"/>
  <c r="BC31" i="28" s="1"/>
  <c r="AE47" i="24"/>
  <c r="AP36" i="25"/>
  <c r="BP36" i="25" s="1"/>
  <c r="BC36" i="25" s="1"/>
  <c r="AP27" i="24"/>
  <c r="BP27" i="24" s="1"/>
  <c r="BC27" i="24" s="1"/>
  <c r="D23" i="25"/>
  <c r="AF22" i="2"/>
  <c r="C10" i="20"/>
  <c r="AP30" i="28"/>
  <c r="BP30" i="28" s="1"/>
  <c r="BC30" i="28" s="1"/>
  <c r="AP38" i="21"/>
  <c r="BP38" i="21" s="1"/>
  <c r="BC38" i="21" s="1"/>
  <c r="AJ22" i="22"/>
  <c r="AO27" i="26"/>
  <c r="BO27" i="26" s="1"/>
  <c r="BB27" i="26" s="1"/>
  <c r="AO40" i="2"/>
  <c r="AQ40" i="2" s="1"/>
  <c r="AO41" i="25"/>
  <c r="BO41" i="25" s="1"/>
  <c r="BB41" i="25" s="1"/>
  <c r="AO24" i="27"/>
  <c r="BO24" i="27" s="1"/>
  <c r="AP31" i="22"/>
  <c r="BP31" i="22" s="1"/>
  <c r="AP37" i="26"/>
  <c r="BP37" i="26" s="1"/>
  <c r="BC37" i="26" s="1"/>
  <c r="AO40" i="20"/>
  <c r="BO40" i="20" s="1"/>
  <c r="AJ47" i="26"/>
  <c r="AO37" i="21"/>
  <c r="BO37" i="21" s="1"/>
  <c r="BB37" i="21" s="1"/>
  <c r="AO39" i="23"/>
  <c r="BO39" i="23" s="1"/>
  <c r="AJ47" i="24"/>
  <c r="AP41" i="25"/>
  <c r="AO33" i="24"/>
  <c r="BO33" i="24" s="1"/>
  <c r="AP36" i="26"/>
  <c r="BP36" i="26" s="1"/>
  <c r="BC36" i="26" s="1"/>
  <c r="AF22" i="28"/>
  <c r="AO46" i="20"/>
  <c r="AG22" i="20"/>
  <c r="AP41" i="20"/>
  <c r="BP41" i="20" s="1"/>
  <c r="BC41" i="20" s="1"/>
  <c r="CG36" i="28"/>
  <c r="CG36" i="20"/>
  <c r="CG36" i="21"/>
  <c r="CG36" i="2"/>
  <c r="CG36" i="25"/>
  <c r="CG36" i="22"/>
  <c r="CG36" i="23"/>
  <c r="CG36" i="27"/>
  <c r="CG36" i="24"/>
  <c r="CG36" i="26"/>
  <c r="AO23" i="2"/>
  <c r="BO23" i="2" s="1"/>
  <c r="BQ23" i="2" s="1"/>
  <c r="AG47" i="2"/>
  <c r="AP37" i="27"/>
  <c r="AQ37" i="27" s="1"/>
  <c r="AO35" i="2"/>
  <c r="AO40" i="27"/>
  <c r="BO40" i="27" s="1"/>
  <c r="B31" i="27"/>
  <c r="M31" i="27"/>
  <c r="AS33" i="27" s="1"/>
  <c r="BS33" i="27" s="1"/>
  <c r="BF33" i="27" s="1"/>
  <c r="C10" i="27"/>
  <c r="AO35" i="28"/>
  <c r="BO35" i="28" s="1"/>
  <c r="D22" i="25"/>
  <c r="AO43" i="26"/>
  <c r="AE47" i="2"/>
  <c r="AP30" i="22"/>
  <c r="BP30" i="22" s="1"/>
  <c r="BC30" i="22" s="1"/>
  <c r="AP31" i="26"/>
  <c r="BP31" i="26" s="1"/>
  <c r="BC31" i="26" s="1"/>
  <c r="AO39" i="26"/>
  <c r="BO39" i="26" s="1"/>
  <c r="BB39" i="26" s="1"/>
  <c r="AP38" i="25"/>
  <c r="BP38" i="25" s="1"/>
  <c r="BC38" i="25" s="1"/>
  <c r="AP32" i="23"/>
  <c r="BP32" i="23" s="1"/>
  <c r="BC32" i="23" s="1"/>
  <c r="AO26" i="25"/>
  <c r="BO26" i="25" s="1"/>
  <c r="AP37" i="24"/>
  <c r="BP37" i="24" s="1"/>
  <c r="BC37" i="24" s="1"/>
  <c r="AP29" i="28"/>
  <c r="AO30" i="24"/>
  <c r="AO26" i="2"/>
  <c r="AP27" i="2"/>
  <c r="AP35" i="23"/>
  <c r="BP35" i="23" s="1"/>
  <c r="BC35" i="23" s="1"/>
  <c r="AO31" i="2"/>
  <c r="AQ31" i="2" s="1"/>
  <c r="AP37" i="25"/>
  <c r="BP37" i="25" s="1"/>
  <c r="AO45" i="21"/>
  <c r="AP45" i="21"/>
  <c r="BP45" i="21" s="1"/>
  <c r="BC45" i="21" s="1"/>
  <c r="AP36" i="28"/>
  <c r="BP36" i="28" s="1"/>
  <c r="BC36" i="28" s="1"/>
  <c r="AO30" i="23"/>
  <c r="BO30" i="23" s="1"/>
  <c r="AO25" i="20"/>
  <c r="BO25" i="20" s="1"/>
  <c r="BB25" i="20" s="1"/>
  <c r="AP31" i="23"/>
  <c r="BP31" i="23" s="1"/>
  <c r="BC31" i="23" s="1"/>
  <c r="AJ65" i="9"/>
  <c r="AJ55" i="9"/>
  <c r="AJ54" i="9"/>
  <c r="AJ52" i="9"/>
  <c r="AJ51" i="9"/>
  <c r="AJ67" i="9"/>
  <c r="AJ59" i="9"/>
  <c r="AJ50" i="9"/>
  <c r="AJ48" i="9"/>
  <c r="AJ72" i="9" s="1"/>
  <c r="AJ61" i="9"/>
  <c r="AJ56" i="9"/>
  <c r="AJ49" i="9"/>
  <c r="AJ62" i="9"/>
  <c r="AJ44" i="9"/>
  <c r="AV44" i="9" s="1"/>
  <c r="AJ57" i="9"/>
  <c r="AJ68" i="9"/>
  <c r="AJ64" i="9"/>
  <c r="AJ63" i="9"/>
  <c r="AJ71" i="9"/>
  <c r="AJ47" i="9" s="1"/>
  <c r="AJ70" i="9"/>
  <c r="AV45" i="9"/>
  <c r="AV69" i="9" s="1"/>
  <c r="AJ66" i="9"/>
  <c r="AJ53" i="9"/>
  <c r="AJ69" i="9"/>
  <c r="AJ60" i="9"/>
  <c r="AJ58" i="9"/>
  <c r="AO25" i="2"/>
  <c r="CG28" i="22"/>
  <c r="CG28" i="28"/>
  <c r="CG28" i="27"/>
  <c r="CG28" i="21"/>
  <c r="CG28" i="23"/>
  <c r="CG28" i="26"/>
  <c r="CG28" i="20"/>
  <c r="CG28" i="25"/>
  <c r="CG28" i="24"/>
  <c r="CG28" i="2"/>
  <c r="D25" i="21"/>
  <c r="AO30" i="2"/>
  <c r="D23" i="20"/>
  <c r="AP41" i="28"/>
  <c r="BP41" i="28" s="1"/>
  <c r="BC41" i="28" s="1"/>
  <c r="CG29" i="26"/>
  <c r="CG29" i="28"/>
  <c r="CG29" i="20"/>
  <c r="CG29" i="27"/>
  <c r="CG29" i="2"/>
  <c r="CG29" i="25"/>
  <c r="CG29" i="23"/>
  <c r="CG29" i="22"/>
  <c r="CG29" i="24"/>
  <c r="CG29" i="21"/>
  <c r="AO26" i="23"/>
  <c r="AF47" i="20"/>
  <c r="AP28" i="24"/>
  <c r="BP28" i="24" s="1"/>
  <c r="BC28" i="24" s="1"/>
  <c r="AJ47" i="25"/>
  <c r="AP26" i="26"/>
  <c r="BP26" i="26" s="1"/>
  <c r="BC26" i="26" s="1"/>
  <c r="AI22" i="25"/>
  <c r="C10" i="28"/>
  <c r="CL44" i="25"/>
  <c r="CL44" i="2"/>
  <c r="CL44" i="26"/>
  <c r="CL44" i="28"/>
  <c r="CL44" i="24"/>
  <c r="CL44" i="23"/>
  <c r="CL44" i="22"/>
  <c r="CL44" i="27"/>
  <c r="CL44" i="21"/>
  <c r="CL44" i="20"/>
  <c r="CL27" i="24"/>
  <c r="CL27" i="25"/>
  <c r="CL27" i="2"/>
  <c r="CL27" i="27"/>
  <c r="CL27" i="21"/>
  <c r="CL27" i="22"/>
  <c r="CL27" i="26"/>
  <c r="CL27" i="20"/>
  <c r="CL27" i="28"/>
  <c r="CL27" i="23"/>
  <c r="AP41" i="21"/>
  <c r="BP41" i="21" s="1"/>
  <c r="AP45" i="26"/>
  <c r="BP45" i="26" s="1"/>
  <c r="BC45" i="26" s="1"/>
  <c r="AG47" i="22"/>
  <c r="AO23" i="22"/>
  <c r="AO23" i="27"/>
  <c r="AQ23" i="27" s="1"/>
  <c r="AG47" i="27"/>
  <c r="AO28" i="28"/>
  <c r="AP35" i="25"/>
  <c r="BP35" i="25" s="1"/>
  <c r="AH47" i="24"/>
  <c r="AP23" i="24"/>
  <c r="BP23" i="24" s="1"/>
  <c r="AO23" i="26"/>
  <c r="AG47" i="26"/>
  <c r="AF22" i="26"/>
  <c r="AO29" i="24"/>
  <c r="BO29" i="24" s="1"/>
  <c r="AH47" i="21"/>
  <c r="AP23" i="21"/>
  <c r="BP23" i="21" s="1"/>
  <c r="AR43" i="27"/>
  <c r="BR43" i="27" s="1"/>
  <c r="BE43" i="27" s="1"/>
  <c r="AO34" i="26"/>
  <c r="BO34" i="26" s="1"/>
  <c r="BB34" i="26" s="1"/>
  <c r="AO29" i="2"/>
  <c r="AP41" i="23"/>
  <c r="BP41" i="23" s="1"/>
  <c r="BC41" i="23" s="1"/>
  <c r="AP37" i="21"/>
  <c r="AP28" i="28"/>
  <c r="BP28" i="28" s="1"/>
  <c r="BC28" i="28" s="1"/>
  <c r="AJ22" i="23"/>
  <c r="AO35" i="27"/>
  <c r="BO35" i="27" s="1"/>
  <c r="AO44" i="26"/>
  <c r="AO41" i="28"/>
  <c r="BO41" i="28" s="1"/>
  <c r="AI22" i="24"/>
  <c r="AO25" i="26"/>
  <c r="BO25" i="26" s="1"/>
  <c r="CG33" i="21"/>
  <c r="CG33" i="2"/>
  <c r="CG33" i="24"/>
  <c r="CG33" i="22"/>
  <c r="CG33" i="25"/>
  <c r="CG33" i="23"/>
  <c r="CG33" i="27"/>
  <c r="CG33" i="20"/>
  <c r="CG33" i="28"/>
  <c r="CG33" i="26"/>
  <c r="AO35" i="21"/>
  <c r="BO35" i="21" s="1"/>
  <c r="BB35" i="21" s="1"/>
  <c r="AE22" i="22"/>
  <c r="D20" i="22"/>
  <c r="AI22" i="22"/>
  <c r="D19" i="23"/>
  <c r="AP45" i="27"/>
  <c r="BP45" i="27" s="1"/>
  <c r="AP25" i="24"/>
  <c r="BP25" i="24" s="1"/>
  <c r="BC25" i="24" s="1"/>
  <c r="AO40" i="25"/>
  <c r="BO40" i="25" s="1"/>
  <c r="BB40" i="25" s="1"/>
  <c r="C8" i="28"/>
  <c r="B11" i="28"/>
  <c r="AP29" i="22"/>
  <c r="BP29" i="22" s="1"/>
  <c r="BC29" i="22" s="1"/>
  <c r="AP27" i="26"/>
  <c r="BP27" i="26" s="1"/>
  <c r="BC27" i="26" s="1"/>
  <c r="BU19" i="9"/>
  <c r="BT15" i="9"/>
  <c r="BS9" i="9"/>
  <c r="BS39" i="9" s="1"/>
  <c r="BU14" i="9"/>
  <c r="BS13" i="9"/>
  <c r="BU18" i="9"/>
  <c r="BT9" i="9"/>
  <c r="BT39" i="9" s="1"/>
  <c r="BU15" i="9"/>
  <c r="BT16" i="9"/>
  <c r="BS7" i="9"/>
  <c r="BU17" i="9"/>
  <c r="BU16" i="9"/>
  <c r="BT13" i="9"/>
  <c r="BU9" i="9"/>
  <c r="BU13" i="9"/>
  <c r="BT14" i="9"/>
  <c r="AF22" i="22"/>
  <c r="AO32" i="22"/>
  <c r="BO32" i="22" s="1"/>
  <c r="BB32" i="22" s="1"/>
  <c r="CL32" i="25"/>
  <c r="CL32" i="24"/>
  <c r="CL32" i="2"/>
  <c r="CL32" i="27"/>
  <c r="CL32" i="28"/>
  <c r="CL32" i="21"/>
  <c r="CL32" i="20"/>
  <c r="CL32" i="22"/>
  <c r="CL32" i="23"/>
  <c r="CL32" i="26"/>
  <c r="AO28" i="26"/>
  <c r="AP30" i="23"/>
  <c r="BP30" i="23" s="1"/>
  <c r="BC30" i="23" s="1"/>
  <c r="D27" i="21"/>
  <c r="AP39" i="22"/>
  <c r="BP39" i="22" s="1"/>
  <c r="BC39" i="22" s="1"/>
  <c r="AP38" i="22"/>
  <c r="BP38" i="22" s="1"/>
  <c r="BC38" i="22" s="1"/>
  <c r="AN28" i="9"/>
  <c r="AN30" i="9"/>
  <c r="AN19" i="9"/>
  <c r="AN26" i="9"/>
  <c r="AN31" i="9"/>
  <c r="AN18" i="9"/>
  <c r="AN16" i="9"/>
  <c r="AN9" i="9"/>
  <c r="AN80" i="9" s="1"/>
  <c r="AZ80" i="9" s="1"/>
  <c r="AN24" i="9"/>
  <c r="AN17" i="9"/>
  <c r="AN20" i="9"/>
  <c r="AN27" i="9"/>
  <c r="AN35" i="9"/>
  <c r="AN33" i="9"/>
  <c r="AN81" i="9"/>
  <c r="AN105" i="9" s="1"/>
  <c r="AN34" i="9"/>
  <c r="AN32" i="9"/>
  <c r="AN25" i="9"/>
  <c r="AN22" i="9"/>
  <c r="AN13" i="9"/>
  <c r="AN37" i="9" s="1"/>
  <c r="AN23" i="9"/>
  <c r="AN14" i="9"/>
  <c r="AZ10" i="9"/>
  <c r="AZ13" i="9" s="1"/>
  <c r="AZ37" i="9" s="1"/>
  <c r="AN29" i="9"/>
  <c r="AN15" i="9"/>
  <c r="AN36" i="9"/>
  <c r="AN12" i="9" s="1"/>
  <c r="AN21" i="9"/>
  <c r="AO45" i="20"/>
  <c r="D22" i="20"/>
  <c r="CG37" i="20"/>
  <c r="CG37" i="2"/>
  <c r="CG37" i="24"/>
  <c r="CG37" i="28"/>
  <c r="CG37" i="21"/>
  <c r="CG37" i="27"/>
  <c r="CG37" i="26"/>
  <c r="CG37" i="25"/>
  <c r="CG37" i="22"/>
  <c r="CG37" i="23"/>
  <c r="AO45" i="25"/>
  <c r="BO45" i="25" s="1"/>
  <c r="AO44" i="24"/>
  <c r="AO37" i="22"/>
  <c r="BO37" i="22" s="1"/>
  <c r="BB37" i="22" s="1"/>
  <c r="AP33" i="23"/>
  <c r="AQ33" i="23" s="1"/>
  <c r="AP39" i="20"/>
  <c r="BP39" i="20" s="1"/>
  <c r="BC39" i="20" s="1"/>
  <c r="AO27" i="27"/>
  <c r="AP35" i="27"/>
  <c r="BP35" i="27" s="1"/>
  <c r="BC35" i="27" s="1"/>
  <c r="AP41" i="22"/>
  <c r="BP41" i="22" s="1"/>
  <c r="BC41" i="22" s="1"/>
  <c r="AP25" i="26"/>
  <c r="BP25" i="26" s="1"/>
  <c r="BC25" i="26" s="1"/>
  <c r="AP45" i="25"/>
  <c r="BP45" i="25" s="1"/>
  <c r="BC45" i="25" s="1"/>
  <c r="AO30" i="28"/>
  <c r="BO30" i="28" s="1"/>
  <c r="BB30" i="28" s="1"/>
  <c r="AO34" i="24"/>
  <c r="BO34" i="24" s="1"/>
  <c r="C9" i="25"/>
  <c r="AP30" i="27"/>
  <c r="BP30" i="27" s="1"/>
  <c r="BC30" i="27" s="1"/>
  <c r="AO32" i="21"/>
  <c r="C9" i="20"/>
  <c r="AI47" i="24"/>
  <c r="D19" i="25"/>
  <c r="AJ47" i="20"/>
  <c r="AO42" i="20"/>
  <c r="AP24" i="22"/>
  <c r="BP24" i="22" s="1"/>
  <c r="BC24" i="22" s="1"/>
  <c r="AO38" i="28"/>
  <c r="AP24" i="26"/>
  <c r="BP24" i="26" s="1"/>
  <c r="BC24" i="26" s="1"/>
  <c r="C9" i="24"/>
  <c r="AP43" i="23"/>
  <c r="BP43" i="23" s="1"/>
  <c r="BC43" i="23" s="1"/>
  <c r="B11" i="25"/>
  <c r="C8" i="25"/>
  <c r="AO23" i="24"/>
  <c r="BO23" i="24" s="1"/>
  <c r="AG47" i="24"/>
  <c r="AH47" i="23"/>
  <c r="AP23" i="23"/>
  <c r="B11" i="27"/>
  <c r="C8" i="27"/>
  <c r="AP39" i="21"/>
  <c r="BP39" i="21" s="1"/>
  <c r="BC39" i="21" s="1"/>
  <c r="AP28" i="23"/>
  <c r="BP28" i="23" s="1"/>
  <c r="BC28" i="23" s="1"/>
  <c r="D27" i="20"/>
  <c r="AO30" i="22"/>
  <c r="AG22" i="24"/>
  <c r="AO46" i="24"/>
  <c r="AO22" i="24" s="1"/>
  <c r="AO39" i="20"/>
  <c r="BO39" i="20" s="1"/>
  <c r="CG35" i="25"/>
  <c r="CG35" i="28"/>
  <c r="CG35" i="22"/>
  <c r="CG35" i="20"/>
  <c r="CG35" i="23"/>
  <c r="CG35" i="21"/>
  <c r="CG35" i="27"/>
  <c r="CG35" i="26"/>
  <c r="CG35" i="2"/>
  <c r="CG35" i="24"/>
  <c r="D21" i="21"/>
  <c r="AO35" i="26"/>
  <c r="C9" i="22"/>
  <c r="D20" i="20"/>
  <c r="C8" i="22"/>
  <c r="B11" i="22"/>
  <c r="AO31" i="21"/>
  <c r="AP35" i="20"/>
  <c r="BP35" i="20" s="1"/>
  <c r="BC35" i="20" s="1"/>
  <c r="AO31" i="23"/>
  <c r="BO31" i="23" s="1"/>
  <c r="BB31" i="23" s="1"/>
  <c r="AP45" i="20"/>
  <c r="BP45" i="20" s="1"/>
  <c r="BC45" i="20" s="1"/>
  <c r="C10" i="2"/>
  <c r="B11" i="2"/>
  <c r="C8" i="2"/>
  <c r="AO45" i="28"/>
  <c r="BO45" i="28" s="1"/>
  <c r="D26" i="25"/>
  <c r="CL34" i="22"/>
  <c r="CL34" i="21"/>
  <c r="CL34" i="28"/>
  <c r="CL34" i="25"/>
  <c r="CL34" i="23"/>
  <c r="CL34" i="24"/>
  <c r="CL34" i="26"/>
  <c r="CL34" i="20"/>
  <c r="CL34" i="2"/>
  <c r="CL34" i="27"/>
  <c r="C9" i="26"/>
  <c r="AP42" i="28"/>
  <c r="BP42" i="28" s="1"/>
  <c r="BC42" i="28" s="1"/>
  <c r="AM24" i="9"/>
  <c r="AM13" i="9"/>
  <c r="AM37" i="9" s="1"/>
  <c r="AM19" i="9"/>
  <c r="AM27" i="9"/>
  <c r="AM18" i="9"/>
  <c r="AM33" i="9"/>
  <c r="AM25" i="9"/>
  <c r="AM23" i="9"/>
  <c r="AM34" i="9"/>
  <c r="AM29" i="9"/>
  <c r="AM20" i="9"/>
  <c r="AM22" i="9"/>
  <c r="AM28" i="9"/>
  <c r="AM9" i="9"/>
  <c r="AM80" i="9" s="1"/>
  <c r="AY80" i="9" s="1"/>
  <c r="AM15" i="9"/>
  <c r="AM81" i="9"/>
  <c r="AM97" i="9" s="1"/>
  <c r="AM14" i="9"/>
  <c r="AM21" i="9"/>
  <c r="AM16" i="9"/>
  <c r="AM36" i="9"/>
  <c r="AM12" i="9" s="1"/>
  <c r="AM26" i="9"/>
  <c r="AM17" i="9"/>
  <c r="AM35" i="9"/>
  <c r="AY10" i="9"/>
  <c r="AY34" i="9" s="1"/>
  <c r="AM30" i="9"/>
  <c r="AM32" i="9"/>
  <c r="AM31" i="9"/>
  <c r="AP31" i="21"/>
  <c r="BP31" i="21" s="1"/>
  <c r="AP44" i="27"/>
  <c r="BP44" i="27" s="1"/>
  <c r="BC44" i="27" s="1"/>
  <c r="AE47" i="26"/>
  <c r="AP44" i="2"/>
  <c r="AP43" i="20"/>
  <c r="BP43" i="20" s="1"/>
  <c r="BC43" i="20" s="1"/>
  <c r="AO46" i="28"/>
  <c r="AG22" i="28"/>
  <c r="AP44" i="22"/>
  <c r="BP44" i="22" s="1"/>
  <c r="BC44" i="22" s="1"/>
  <c r="AO30" i="21"/>
  <c r="AP28" i="27"/>
  <c r="AO30" i="26"/>
  <c r="AP32" i="24"/>
  <c r="BP32" i="24" s="1"/>
  <c r="BC32" i="24" s="1"/>
  <c r="AP28" i="21"/>
  <c r="BP28" i="21" s="1"/>
  <c r="BC28" i="21" s="1"/>
  <c r="AO38" i="2"/>
  <c r="BO38" i="2" s="1"/>
  <c r="AP42" i="26"/>
  <c r="BP42" i="26" s="1"/>
  <c r="BC42" i="26" s="1"/>
  <c r="B11" i="26"/>
  <c r="C8" i="26"/>
  <c r="AO44" i="21"/>
  <c r="BO44" i="21" s="1"/>
  <c r="BB44" i="21" s="1"/>
  <c r="AO29" i="26"/>
  <c r="AP29" i="25"/>
  <c r="BP29" i="25" s="1"/>
  <c r="BC29" i="25" s="1"/>
  <c r="C10" i="25"/>
  <c r="AO46" i="26"/>
  <c r="AG22" i="26"/>
  <c r="AO33" i="2"/>
  <c r="BO33" i="2" s="1"/>
  <c r="BB33" i="2" s="1"/>
  <c r="AO33" i="25"/>
  <c r="BO33" i="25" s="1"/>
  <c r="AO41" i="2"/>
  <c r="BO41" i="2" s="1"/>
  <c r="BB41" i="2" s="1"/>
  <c r="AP36" i="27"/>
  <c r="BP36" i="27" s="1"/>
  <c r="BC36" i="27" s="1"/>
  <c r="AO41" i="21"/>
  <c r="AP43" i="21"/>
  <c r="BP43" i="21" s="1"/>
  <c r="BC43" i="21" s="1"/>
  <c r="AI22" i="2"/>
  <c r="AE47" i="28"/>
  <c r="AP27" i="20"/>
  <c r="BP27" i="20" s="1"/>
  <c r="BC27" i="20" s="1"/>
  <c r="AP29" i="23"/>
  <c r="AQ29" i="23" s="1"/>
  <c r="AE47" i="20"/>
  <c r="AP40" i="25"/>
  <c r="BP40" i="25" s="1"/>
  <c r="BC40" i="25" s="1"/>
  <c r="AP40" i="22"/>
  <c r="BP40" i="22" s="1"/>
  <c r="BC40" i="22" s="1"/>
  <c r="AO36" i="22"/>
  <c r="BO36" i="22" s="1"/>
  <c r="BB36" i="22" s="1"/>
  <c r="AP29" i="2"/>
  <c r="BP29" i="2" s="1"/>
  <c r="BC29" i="2" s="1"/>
  <c r="C10" i="22"/>
  <c r="AE22" i="24"/>
  <c r="AO40" i="21"/>
  <c r="BO40" i="21" s="1"/>
  <c r="AO41" i="22"/>
  <c r="AP30" i="2"/>
  <c r="BP30" i="2" s="1"/>
  <c r="BC30" i="2" s="1"/>
  <c r="AO43" i="2"/>
  <c r="AO43" i="22"/>
  <c r="BO43" i="22" s="1"/>
  <c r="AO36" i="23"/>
  <c r="BO36" i="23" s="1"/>
  <c r="CG27" i="23"/>
  <c r="CG27" i="2"/>
  <c r="CG27" i="22"/>
  <c r="CG27" i="21"/>
  <c r="CG27" i="24"/>
  <c r="CG27" i="27"/>
  <c r="CG27" i="26"/>
  <c r="CG27" i="20"/>
  <c r="CG27" i="25"/>
  <c r="CG27" i="28"/>
  <c r="AP34" i="24"/>
  <c r="BP34" i="24" s="1"/>
  <c r="BC34" i="24" s="1"/>
  <c r="AO31" i="22"/>
  <c r="BO31" i="22" s="1"/>
  <c r="BB31" i="22" s="1"/>
  <c r="AO38" i="23"/>
  <c r="BO38" i="23" s="1"/>
  <c r="BB38" i="23" s="1"/>
  <c r="AP42" i="22"/>
  <c r="BP42" i="22" s="1"/>
  <c r="BC42" i="22" s="1"/>
  <c r="D26" i="2"/>
  <c r="AP40" i="27"/>
  <c r="BP40" i="27" s="1"/>
  <c r="BC40" i="27" s="1"/>
  <c r="AF22" i="21"/>
  <c r="AO42" i="23"/>
  <c r="BO42" i="23" s="1"/>
  <c r="AE47" i="27"/>
  <c r="AE22" i="27"/>
  <c r="CL35" i="23"/>
  <c r="CL35" i="24"/>
  <c r="CL35" i="28"/>
  <c r="CL35" i="27"/>
  <c r="CL35" i="21"/>
  <c r="CL35" i="2"/>
  <c r="CL35" i="26"/>
  <c r="CL35" i="20"/>
  <c r="CL35" i="22"/>
  <c r="CL35" i="25"/>
  <c r="CG24" i="26"/>
  <c r="CG24" i="20"/>
  <c r="CG24" i="25"/>
  <c r="CG24" i="2"/>
  <c r="CG24" i="21"/>
  <c r="CG24" i="28"/>
  <c r="CG24" i="23"/>
  <c r="CG24" i="22"/>
  <c r="CG24" i="27"/>
  <c r="CG24" i="24"/>
  <c r="AP26" i="25"/>
  <c r="BP26" i="25" s="1"/>
  <c r="BC26" i="25" s="1"/>
  <c r="BI15" i="9"/>
  <c r="CM15" i="9" s="1"/>
  <c r="G86" i="9" s="1"/>
  <c r="BH15" i="9"/>
  <c r="CL15" i="9" s="1"/>
  <c r="F86" i="9" s="1"/>
  <c r="BI20" i="9"/>
  <c r="BG13" i="9"/>
  <c r="CK13" i="9" s="1"/>
  <c r="E84" i="9" s="1"/>
  <c r="BI16" i="9"/>
  <c r="CM16" i="9" s="1"/>
  <c r="G87" i="9" s="1"/>
  <c r="BI19" i="9"/>
  <c r="BH17" i="9"/>
  <c r="BI9" i="9"/>
  <c r="BI17" i="9"/>
  <c r="CM17" i="9" s="1"/>
  <c r="G88" i="9" s="1"/>
  <c r="BH18" i="9"/>
  <c r="BH13" i="9"/>
  <c r="CL13" i="9" s="1"/>
  <c r="F84" i="9" s="1"/>
  <c r="BH9" i="9"/>
  <c r="BH39" i="9" s="1"/>
  <c r="BH14" i="9"/>
  <c r="CL14" i="9" s="1"/>
  <c r="F85" i="9" s="1"/>
  <c r="BH22" i="9"/>
  <c r="BH19" i="9"/>
  <c r="BH20" i="9"/>
  <c r="BG7" i="9"/>
  <c r="BI14" i="9"/>
  <c r="CM14" i="9" s="1"/>
  <c r="G85" i="9" s="1"/>
  <c r="BH23" i="9"/>
  <c r="BI13" i="9"/>
  <c r="CM13" i="9" s="1"/>
  <c r="G84" i="9" s="1"/>
  <c r="BG9" i="9"/>
  <c r="BG39" i="9" s="1"/>
  <c r="BG14" i="9"/>
  <c r="BH16" i="9"/>
  <c r="CL16" i="9" s="1"/>
  <c r="F87" i="9" s="1"/>
  <c r="BH24" i="9"/>
  <c r="BI22" i="9"/>
  <c r="BH21" i="9"/>
  <c r="BI18" i="9"/>
  <c r="CM18" i="9" s="1"/>
  <c r="G89" i="9" s="1"/>
  <c r="BI21" i="9"/>
  <c r="BI23" i="9"/>
  <c r="CG31" i="23"/>
  <c r="CG31" i="25"/>
  <c r="CG31" i="22"/>
  <c r="CG31" i="27"/>
  <c r="CG31" i="21"/>
  <c r="CG31" i="2"/>
  <c r="CG31" i="20"/>
  <c r="CG31" i="28"/>
  <c r="CG31" i="24"/>
  <c r="CG31" i="26"/>
  <c r="AO24" i="23"/>
  <c r="AP24" i="20"/>
  <c r="BP24" i="20" s="1"/>
  <c r="BC24" i="20" s="1"/>
  <c r="D19" i="20"/>
  <c r="AI47" i="26"/>
  <c r="AO28" i="23"/>
  <c r="BO28" i="23" s="1"/>
  <c r="AP27" i="22"/>
  <c r="BP27" i="22" s="1"/>
  <c r="BC27" i="22" s="1"/>
  <c r="AP43" i="28"/>
  <c r="BP43" i="28" s="1"/>
  <c r="BC43" i="28" s="1"/>
  <c r="AO42" i="25"/>
  <c r="BO42" i="25" s="1"/>
  <c r="CL29" i="24"/>
  <c r="CL29" i="28"/>
  <c r="CL29" i="21"/>
  <c r="CL29" i="26"/>
  <c r="CL29" i="22"/>
  <c r="CL29" i="2"/>
  <c r="CL29" i="23"/>
  <c r="CL29" i="20"/>
  <c r="CL29" i="27"/>
  <c r="CL29" i="25"/>
  <c r="AP30" i="20"/>
  <c r="BP30" i="20" s="1"/>
  <c r="BC30" i="20" s="1"/>
  <c r="AO44" i="28"/>
  <c r="CL30" i="20"/>
  <c r="CL30" i="24"/>
  <c r="CL30" i="27"/>
  <c r="CL30" i="25"/>
  <c r="CL30" i="22"/>
  <c r="CL30" i="21"/>
  <c r="CL30" i="2"/>
  <c r="CL30" i="23"/>
  <c r="CL30" i="28"/>
  <c r="CL30" i="26"/>
  <c r="AO35" i="23"/>
  <c r="BO35" i="23" s="1"/>
  <c r="AP43" i="26"/>
  <c r="BP43" i="26" s="1"/>
  <c r="BC43" i="26" s="1"/>
  <c r="B31" i="24"/>
  <c r="M31" i="24"/>
  <c r="AR39" i="24" s="1"/>
  <c r="BR39" i="24" s="1"/>
  <c r="BE39" i="24" s="1"/>
  <c r="AP32" i="27"/>
  <c r="BP32" i="27" s="1"/>
  <c r="BC32" i="27" s="1"/>
  <c r="D24" i="22"/>
  <c r="AO28" i="2"/>
  <c r="AO34" i="23"/>
  <c r="AF22" i="20"/>
  <c r="AP36" i="24"/>
  <c r="BP36" i="24" s="1"/>
  <c r="BC36" i="24" s="1"/>
  <c r="AI47" i="21"/>
  <c r="AO38" i="24"/>
  <c r="BO38" i="24" s="1"/>
  <c r="BB38" i="24" s="1"/>
  <c r="AP45" i="2"/>
  <c r="BP45" i="2" s="1"/>
  <c r="BC45" i="2" s="1"/>
  <c r="AO29" i="25"/>
  <c r="AP36" i="23"/>
  <c r="BP36" i="23" s="1"/>
  <c r="BC36" i="23" s="1"/>
  <c r="AE22" i="20"/>
  <c r="D21" i="2"/>
  <c r="AP44" i="28"/>
  <c r="BP44" i="28" s="1"/>
  <c r="BC44" i="28" s="1"/>
  <c r="AO23" i="20"/>
  <c r="AG47" i="20"/>
  <c r="AP34" i="22"/>
  <c r="BP34" i="22" s="1"/>
  <c r="BC34" i="22" s="1"/>
  <c r="AP24" i="27"/>
  <c r="AH47" i="27"/>
  <c r="AO39" i="21"/>
  <c r="D24" i="21"/>
  <c r="AO36" i="28"/>
  <c r="AO33" i="22"/>
  <c r="BO33" i="22" s="1"/>
  <c r="AO36" i="26"/>
  <c r="AP40" i="21"/>
  <c r="BP40" i="21" s="1"/>
  <c r="BC40" i="21" s="1"/>
  <c r="AP36" i="2"/>
  <c r="BP36" i="2" s="1"/>
  <c r="AI22" i="23"/>
  <c r="AP46" i="28"/>
  <c r="AP22" i="28" s="1"/>
  <c r="AH22" i="28"/>
  <c r="CG41" i="24"/>
  <c r="CG41" i="2"/>
  <c r="CG41" i="22"/>
  <c r="CG41" i="23"/>
  <c r="CG41" i="25"/>
  <c r="CG41" i="20"/>
  <c r="CG41" i="26"/>
  <c r="CG41" i="28"/>
  <c r="CG41" i="21"/>
  <c r="CG41" i="27"/>
  <c r="AP40" i="24"/>
  <c r="BP40" i="24" s="1"/>
  <c r="BC40" i="24" s="1"/>
  <c r="AP39" i="28"/>
  <c r="BP39" i="28" s="1"/>
  <c r="BC39" i="28" s="1"/>
  <c r="AP41" i="2"/>
  <c r="BP41" i="2" s="1"/>
  <c r="BC41" i="2" s="1"/>
  <c r="AF47" i="21"/>
  <c r="AP42" i="21"/>
  <c r="BP42" i="21" s="1"/>
  <c r="BC42" i="21" s="1"/>
  <c r="AO28" i="22"/>
  <c r="D21" i="22"/>
  <c r="AP32" i="21"/>
  <c r="BP32" i="21" s="1"/>
  <c r="BC32" i="21" s="1"/>
  <c r="AO28" i="24"/>
  <c r="BO28" i="24" s="1"/>
  <c r="AP32" i="22"/>
  <c r="BP32" i="22" s="1"/>
  <c r="BC32" i="22" s="1"/>
  <c r="AJ22" i="24"/>
  <c r="D26" i="22"/>
  <c r="AO30" i="25"/>
  <c r="D27" i="25"/>
  <c r="AP30" i="21"/>
  <c r="BP30" i="21" s="1"/>
  <c r="BC30" i="21" s="1"/>
  <c r="D21" i="20"/>
  <c r="AO41" i="27"/>
  <c r="BO41" i="27" s="1"/>
  <c r="BQ41" i="27" s="1"/>
  <c r="AO42" i="2"/>
  <c r="AP26" i="2"/>
  <c r="BP26" i="2" s="1"/>
  <c r="BC26" i="2" s="1"/>
  <c r="B31" i="20"/>
  <c r="M31" i="20"/>
  <c r="AR44" i="20" s="1"/>
  <c r="AO24" i="21"/>
  <c r="BO24" i="21" s="1"/>
  <c r="CF24" i="9"/>
  <c r="CE21" i="9"/>
  <c r="CF26" i="9"/>
  <c r="CG17" i="9"/>
  <c r="CG36" i="9"/>
  <c r="CG12" i="9" s="1"/>
  <c r="CF27" i="9"/>
  <c r="CG29" i="9"/>
  <c r="CE18" i="9"/>
  <c r="CE31" i="9"/>
  <c r="CE15" i="9"/>
  <c r="CF14" i="9"/>
  <c r="CG9" i="9"/>
  <c r="CG34" i="9"/>
  <c r="CF13" i="9"/>
  <c r="CE14" i="9"/>
  <c r="CE32" i="9"/>
  <c r="CG23" i="9"/>
  <c r="CE28" i="9"/>
  <c r="CF21" i="9"/>
  <c r="CE9" i="9"/>
  <c r="CE39" i="9" s="1"/>
  <c r="CF23" i="9"/>
  <c r="CF19" i="9"/>
  <c r="CF31" i="9"/>
  <c r="CG21" i="9"/>
  <c r="CG33" i="9"/>
  <c r="CE16" i="9"/>
  <c r="CE25" i="9"/>
  <c r="CE20" i="9"/>
  <c r="CG27" i="9"/>
  <c r="CG16" i="9"/>
  <c r="CG24" i="9"/>
  <c r="CG35" i="9"/>
  <c r="CE24" i="9"/>
  <c r="CE34" i="9"/>
  <c r="CG20" i="9"/>
  <c r="CG28" i="9"/>
  <c r="CF22" i="9"/>
  <c r="CG22" i="9"/>
  <c r="CF30" i="9"/>
  <c r="CF33" i="9"/>
  <c r="CE13" i="9"/>
  <c r="CF36" i="9"/>
  <c r="CF12" i="9" s="1"/>
  <c r="CF15" i="9"/>
  <c r="CG30" i="9"/>
  <c r="CG15" i="9"/>
  <c r="CE30" i="9"/>
  <c r="CE33" i="9"/>
  <c r="CG25" i="9"/>
  <c r="CF25" i="9"/>
  <c r="CF18" i="9"/>
  <c r="CF20" i="9"/>
  <c r="CF28" i="9"/>
  <c r="CE37" i="9"/>
  <c r="CE26" i="9"/>
  <c r="CE17" i="9"/>
  <c r="CE23" i="9"/>
  <c r="CF17" i="9"/>
  <c r="CF37" i="9"/>
  <c r="CG26" i="9"/>
  <c r="CG13" i="9"/>
  <c r="CG31" i="9"/>
  <c r="CF32" i="9"/>
  <c r="CF9" i="9"/>
  <c r="CF39" i="9" s="1"/>
  <c r="CG19" i="9"/>
  <c r="CF35" i="9"/>
  <c r="CG32" i="9"/>
  <c r="CE35" i="9"/>
  <c r="CG18" i="9"/>
  <c r="CE36" i="9"/>
  <c r="CE12" i="9" s="1"/>
  <c r="CG14" i="9"/>
  <c r="CE22" i="9"/>
  <c r="CE29" i="9"/>
  <c r="CG37" i="9"/>
  <c r="CF34" i="9"/>
  <c r="CE19" i="9"/>
  <c r="CF29" i="9"/>
  <c r="CF16" i="9"/>
  <c r="CE27" i="9"/>
  <c r="CE7" i="9"/>
  <c r="AF22" i="27"/>
  <c r="AO29" i="22"/>
  <c r="AJ22" i="21"/>
  <c r="AO67" i="9"/>
  <c r="AO71" i="9"/>
  <c r="AO47" i="9" s="1"/>
  <c r="AO58" i="9"/>
  <c r="AO56" i="9"/>
  <c r="AO64" i="9"/>
  <c r="AO63" i="9"/>
  <c r="AO44" i="9"/>
  <c r="BA44" i="9" s="1"/>
  <c r="AO61" i="9"/>
  <c r="AO48" i="9"/>
  <c r="AO72" i="9" s="1"/>
  <c r="AO69" i="9"/>
  <c r="AO62" i="9"/>
  <c r="AO65" i="9"/>
  <c r="AO51" i="9"/>
  <c r="AO66" i="9"/>
  <c r="AO57" i="9"/>
  <c r="AO59" i="9"/>
  <c r="AO52" i="9"/>
  <c r="AO50" i="9"/>
  <c r="AO60" i="9"/>
  <c r="AO68" i="9"/>
  <c r="AO54" i="9"/>
  <c r="BA45" i="9"/>
  <c r="BA66" i="9" s="1"/>
  <c r="AO53" i="9"/>
  <c r="AO55" i="9"/>
  <c r="AO70" i="9"/>
  <c r="AO49" i="9"/>
  <c r="D23" i="2"/>
  <c r="CH23" i="9"/>
  <c r="CH21" i="9"/>
  <c r="CJ24" i="9"/>
  <c r="CI24" i="9"/>
  <c r="CH35" i="9"/>
  <c r="CJ14" i="9"/>
  <c r="CJ16" i="9"/>
  <c r="CH36" i="9"/>
  <c r="CH12" i="9" s="1"/>
  <c r="CH13" i="9"/>
  <c r="CI21" i="9"/>
  <c r="CI25" i="9"/>
  <c r="CJ22" i="9"/>
  <c r="CH29" i="9"/>
  <c r="CH18" i="9"/>
  <c r="CH30" i="9"/>
  <c r="CJ9" i="9"/>
  <c r="CI32" i="9"/>
  <c r="CH32" i="9"/>
  <c r="CI22" i="9"/>
  <c r="CH34" i="9"/>
  <c r="CJ25" i="9"/>
  <c r="CH14" i="9"/>
  <c r="CI36" i="9"/>
  <c r="CI12" i="9" s="1"/>
  <c r="CI15" i="9"/>
  <c r="CJ32" i="9"/>
  <c r="CH22" i="9"/>
  <c r="CI29" i="9"/>
  <c r="CI19" i="9"/>
  <c r="CH9" i="9"/>
  <c r="CH39" i="9" s="1"/>
  <c r="CH7" i="9"/>
  <c r="CI14" i="9"/>
  <c r="CI31" i="9"/>
  <c r="CJ17" i="9"/>
  <c r="CI9" i="9"/>
  <c r="CI39" i="9" s="1"/>
  <c r="CI28" i="9"/>
  <c r="CI37" i="9"/>
  <c r="CJ29" i="9"/>
  <c r="CJ26" i="9"/>
  <c r="CJ21" i="9"/>
  <c r="CI23" i="9"/>
  <c r="CJ31" i="9"/>
  <c r="CI26" i="9"/>
  <c r="CJ30" i="9"/>
  <c r="CH27" i="9"/>
  <c r="CH17" i="9"/>
  <c r="CI27" i="9"/>
  <c r="CH37" i="9"/>
  <c r="CJ36" i="9"/>
  <c r="CJ12" i="9" s="1"/>
  <c r="CI20" i="9"/>
  <c r="CH31" i="9"/>
  <c r="CI34" i="9"/>
  <c r="CH19" i="9"/>
  <c r="CI16" i="9"/>
  <c r="CH26" i="9"/>
  <c r="CI30" i="9"/>
  <c r="CJ34" i="9"/>
  <c r="CI18" i="9"/>
  <c r="CH15" i="9"/>
  <c r="CJ23" i="9"/>
  <c r="CH16" i="9"/>
  <c r="CJ13" i="9"/>
  <c r="CJ20" i="9"/>
  <c r="CI13" i="9"/>
  <c r="CJ15" i="9"/>
  <c r="CJ35" i="9"/>
  <c r="CI33" i="9"/>
  <c r="CJ19" i="9"/>
  <c r="CJ27" i="9"/>
  <c r="CJ33" i="9"/>
  <c r="CH25" i="9"/>
  <c r="CH24" i="9"/>
  <c r="CJ28" i="9"/>
  <c r="CI17" i="9"/>
  <c r="CH28" i="9"/>
  <c r="CJ18" i="9"/>
  <c r="CH20" i="9"/>
  <c r="CI35" i="9"/>
  <c r="CH33" i="9"/>
  <c r="CJ37" i="9"/>
  <c r="AO36" i="27"/>
  <c r="BO36" i="27" s="1"/>
  <c r="BB36" i="27" s="1"/>
  <c r="AE47" i="23"/>
  <c r="AP35" i="26"/>
  <c r="BP35" i="26" s="1"/>
  <c r="BC35" i="26" s="1"/>
  <c r="AO33" i="20"/>
  <c r="M31" i="2"/>
  <c r="AR27" i="2" s="1"/>
  <c r="BR27" i="2" s="1"/>
  <c r="BE27" i="2" s="1"/>
  <c r="B31" i="2"/>
  <c r="AP32" i="28"/>
  <c r="BP32" i="28" s="1"/>
  <c r="BC32" i="28" s="1"/>
  <c r="AP26" i="23"/>
  <c r="BP26" i="23" s="1"/>
  <c r="BC26" i="23" s="1"/>
  <c r="AO28" i="20"/>
  <c r="AQ28" i="20" s="1"/>
  <c r="AO43" i="24"/>
  <c r="BO43" i="24" s="1"/>
  <c r="AH47" i="26"/>
  <c r="AP23" i="26"/>
  <c r="BP23" i="26" s="1"/>
  <c r="AJ22" i="20"/>
  <c r="AP28" i="25"/>
  <c r="BP28" i="25" s="1"/>
  <c r="BC28" i="25" s="1"/>
  <c r="AO32" i="27"/>
  <c r="BO32" i="27" s="1"/>
  <c r="AJ22" i="26"/>
  <c r="AO36" i="25"/>
  <c r="BO36" i="25" s="1"/>
  <c r="AP43" i="2"/>
  <c r="BP43" i="2" s="1"/>
  <c r="BC43" i="2" s="1"/>
  <c r="D22" i="21"/>
  <c r="CL33" i="24"/>
  <c r="CL33" i="28"/>
  <c r="CL33" i="25"/>
  <c r="CL33" i="2"/>
  <c r="CL33" i="20"/>
  <c r="CL33" i="21"/>
  <c r="CL33" i="27"/>
  <c r="CL33" i="26"/>
  <c r="CL33" i="23"/>
  <c r="CL33" i="22"/>
  <c r="AO30" i="20"/>
  <c r="AP42" i="2"/>
  <c r="BP42" i="2" s="1"/>
  <c r="BC42" i="2" s="1"/>
  <c r="BV7" i="9"/>
  <c r="BW13" i="9"/>
  <c r="BX16" i="9"/>
  <c r="BW14" i="9"/>
  <c r="BW15" i="9"/>
  <c r="BX18" i="9"/>
  <c r="BW16" i="9"/>
  <c r="BV13" i="9"/>
  <c r="BX13" i="9"/>
  <c r="BX14" i="9"/>
  <c r="BX9" i="9"/>
  <c r="BX15" i="9"/>
  <c r="BX19" i="9"/>
  <c r="BW9" i="9"/>
  <c r="BW39" i="9" s="1"/>
  <c r="BW17" i="9"/>
  <c r="BV9" i="9"/>
  <c r="BV39" i="9" s="1"/>
  <c r="BX17" i="9"/>
  <c r="AO24" i="25"/>
  <c r="BO24" i="25" s="1"/>
  <c r="AO31" i="28"/>
  <c r="AF47" i="28"/>
  <c r="AO46" i="23"/>
  <c r="AG22" i="23"/>
  <c r="AP25" i="25"/>
  <c r="BP25" i="25" s="1"/>
  <c r="BC25" i="25" s="1"/>
  <c r="AO39" i="22"/>
  <c r="AO38" i="21"/>
  <c r="BO38" i="21" s="1"/>
  <c r="AE22" i="23"/>
  <c r="AP44" i="26"/>
  <c r="BP44" i="26" s="1"/>
  <c r="BC44" i="26" s="1"/>
  <c r="D24" i="2"/>
  <c r="AP23" i="25"/>
  <c r="BP23" i="25" s="1"/>
  <c r="AH47" i="25"/>
  <c r="AJ47" i="21"/>
  <c r="AO27" i="28"/>
  <c r="AP27" i="27"/>
  <c r="BP27" i="27" s="1"/>
  <c r="BC27" i="27" s="1"/>
  <c r="AP27" i="28"/>
  <c r="BP27" i="28" s="1"/>
  <c r="BC27" i="28" s="1"/>
  <c r="AE22" i="28"/>
  <c r="AO45" i="24"/>
  <c r="BO45" i="24" s="1"/>
  <c r="AE22" i="25"/>
  <c r="AI35" i="9"/>
  <c r="AI14" i="9"/>
  <c r="AI20" i="9"/>
  <c r="AI32" i="9"/>
  <c r="AI33" i="9"/>
  <c r="AI19" i="9"/>
  <c r="AI24" i="9"/>
  <c r="AI18" i="9"/>
  <c r="AI23" i="9"/>
  <c r="AI22" i="9"/>
  <c r="AI34" i="9"/>
  <c r="AI26" i="9"/>
  <c r="AI29" i="9"/>
  <c r="AI27" i="9"/>
  <c r="AI16" i="9"/>
  <c r="AI25" i="9"/>
  <c r="AI9" i="9"/>
  <c r="AI80" i="9" s="1"/>
  <c r="AU80" i="9" s="1"/>
  <c r="AI81" i="9"/>
  <c r="AI102" i="9" s="1"/>
  <c r="AI31" i="9"/>
  <c r="AI13" i="9"/>
  <c r="AI37" i="9" s="1"/>
  <c r="AU10" i="9"/>
  <c r="AU21" i="9" s="1"/>
  <c r="AI21" i="9"/>
  <c r="AI15" i="9"/>
  <c r="AI17" i="9"/>
  <c r="AI28" i="9"/>
  <c r="AI30" i="9"/>
  <c r="AI36" i="9"/>
  <c r="AI12" i="9" s="1"/>
  <c r="AI22" i="20"/>
  <c r="AO35" i="24"/>
  <c r="BO35" i="24" s="1"/>
  <c r="AK52" i="9"/>
  <c r="AK70" i="9"/>
  <c r="AK49" i="9"/>
  <c r="AK68" i="9"/>
  <c r="AK50" i="9"/>
  <c r="AK54" i="9"/>
  <c r="AK58" i="9"/>
  <c r="AK57" i="9"/>
  <c r="AK65" i="9"/>
  <c r="AK69" i="9"/>
  <c r="AK64" i="9"/>
  <c r="AK53" i="9"/>
  <c r="AK48" i="9"/>
  <c r="AK72" i="9" s="1"/>
  <c r="AK51" i="9"/>
  <c r="AK56" i="9"/>
  <c r="AK60" i="9"/>
  <c r="AK61" i="9"/>
  <c r="AK71" i="9"/>
  <c r="AK47" i="9" s="1"/>
  <c r="AK67" i="9"/>
  <c r="AK62" i="9"/>
  <c r="AK59" i="9"/>
  <c r="AK66" i="9"/>
  <c r="AW45" i="9"/>
  <c r="AW56" i="9" s="1"/>
  <c r="AK44" i="9"/>
  <c r="AW44" i="9" s="1"/>
  <c r="AK63" i="9"/>
  <c r="AK55" i="9"/>
  <c r="AO25" i="22"/>
  <c r="BO25" i="22" s="1"/>
  <c r="BB25" i="22" s="1"/>
  <c r="AP27" i="25"/>
  <c r="C9" i="23"/>
  <c r="AP35" i="21"/>
  <c r="BP35" i="21" s="1"/>
  <c r="BC35" i="21" s="1"/>
  <c r="AH22" i="2"/>
  <c r="AP46" i="2"/>
  <c r="AO30" i="27"/>
  <c r="BO30" i="27" s="1"/>
  <c r="CG32" i="22"/>
  <c r="CG32" i="24"/>
  <c r="CG32" i="2"/>
  <c r="CG32" i="20"/>
  <c r="CG32" i="21"/>
  <c r="CG32" i="26"/>
  <c r="CG32" i="23"/>
  <c r="CG32" i="28"/>
  <c r="CG32" i="27"/>
  <c r="CG32" i="25"/>
  <c r="AJ47" i="23"/>
  <c r="AP35" i="22"/>
  <c r="BP35" i="22" s="1"/>
  <c r="BC35" i="22" s="1"/>
  <c r="BN15" i="9"/>
  <c r="BO13" i="9"/>
  <c r="BN9" i="9"/>
  <c r="BN39" i="9" s="1"/>
  <c r="BM9" i="9"/>
  <c r="BM39" i="9" s="1"/>
  <c r="BM7" i="9"/>
  <c r="BO20" i="9"/>
  <c r="BM13" i="9"/>
  <c r="BO17" i="9"/>
  <c r="BO18" i="9"/>
  <c r="BO15" i="9"/>
  <c r="BO9" i="9"/>
  <c r="BO16" i="9"/>
  <c r="BO14" i="9"/>
  <c r="BN16" i="9"/>
  <c r="BO19" i="9"/>
  <c r="BN13" i="9"/>
  <c r="BN14" i="9"/>
  <c r="AO25" i="28"/>
  <c r="BO25" i="28" s="1"/>
  <c r="BB25" i="28" s="1"/>
  <c r="AO36" i="20"/>
  <c r="BO36" i="20" s="1"/>
  <c r="AP34" i="23"/>
  <c r="BP34" i="23" s="1"/>
  <c r="BC34" i="23" s="1"/>
  <c r="AO42" i="27"/>
  <c r="BO42" i="27" s="1"/>
  <c r="BB42" i="27" s="1"/>
  <c r="BD42" i="27" s="1"/>
  <c r="AP27" i="21"/>
  <c r="BP27" i="21" s="1"/>
  <c r="BC27" i="21" s="1"/>
  <c r="AO40" i="22"/>
  <c r="BO40" i="22" s="1"/>
  <c r="AO34" i="2"/>
  <c r="AO40" i="26"/>
  <c r="AO42" i="24"/>
  <c r="AO44" i="23"/>
  <c r="AP38" i="2"/>
  <c r="BP38" i="2" s="1"/>
  <c r="BC38" i="2" s="1"/>
  <c r="AP38" i="20"/>
  <c r="BP38" i="20" s="1"/>
  <c r="BC38" i="20" s="1"/>
  <c r="AO42" i="22"/>
  <c r="AH14" i="9"/>
  <c r="AH13" i="9"/>
  <c r="AH37" i="9" s="1"/>
  <c r="AH19" i="9"/>
  <c r="AH15" i="9"/>
  <c r="AH31" i="9"/>
  <c r="AH34" i="9"/>
  <c r="AH35" i="9"/>
  <c r="AH18" i="9"/>
  <c r="AH27" i="9"/>
  <c r="AH22" i="9"/>
  <c r="AH29" i="9"/>
  <c r="AH32" i="9"/>
  <c r="AH16" i="9"/>
  <c r="AH33" i="9"/>
  <c r="AH36" i="9"/>
  <c r="AH12" i="9" s="1"/>
  <c r="AH24" i="9"/>
  <c r="AH28" i="9"/>
  <c r="AH20" i="9"/>
  <c r="AH30" i="9"/>
  <c r="AH21" i="9"/>
  <c r="AH26" i="9"/>
  <c r="AH81" i="9"/>
  <c r="AT81" i="9" s="1"/>
  <c r="AT97" i="9" s="1"/>
  <c r="AH23" i="9"/>
  <c r="AH25" i="9"/>
  <c r="AT10" i="9"/>
  <c r="AT15" i="9" s="1"/>
  <c r="AH17" i="9"/>
  <c r="AH9" i="9"/>
  <c r="AH80" i="9" s="1"/>
  <c r="AT80" i="9" s="1"/>
  <c r="AJ22" i="28"/>
  <c r="AO26" i="22"/>
  <c r="BO26" i="22" s="1"/>
  <c r="AO46" i="25"/>
  <c r="BO46" i="25" s="1"/>
  <c r="AG22" i="25"/>
  <c r="AP29" i="20"/>
  <c r="BP29" i="20" s="1"/>
  <c r="BC29" i="20" s="1"/>
  <c r="AP43" i="24"/>
  <c r="BP43" i="24" s="1"/>
  <c r="BC43" i="24" s="1"/>
  <c r="AE22" i="2"/>
  <c r="AG47" i="25"/>
  <c r="AO23" i="25"/>
  <c r="AO44" i="27"/>
  <c r="AO35" i="22"/>
  <c r="BO35" i="22" s="1"/>
  <c r="AO45" i="22"/>
  <c r="D27" i="23"/>
  <c r="AO36" i="24"/>
  <c r="AP31" i="24"/>
  <c r="BP31" i="24" s="1"/>
  <c r="BC31" i="24" s="1"/>
  <c r="AP37" i="28"/>
  <c r="BP37" i="28" s="1"/>
  <c r="BC37" i="28" s="1"/>
  <c r="AP34" i="26"/>
  <c r="AP43" i="22"/>
  <c r="BP43" i="22" s="1"/>
  <c r="BC43" i="22" s="1"/>
  <c r="AO38" i="27"/>
  <c r="AF47" i="2"/>
  <c r="AP31" i="27"/>
  <c r="AQ31" i="27" s="1"/>
  <c r="AK14" i="9"/>
  <c r="AK17" i="9"/>
  <c r="AK21" i="9"/>
  <c r="AK35" i="9"/>
  <c r="AK20" i="9"/>
  <c r="AK13" i="9"/>
  <c r="AK37" i="9" s="1"/>
  <c r="AK15" i="9"/>
  <c r="AK27" i="9"/>
  <c r="AK81" i="9"/>
  <c r="AK86" i="9" s="1"/>
  <c r="AK25" i="9"/>
  <c r="AK16" i="9"/>
  <c r="AK28" i="9"/>
  <c r="AK31" i="9"/>
  <c r="AK32" i="9"/>
  <c r="AK9" i="9"/>
  <c r="AK80" i="9" s="1"/>
  <c r="AW80" i="9" s="1"/>
  <c r="AK29" i="9"/>
  <c r="AK19" i="9"/>
  <c r="AK24" i="9"/>
  <c r="AK34" i="9"/>
  <c r="AK23" i="9"/>
  <c r="AW10" i="9"/>
  <c r="AW22" i="9" s="1"/>
  <c r="AK33" i="9"/>
  <c r="AK26" i="9"/>
  <c r="AK36" i="9"/>
  <c r="AK12" i="9" s="1"/>
  <c r="AK30" i="9"/>
  <c r="AK22" i="9"/>
  <c r="AK18" i="9"/>
  <c r="AO42" i="28"/>
  <c r="AO32" i="24"/>
  <c r="AO41" i="23"/>
  <c r="AP37" i="20"/>
  <c r="BP37" i="20" s="1"/>
  <c r="BC37" i="20" s="1"/>
  <c r="AF22" i="23"/>
  <c r="D22" i="22"/>
  <c r="AO31" i="25"/>
  <c r="AP45" i="24"/>
  <c r="AP24" i="2"/>
  <c r="AQ24" i="2" s="1"/>
  <c r="AH47" i="2"/>
  <c r="AO44" i="22"/>
  <c r="AP32" i="20"/>
  <c r="BP32" i="20" s="1"/>
  <c r="BC32" i="20" s="1"/>
  <c r="AP39" i="24"/>
  <c r="BP39" i="24" s="1"/>
  <c r="BC39" i="24" s="1"/>
  <c r="I141" i="9"/>
  <c r="W8" i="9" s="1"/>
  <c r="M31" i="22"/>
  <c r="AS27" i="22" s="1"/>
  <c r="BS27" i="22" s="1"/>
  <c r="B31" i="22"/>
  <c r="AJ47" i="28"/>
  <c r="AM61" i="9"/>
  <c r="AM60" i="9"/>
  <c r="AM62" i="9"/>
  <c r="AM58" i="9"/>
  <c r="AM68" i="9"/>
  <c r="AM54" i="9"/>
  <c r="AY45" i="9"/>
  <c r="AY48" i="9" s="1"/>
  <c r="AY72" i="9" s="1"/>
  <c r="AM51" i="9"/>
  <c r="AM49" i="9"/>
  <c r="AM56" i="9"/>
  <c r="AM66" i="9"/>
  <c r="AM67" i="9"/>
  <c r="AM55" i="9"/>
  <c r="AM69" i="9"/>
  <c r="AM65" i="9"/>
  <c r="AM64" i="9"/>
  <c r="AM70" i="9"/>
  <c r="AM59" i="9"/>
  <c r="AM50" i="9"/>
  <c r="AM44" i="9"/>
  <c r="AY44" i="9" s="1"/>
  <c r="AM52" i="9"/>
  <c r="AM63" i="9"/>
  <c r="AM48" i="9"/>
  <c r="AM72" i="9" s="1"/>
  <c r="AM71" i="9"/>
  <c r="AM47" i="9" s="1"/>
  <c r="AM53" i="9"/>
  <c r="AM57" i="9"/>
  <c r="AG22" i="21"/>
  <c r="AO46" i="21"/>
  <c r="AP40" i="23"/>
  <c r="BP40" i="23" s="1"/>
  <c r="BC40" i="23" s="1"/>
  <c r="C9" i="21"/>
  <c r="D26" i="21"/>
  <c r="AO25" i="24"/>
  <c r="BO25" i="24" s="1"/>
  <c r="AO39" i="2"/>
  <c r="BO39" i="2" s="1"/>
  <c r="AP44" i="21"/>
  <c r="BP44" i="21" s="1"/>
  <c r="BC44" i="21" s="1"/>
  <c r="AP33" i="28"/>
  <c r="BP33" i="28" s="1"/>
  <c r="BC33" i="28" s="1"/>
  <c r="AP28" i="22"/>
  <c r="BP28" i="22" s="1"/>
  <c r="BC28" i="22" s="1"/>
  <c r="AO37" i="26"/>
  <c r="AG47" i="28"/>
  <c r="AO23" i="28"/>
  <c r="AL44" i="9"/>
  <c r="AX44" i="9" s="1"/>
  <c r="AL50" i="9"/>
  <c r="AL63" i="9"/>
  <c r="AL64" i="9"/>
  <c r="AL56" i="9"/>
  <c r="AL69" i="9"/>
  <c r="AL57" i="9"/>
  <c r="AL58" i="9"/>
  <c r="AL49" i="9"/>
  <c r="AL71" i="9"/>
  <c r="AL47" i="9" s="1"/>
  <c r="AL48" i="9"/>
  <c r="AL72" i="9" s="1"/>
  <c r="AL54" i="9"/>
  <c r="AL70" i="9"/>
  <c r="AL51" i="9"/>
  <c r="AL53" i="9"/>
  <c r="AL68" i="9"/>
  <c r="AL61" i="9"/>
  <c r="AL55" i="9"/>
  <c r="AX45" i="9"/>
  <c r="AX56" i="9" s="1"/>
  <c r="AL59" i="9"/>
  <c r="AL65" i="9"/>
  <c r="AL67" i="9"/>
  <c r="AL62" i="9"/>
  <c r="AL60" i="9"/>
  <c r="AL52" i="9"/>
  <c r="AL66" i="9"/>
  <c r="AP33" i="24"/>
  <c r="BP33" i="24" s="1"/>
  <c r="BC33" i="24" s="1"/>
  <c r="AI47" i="20"/>
  <c r="AI22" i="28"/>
  <c r="AP34" i="2"/>
  <c r="BP34" i="2" s="1"/>
  <c r="BC34" i="2" s="1"/>
  <c r="AP40" i="26"/>
  <c r="BP40" i="26" s="1"/>
  <c r="BC40" i="26" s="1"/>
  <c r="AP35" i="2"/>
  <c r="BP35" i="2" s="1"/>
  <c r="BC35" i="2" s="1"/>
  <c r="B31" i="25"/>
  <c r="M31" i="25"/>
  <c r="AS31" i="25" s="1"/>
  <c r="AO45" i="26"/>
  <c r="AO43" i="20"/>
  <c r="AO32" i="28"/>
  <c r="AO28" i="25"/>
  <c r="BO28" i="25" s="1"/>
  <c r="BB28" i="25" s="1"/>
  <c r="AP35" i="28"/>
  <c r="CG42" i="22"/>
  <c r="CG42" i="23"/>
  <c r="CG42" i="21"/>
  <c r="CG42" i="25"/>
  <c r="CG42" i="24"/>
  <c r="CG42" i="20"/>
  <c r="CG42" i="2"/>
  <c r="CG42" i="28"/>
  <c r="CG42" i="27"/>
  <c r="CG42" i="26"/>
  <c r="D20" i="2"/>
  <c r="AO29" i="21"/>
  <c r="BO29" i="21" s="1"/>
  <c r="D23" i="22"/>
  <c r="AO27" i="24"/>
  <c r="BO27" i="24" s="1"/>
  <c r="AO44" i="20"/>
  <c r="AJ15" i="9"/>
  <c r="AJ33" i="9"/>
  <c r="AJ25" i="9"/>
  <c r="AJ21" i="9"/>
  <c r="AJ34" i="9"/>
  <c r="AJ16" i="9"/>
  <c r="AJ22" i="9"/>
  <c r="AV10" i="9"/>
  <c r="AJ17" i="9"/>
  <c r="AJ13" i="9"/>
  <c r="AJ37" i="9" s="1"/>
  <c r="AJ32" i="9"/>
  <c r="AJ9" i="9"/>
  <c r="AJ80" i="9" s="1"/>
  <c r="AV80" i="9" s="1"/>
  <c r="AJ20" i="9"/>
  <c r="AJ19" i="9"/>
  <c r="AJ27" i="9"/>
  <c r="AJ14" i="9"/>
  <c r="AJ31" i="9"/>
  <c r="AJ24" i="9"/>
  <c r="AJ30" i="9"/>
  <c r="AJ23" i="9"/>
  <c r="AJ29" i="9"/>
  <c r="AJ35" i="9"/>
  <c r="AJ36" i="9"/>
  <c r="AJ12" i="9" s="1"/>
  <c r="AJ18" i="9"/>
  <c r="AJ28" i="9"/>
  <c r="AJ81" i="9"/>
  <c r="AJ98" i="9" s="1"/>
  <c r="AJ26" i="9"/>
  <c r="AP46" i="22"/>
  <c r="AH22" i="22"/>
  <c r="C10" i="24"/>
  <c r="AH22" i="24"/>
  <c r="AP46" i="24"/>
  <c r="CG34" i="26"/>
  <c r="CG34" i="23"/>
  <c r="CG34" i="22"/>
  <c r="CG34" i="27"/>
  <c r="CG34" i="28"/>
  <c r="CG34" i="2"/>
  <c r="CG34" i="21"/>
  <c r="CG34" i="24"/>
  <c r="CG34" i="20"/>
  <c r="CG34" i="25"/>
  <c r="D20" i="25"/>
  <c r="AO34" i="21"/>
  <c r="BO34" i="21" s="1"/>
  <c r="AO34" i="20"/>
  <c r="BO34" i="20" s="1"/>
  <c r="BB34" i="20" s="1"/>
  <c r="AP25" i="27"/>
  <c r="BP25" i="27" s="1"/>
  <c r="BC25" i="27" s="1"/>
  <c r="AP36" i="22"/>
  <c r="BP36" i="22" s="1"/>
  <c r="D25" i="20"/>
  <c r="AP25" i="20"/>
  <c r="BP25" i="20" s="1"/>
  <c r="BC25" i="20" s="1"/>
  <c r="D19" i="21"/>
  <c r="AO32" i="20"/>
  <c r="M31" i="28"/>
  <c r="AS34" i="28" s="1"/>
  <c r="BS34" i="28" s="1"/>
  <c r="BF34" i="28" s="1"/>
  <c r="B31" i="28"/>
  <c r="AP37" i="22"/>
  <c r="BP37" i="22" s="1"/>
  <c r="BC37" i="22" s="1"/>
  <c r="AO34" i="22"/>
  <c r="AO35" i="20"/>
  <c r="AQ35" i="20" s="1"/>
  <c r="D23" i="23"/>
  <c r="AO40" i="28"/>
  <c r="AO26" i="20"/>
  <c r="AP23" i="28"/>
  <c r="BP23" i="28" s="1"/>
  <c r="BC23" i="28" s="1"/>
  <c r="AH47" i="28"/>
  <c r="AO41" i="20"/>
  <c r="AF22" i="25"/>
  <c r="AP32" i="26"/>
  <c r="BP32" i="26" s="1"/>
  <c r="BC32" i="26" s="1"/>
  <c r="AN69" i="9"/>
  <c r="AZ45" i="9"/>
  <c r="AZ60" i="9" s="1"/>
  <c r="AN57" i="9"/>
  <c r="AN71" i="9"/>
  <c r="AN47" i="9" s="1"/>
  <c r="AN50" i="9"/>
  <c r="AN49" i="9"/>
  <c r="AN68" i="9"/>
  <c r="AN67" i="9"/>
  <c r="AN58" i="9"/>
  <c r="AN70" i="9"/>
  <c r="AN59" i="9"/>
  <c r="AN55" i="9"/>
  <c r="AN48" i="9"/>
  <c r="AN72" i="9" s="1"/>
  <c r="AN65" i="9"/>
  <c r="AN53" i="9"/>
  <c r="AN66" i="9"/>
  <c r="AN44" i="9"/>
  <c r="AZ44" i="9" s="1"/>
  <c r="AN64" i="9"/>
  <c r="AN56" i="9"/>
  <c r="AN51" i="9"/>
  <c r="AN52" i="9"/>
  <c r="AN60" i="9"/>
  <c r="AN54" i="9"/>
  <c r="AN63" i="9"/>
  <c r="AN61" i="9"/>
  <c r="AN62" i="9"/>
  <c r="AO46" i="22"/>
  <c r="BO46" i="22" s="1"/>
  <c r="AG22" i="22"/>
  <c r="AO24" i="20"/>
  <c r="BO24" i="20" s="1"/>
  <c r="AP31" i="20"/>
  <c r="AO29" i="28"/>
  <c r="BO29" i="28" s="1"/>
  <c r="BB29" i="28" s="1"/>
  <c r="AP25" i="21"/>
  <c r="AH47" i="22"/>
  <c r="AP23" i="22"/>
  <c r="BP23" i="22" s="1"/>
  <c r="BC23" i="22" s="1"/>
  <c r="AP41" i="24"/>
  <c r="BP41" i="24" s="1"/>
  <c r="BC41" i="24" s="1"/>
  <c r="CG38" i="22"/>
  <c r="CG38" i="21"/>
  <c r="CG38" i="23"/>
  <c r="CG38" i="20"/>
  <c r="CG38" i="26"/>
  <c r="CG38" i="27"/>
  <c r="CG38" i="2"/>
  <c r="CG38" i="25"/>
  <c r="CG38" i="28"/>
  <c r="CG38" i="24"/>
  <c r="AO26" i="24"/>
  <c r="AP42" i="20"/>
  <c r="BP42" i="20" s="1"/>
  <c r="BC42" i="20" s="1"/>
  <c r="AP25" i="23"/>
  <c r="BP25" i="23" s="1"/>
  <c r="AI47" i="22"/>
  <c r="AP28" i="26"/>
  <c r="BP28" i="26" s="1"/>
  <c r="BC28" i="26" s="1"/>
  <c r="AF50" i="9"/>
  <c r="AP50" i="9" s="1"/>
  <c r="N14" i="9" s="1"/>
  <c r="AF62" i="9"/>
  <c r="AP62" i="9" s="1"/>
  <c r="N26" i="9" s="1"/>
  <c r="AF64" i="9"/>
  <c r="AP64" i="9" s="1"/>
  <c r="N28" i="9" s="1"/>
  <c r="AF58" i="9"/>
  <c r="AP58" i="9" s="1"/>
  <c r="N22" i="9" s="1"/>
  <c r="AR45" i="9"/>
  <c r="AR54" i="9" s="1"/>
  <c r="BB54" i="9" s="1"/>
  <c r="AF68" i="9"/>
  <c r="AP68" i="9" s="1"/>
  <c r="N32" i="9" s="1"/>
  <c r="AF61" i="9"/>
  <c r="AP61" i="9" s="1"/>
  <c r="N25" i="9" s="1"/>
  <c r="AF53" i="9"/>
  <c r="AP53" i="9" s="1"/>
  <c r="N17" i="9" s="1"/>
  <c r="AF52" i="9"/>
  <c r="AP52" i="9" s="1"/>
  <c r="N16" i="9" s="1"/>
  <c r="AF65" i="9"/>
  <c r="AP65" i="9" s="1"/>
  <c r="N29" i="9" s="1"/>
  <c r="AF57" i="9"/>
  <c r="AP57" i="9" s="1"/>
  <c r="N21" i="9" s="1"/>
  <c r="AF71" i="9"/>
  <c r="AF48" i="9"/>
  <c r="AF72" i="9" s="1"/>
  <c r="AF69" i="9"/>
  <c r="AP69" i="9" s="1"/>
  <c r="N33" i="9" s="1"/>
  <c r="AF63" i="9"/>
  <c r="AP63" i="9" s="1"/>
  <c r="N27" i="9" s="1"/>
  <c r="AF56" i="9"/>
  <c r="AP56" i="9" s="1"/>
  <c r="N20" i="9" s="1"/>
  <c r="AF44" i="9"/>
  <c r="AR44" i="9" s="1"/>
  <c r="AF67" i="9"/>
  <c r="AP67" i="9" s="1"/>
  <c r="N31" i="9" s="1"/>
  <c r="AF60" i="9"/>
  <c r="AP60" i="9" s="1"/>
  <c r="N24" i="9" s="1"/>
  <c r="AF66" i="9"/>
  <c r="AP66" i="9" s="1"/>
  <c r="N30" i="9" s="1"/>
  <c r="AF49" i="9"/>
  <c r="AP49" i="9" s="1"/>
  <c r="N13" i="9" s="1"/>
  <c r="AF70" i="9"/>
  <c r="AP70" i="9" s="1"/>
  <c r="N34" i="9" s="1"/>
  <c r="AF59" i="9"/>
  <c r="AP59" i="9" s="1"/>
  <c r="N23" i="9" s="1"/>
  <c r="AF51" i="9"/>
  <c r="AP51" i="9" s="1"/>
  <c r="N15" i="9" s="1"/>
  <c r="AF54" i="9"/>
  <c r="AP54" i="9" s="1"/>
  <c r="N18" i="9" s="1"/>
  <c r="AF55" i="9"/>
  <c r="AP55" i="9" s="1"/>
  <c r="N19" i="9" s="1"/>
  <c r="AF47" i="27"/>
  <c r="D25" i="25"/>
  <c r="D20" i="21"/>
  <c r="AP25" i="2"/>
  <c r="BP25" i="2" s="1"/>
  <c r="BC25" i="2" s="1"/>
  <c r="AO27" i="23"/>
  <c r="J141" i="9"/>
  <c r="AI47" i="23"/>
  <c r="C8" i="23"/>
  <c r="B11" i="23"/>
  <c r="AP35" i="24"/>
  <c r="AP33" i="27"/>
  <c r="BP33" i="27" s="1"/>
  <c r="AH22" i="20"/>
  <c r="AP46" i="20"/>
  <c r="AP40" i="28"/>
  <c r="BP40" i="28" s="1"/>
  <c r="BC40" i="28" s="1"/>
  <c r="D27" i="22"/>
  <c r="AP38" i="23"/>
  <c r="BP38" i="23" s="1"/>
  <c r="B11" i="24"/>
  <c r="C8" i="24"/>
  <c r="AX17" i="9"/>
  <c r="AI99" i="9"/>
  <c r="BQ29" i="20"/>
  <c r="AL97" i="9"/>
  <c r="AQ34" i="25"/>
  <c r="AS41" i="2"/>
  <c r="BS41" i="2" s="1"/>
  <c r="BF41" i="2" s="1"/>
  <c r="AZ31" i="9"/>
  <c r="AS34" i="2"/>
  <c r="AO22" i="22"/>
  <c r="BB38" i="2"/>
  <c r="C55" i="3"/>
  <c r="BY16" i="9"/>
  <c r="CA32" i="9"/>
  <c r="BZ34" i="9"/>
  <c r="BG15" i="9"/>
  <c r="BG16" i="9"/>
  <c r="BI24" i="9"/>
  <c r="BH25" i="9"/>
  <c r="BQ25" i="9"/>
  <c r="BP14" i="9"/>
  <c r="BR23" i="9"/>
  <c r="BK19" i="9"/>
  <c r="CB15" i="9"/>
  <c r="BS14" i="9"/>
  <c r="BN17" i="9"/>
  <c r="CC20" i="9"/>
  <c r="CB14" i="9"/>
  <c r="BW18" i="9"/>
  <c r="BU20" i="9"/>
  <c r="BM14" i="9"/>
  <c r="BO21" i="9"/>
  <c r="BL19" i="9"/>
  <c r="BT17" i="9"/>
  <c r="BV14" i="9"/>
  <c r="BJ14" i="9"/>
  <c r="BX20" i="9"/>
  <c r="CD20" i="9"/>
  <c r="K37" i="2"/>
  <c r="J37" i="2"/>
  <c r="J37" i="20"/>
  <c r="C36" i="20"/>
  <c r="C37" i="20"/>
  <c r="B36" i="20"/>
  <c r="B55" i="3"/>
  <c r="B37" i="2"/>
  <c r="K36" i="20"/>
  <c r="C36" i="2"/>
  <c r="B37" i="20"/>
  <c r="C37" i="2"/>
  <c r="K38" i="2"/>
  <c r="AZ56" i="9" l="1"/>
  <c r="AI88" i="9"/>
  <c r="AN102" i="9"/>
  <c r="AX33" i="9"/>
  <c r="AZ27" i="9"/>
  <c r="AS23" i="26"/>
  <c r="AQ30" i="26"/>
  <c r="J38" i="25"/>
  <c r="G38" i="25" s="1"/>
  <c r="AZ24" i="9"/>
  <c r="AX32" i="9"/>
  <c r="AR43" i="28"/>
  <c r="BR43" i="28" s="1"/>
  <c r="BE43" i="28" s="1"/>
  <c r="AG95" i="9"/>
  <c r="BD32" i="26"/>
  <c r="AZ58" i="9"/>
  <c r="AN101" i="9"/>
  <c r="AZ66" i="9"/>
  <c r="AZ50" i="9"/>
  <c r="AJ105" i="9"/>
  <c r="AN93" i="9"/>
  <c r="AZ51" i="9"/>
  <c r="BQ39" i="23"/>
  <c r="AZ69" i="9"/>
  <c r="C11" i="21"/>
  <c r="BQ33" i="22"/>
  <c r="AZ62" i="9"/>
  <c r="C37" i="25"/>
  <c r="AR14" i="9"/>
  <c r="BB14" i="9" s="1"/>
  <c r="BD14" i="9" s="1"/>
  <c r="AR34" i="9"/>
  <c r="BB34" i="9" s="1"/>
  <c r="G33" i="9" s="1"/>
  <c r="I33" i="9" s="1"/>
  <c r="BD43" i="23"/>
  <c r="AR21" i="9"/>
  <c r="BB21" i="9" s="1"/>
  <c r="BD21" i="9" s="1"/>
  <c r="BB23" i="2"/>
  <c r="BZ23" i="2" s="1"/>
  <c r="AT32" i="9"/>
  <c r="AR27" i="9"/>
  <c r="BB27" i="9" s="1"/>
  <c r="G26" i="9" s="1"/>
  <c r="BD38" i="2"/>
  <c r="AT36" i="9"/>
  <c r="AT12" i="9" s="1"/>
  <c r="AR20" i="9"/>
  <c r="BB20" i="9" s="1"/>
  <c r="G19" i="9" s="1"/>
  <c r="I19" i="9" s="1"/>
  <c r="AT30" i="9"/>
  <c r="AR35" i="9"/>
  <c r="BB35" i="9" s="1"/>
  <c r="BD35" i="9" s="1"/>
  <c r="AQ42" i="26"/>
  <c r="AZ67" i="9"/>
  <c r="AQ36" i="26"/>
  <c r="AR29" i="9"/>
  <c r="BB29" i="9" s="1"/>
  <c r="BD29" i="9" s="1"/>
  <c r="AT14" i="9"/>
  <c r="AQ42" i="27"/>
  <c r="AN84" i="9"/>
  <c r="AN108" i="9" s="1"/>
  <c r="AR19" i="9"/>
  <c r="BB19" i="9" s="1"/>
  <c r="G18" i="9" s="1"/>
  <c r="J30" i="23"/>
  <c r="AE20" i="23" s="1"/>
  <c r="BY19" i="23" s="1"/>
  <c r="Y96" i="23" s="1"/>
  <c r="AR23" i="9"/>
  <c r="BB23" i="9" s="1"/>
  <c r="G22" i="9" s="1"/>
  <c r="I22" i="9" s="1"/>
  <c r="AO22" i="25"/>
  <c r="AQ22" i="25" s="1"/>
  <c r="AS26" i="28"/>
  <c r="BS26" i="28" s="1"/>
  <c r="BP46" i="28"/>
  <c r="BP22" i="28" s="1"/>
  <c r="J37" i="25"/>
  <c r="G37" i="25" s="1"/>
  <c r="BD29" i="20"/>
  <c r="AL101" i="9"/>
  <c r="AS42" i="27"/>
  <c r="BS42" i="27" s="1"/>
  <c r="BF42" i="27" s="1"/>
  <c r="AQ37" i="25"/>
  <c r="AQ33" i="22"/>
  <c r="AP36" i="9"/>
  <c r="E35" i="9" s="1"/>
  <c r="AR35" i="27"/>
  <c r="BR35" i="27" s="1"/>
  <c r="BE35" i="27" s="1"/>
  <c r="AQ41" i="27"/>
  <c r="AL88" i="9"/>
  <c r="AJ90" i="9"/>
  <c r="BD37" i="22"/>
  <c r="C37" i="23"/>
  <c r="AS28" i="27"/>
  <c r="BS28" i="27" s="1"/>
  <c r="BF28" i="27" s="1"/>
  <c r="AR46" i="2"/>
  <c r="AR36" i="9"/>
  <c r="AR12" i="9" s="1"/>
  <c r="AR39" i="2"/>
  <c r="BR39" i="2" s="1"/>
  <c r="BE39" i="2" s="1"/>
  <c r="AQ36" i="21"/>
  <c r="AR28" i="27"/>
  <c r="BR28" i="27" s="1"/>
  <c r="BE28" i="27" s="1"/>
  <c r="BG28" i="27" s="1"/>
  <c r="AR33" i="27"/>
  <c r="BR33" i="27" s="1"/>
  <c r="BE33" i="27" s="1"/>
  <c r="BG33" i="27" s="1"/>
  <c r="AP48" i="9"/>
  <c r="N12" i="9" s="1"/>
  <c r="AS45" i="2"/>
  <c r="AN90" i="9"/>
  <c r="AS31" i="2"/>
  <c r="BS31" i="2" s="1"/>
  <c r="BF31" i="2" s="1"/>
  <c r="AR28" i="9"/>
  <c r="BB28" i="9" s="1"/>
  <c r="G27" i="9" s="1"/>
  <c r="I27" i="9" s="1"/>
  <c r="AU81" i="9"/>
  <c r="AU97" i="9" s="1"/>
  <c r="AH94" i="9"/>
  <c r="AS31" i="27"/>
  <c r="BS31" i="27" s="1"/>
  <c r="BF31" i="27" s="1"/>
  <c r="AR30" i="27"/>
  <c r="BR30" i="27" s="1"/>
  <c r="BE30" i="27" s="1"/>
  <c r="AR31" i="27"/>
  <c r="BR31" i="27" s="1"/>
  <c r="BE31" i="27" s="1"/>
  <c r="AH96" i="9"/>
  <c r="AI103" i="9"/>
  <c r="AQ35" i="23"/>
  <c r="AQ24" i="21"/>
  <c r="AL106" i="9"/>
  <c r="AV81" i="9"/>
  <c r="AV100" i="9" s="1"/>
  <c r="BD28" i="25"/>
  <c r="BD33" i="2"/>
  <c r="AR41" i="21"/>
  <c r="BR41" i="21" s="1"/>
  <c r="BE41" i="21" s="1"/>
  <c r="BB39" i="23"/>
  <c r="BD39" i="23" s="1"/>
  <c r="AS32" i="2"/>
  <c r="BS32" i="2" s="1"/>
  <c r="BF32" i="2" s="1"/>
  <c r="AR25" i="9"/>
  <c r="BB25" i="9" s="1"/>
  <c r="G24" i="9" s="1"/>
  <c r="I24" i="9" s="1"/>
  <c r="AY50" i="9"/>
  <c r="AR29" i="27"/>
  <c r="BR29" i="27" s="1"/>
  <c r="BE29" i="27" s="1"/>
  <c r="AS37" i="24"/>
  <c r="BS37" i="24" s="1"/>
  <c r="BF37" i="24" s="1"/>
  <c r="BQ33" i="26"/>
  <c r="AV49" i="9"/>
  <c r="AR33" i="2"/>
  <c r="BR33" i="2" s="1"/>
  <c r="BE33" i="2" s="1"/>
  <c r="AR16" i="9"/>
  <c r="BB16" i="9" s="1"/>
  <c r="G15" i="9" s="1"/>
  <c r="I15" i="9" s="1"/>
  <c r="AR30" i="9"/>
  <c r="BB30" i="9" s="1"/>
  <c r="G29" i="9" s="1"/>
  <c r="I29" i="9" s="1"/>
  <c r="AQ44" i="20"/>
  <c r="AS44" i="27"/>
  <c r="BS44" i="27" s="1"/>
  <c r="BF44" i="27" s="1"/>
  <c r="AS35" i="27"/>
  <c r="BS35" i="27" s="1"/>
  <c r="BF35" i="27" s="1"/>
  <c r="AR23" i="28"/>
  <c r="AH101" i="9"/>
  <c r="AQ46" i="20"/>
  <c r="AL93" i="9"/>
  <c r="AR24" i="28"/>
  <c r="BR24" i="28" s="1"/>
  <c r="BE24" i="28" s="1"/>
  <c r="AS30" i="2"/>
  <c r="BS30" i="2" s="1"/>
  <c r="BF30" i="2" s="1"/>
  <c r="BO31" i="2"/>
  <c r="BQ31" i="2" s="1"/>
  <c r="K38" i="25"/>
  <c r="AR22" i="9"/>
  <c r="BB22" i="9" s="1"/>
  <c r="G21" i="9" s="1"/>
  <c r="I21" i="9" s="1"/>
  <c r="AJ102" i="9"/>
  <c r="AQ26" i="20"/>
  <c r="AR41" i="27"/>
  <c r="BR41" i="27" s="1"/>
  <c r="BE41" i="27" s="1"/>
  <c r="AO22" i="2"/>
  <c r="AL104" i="9"/>
  <c r="AR15" i="9"/>
  <c r="BB15" i="9" s="1"/>
  <c r="G14" i="9" s="1"/>
  <c r="I14" i="9" s="1"/>
  <c r="J30" i="20"/>
  <c r="AE20" i="20" s="1"/>
  <c r="BL20" i="20" s="1"/>
  <c r="AY71" i="9"/>
  <c r="AY47" i="9" s="1"/>
  <c r="AI95" i="9"/>
  <c r="AR32" i="27"/>
  <c r="BR32" i="27" s="1"/>
  <c r="AQ46" i="2"/>
  <c r="AW53" i="9"/>
  <c r="AQ36" i="22"/>
  <c r="AQ37" i="2"/>
  <c r="AW19" i="9"/>
  <c r="AS31" i="23"/>
  <c r="BS31" i="23" s="1"/>
  <c r="BF31" i="23" s="1"/>
  <c r="AS28" i="28"/>
  <c r="BS28" i="28" s="1"/>
  <c r="BF28" i="28" s="1"/>
  <c r="AG90" i="9"/>
  <c r="BP29" i="23"/>
  <c r="BC29" i="23" s="1"/>
  <c r="BD29" i="23" s="1"/>
  <c r="AY54" i="9"/>
  <c r="AQ44" i="28"/>
  <c r="J38" i="22"/>
  <c r="I38" i="22" s="1"/>
  <c r="AR38" i="23"/>
  <c r="BR38" i="23" s="1"/>
  <c r="BE38" i="23" s="1"/>
  <c r="AQ28" i="25"/>
  <c r="AW49" i="9"/>
  <c r="AT18" i="9"/>
  <c r="AW50" i="9"/>
  <c r="AR27" i="22"/>
  <c r="AT27" i="22" s="1"/>
  <c r="AZ17" i="9"/>
  <c r="C36" i="24"/>
  <c r="AS40" i="22"/>
  <c r="BS40" i="22" s="1"/>
  <c r="BF40" i="22" s="1"/>
  <c r="AS38" i="22"/>
  <c r="BS38" i="22" s="1"/>
  <c r="BF38" i="22" s="1"/>
  <c r="AR31" i="21"/>
  <c r="BR31" i="21" s="1"/>
  <c r="AW58" i="9"/>
  <c r="AW66" i="9"/>
  <c r="AT9" i="9"/>
  <c r="AQ39" i="22"/>
  <c r="M30" i="2"/>
  <c r="AL33" i="2" s="1"/>
  <c r="AS26" i="23"/>
  <c r="BS26" i="23" s="1"/>
  <c r="BF26" i="23" s="1"/>
  <c r="AQ46" i="25"/>
  <c r="AS28" i="23"/>
  <c r="BS28" i="23" s="1"/>
  <c r="BF28" i="23" s="1"/>
  <c r="AZ19" i="9"/>
  <c r="AZ18" i="9"/>
  <c r="AW35" i="9"/>
  <c r="AQ29" i="2"/>
  <c r="AX68" i="9"/>
  <c r="BO23" i="27"/>
  <c r="BQ23" i="27" s="1"/>
  <c r="B36" i="27"/>
  <c r="AS36" i="28"/>
  <c r="BS36" i="28" s="1"/>
  <c r="BF36" i="28" s="1"/>
  <c r="BQ32" i="22"/>
  <c r="AH90" i="9"/>
  <c r="J37" i="23"/>
  <c r="I37" i="23" s="1"/>
  <c r="AZ28" i="9"/>
  <c r="AQ34" i="21"/>
  <c r="AR44" i="22"/>
  <c r="BR44" i="22" s="1"/>
  <c r="BE44" i="22" s="1"/>
  <c r="AR45" i="23"/>
  <c r="BR45" i="23" s="1"/>
  <c r="BE45" i="23" s="1"/>
  <c r="BA27" i="9"/>
  <c r="K36" i="24"/>
  <c r="AR27" i="26"/>
  <c r="BR27" i="26" s="1"/>
  <c r="BE27" i="26" s="1"/>
  <c r="AR42" i="28"/>
  <c r="BR42" i="28" s="1"/>
  <c r="BE42" i="28" s="1"/>
  <c r="BD30" i="28"/>
  <c r="AS39" i="23"/>
  <c r="BS39" i="23" s="1"/>
  <c r="BF39" i="23" s="1"/>
  <c r="AW23" i="9"/>
  <c r="AW9" i="9"/>
  <c r="AR63" i="9"/>
  <c r="BB63" i="9" s="1"/>
  <c r="P27" i="9" s="1"/>
  <c r="R27" i="9" s="1"/>
  <c r="AS25" i="28"/>
  <c r="BS25" i="28" s="1"/>
  <c r="AS41" i="28"/>
  <c r="BS41" i="28" s="1"/>
  <c r="BF41" i="28" s="1"/>
  <c r="AR25" i="23"/>
  <c r="BR25" i="23" s="1"/>
  <c r="AS24" i="26"/>
  <c r="BS24" i="26" s="1"/>
  <c r="BF24" i="26" s="1"/>
  <c r="BO35" i="20"/>
  <c r="BB35" i="20" s="1"/>
  <c r="BD35" i="20" s="1"/>
  <c r="BA30" i="9"/>
  <c r="AS24" i="27"/>
  <c r="BS24" i="27" s="1"/>
  <c r="BF24" i="27" s="1"/>
  <c r="AQ46" i="28"/>
  <c r="BQ34" i="27"/>
  <c r="AT25" i="9"/>
  <c r="AZ9" i="9"/>
  <c r="AS43" i="23"/>
  <c r="BS43" i="23" s="1"/>
  <c r="BF43" i="23" s="1"/>
  <c r="BA35" i="9"/>
  <c r="AQ43" i="22"/>
  <c r="AS26" i="26"/>
  <c r="BS26" i="26" s="1"/>
  <c r="BF26" i="26" s="1"/>
  <c r="AU68" i="9"/>
  <c r="AT35" i="9"/>
  <c r="AS37" i="27"/>
  <c r="BS37" i="27" s="1"/>
  <c r="AW15" i="9"/>
  <c r="AR28" i="22"/>
  <c r="AR64" i="9"/>
  <c r="BB64" i="9" s="1"/>
  <c r="P28" i="9" s="1"/>
  <c r="R28" i="9" s="1"/>
  <c r="AW27" i="9"/>
  <c r="AH100" i="9"/>
  <c r="AO93" i="9"/>
  <c r="AS30" i="22"/>
  <c r="BS30" i="22" s="1"/>
  <c r="AW60" i="9"/>
  <c r="AW21" i="9"/>
  <c r="AZ33" i="9"/>
  <c r="J29" i="22"/>
  <c r="AG20" i="22" s="1"/>
  <c r="AO20" i="22" s="1"/>
  <c r="AW57" i="9"/>
  <c r="AW31" i="9"/>
  <c r="AR29" i="23"/>
  <c r="BR29" i="23" s="1"/>
  <c r="BE29" i="23" s="1"/>
  <c r="AZ15" i="9"/>
  <c r="AS25" i="23"/>
  <c r="BS25" i="23" s="1"/>
  <c r="BF25" i="23" s="1"/>
  <c r="AW63" i="9"/>
  <c r="AR35" i="23"/>
  <c r="AR50" i="9"/>
  <c r="BB50" i="9" s="1"/>
  <c r="BD50" i="9" s="1"/>
  <c r="AQ46" i="24"/>
  <c r="AQ32" i="24"/>
  <c r="AS42" i="23"/>
  <c r="BS42" i="23" s="1"/>
  <c r="BA32" i="9"/>
  <c r="AR38" i="26"/>
  <c r="BR38" i="26" s="1"/>
  <c r="AR65" i="9"/>
  <c r="BB65" i="9" s="1"/>
  <c r="P29" i="9" s="1"/>
  <c r="R29" i="9" s="1"/>
  <c r="BO46" i="24"/>
  <c r="BB46" i="24" s="1"/>
  <c r="AZ26" i="9"/>
  <c r="AT16" i="9"/>
  <c r="BO42" i="26"/>
  <c r="BB42" i="26" s="1"/>
  <c r="BD42" i="26" s="1"/>
  <c r="AO84" i="9"/>
  <c r="AO108" i="9" s="1"/>
  <c r="BP31" i="27"/>
  <c r="BQ31" i="27" s="1"/>
  <c r="AS43" i="26"/>
  <c r="BS43" i="26" s="1"/>
  <c r="BF43" i="26" s="1"/>
  <c r="AQ40" i="22"/>
  <c r="BO26" i="20"/>
  <c r="BB26" i="20" s="1"/>
  <c r="AZ32" i="9"/>
  <c r="AR59" i="9"/>
  <c r="BB59" i="9" s="1"/>
  <c r="P23" i="9" s="1"/>
  <c r="R23" i="9" s="1"/>
  <c r="AR33" i="22"/>
  <c r="AT33" i="22" s="1"/>
  <c r="AS45" i="23"/>
  <c r="BS45" i="23" s="1"/>
  <c r="BF45" i="23" s="1"/>
  <c r="J30" i="26"/>
  <c r="AE20" i="26" s="1"/>
  <c r="BY19" i="26" s="1"/>
  <c r="Y96" i="26" s="1"/>
  <c r="K38" i="28"/>
  <c r="BO29" i="2"/>
  <c r="BB29" i="2" s="1"/>
  <c r="BD29" i="2" s="1"/>
  <c r="AR24" i="23"/>
  <c r="BR24" i="23" s="1"/>
  <c r="BE24" i="23" s="1"/>
  <c r="AX69" i="9"/>
  <c r="AS35" i="22"/>
  <c r="BS35" i="22" s="1"/>
  <c r="BF35" i="22" s="1"/>
  <c r="BQ32" i="23"/>
  <c r="AR55" i="9"/>
  <c r="BB55" i="9" s="1"/>
  <c r="P19" i="9" s="1"/>
  <c r="R19" i="9" s="1"/>
  <c r="AR43" i="26"/>
  <c r="BR43" i="26" s="1"/>
  <c r="AQ42" i="28"/>
  <c r="AS26" i="25"/>
  <c r="BS26" i="25" s="1"/>
  <c r="BF26" i="25" s="1"/>
  <c r="AM101" i="9"/>
  <c r="AT17" i="9"/>
  <c r="AT34" i="9"/>
  <c r="BP33" i="23"/>
  <c r="BC33" i="23" s="1"/>
  <c r="BD33" i="23" s="1"/>
  <c r="AT31" i="9"/>
  <c r="AN92" i="9"/>
  <c r="BO26" i="27"/>
  <c r="BB26" i="27" s="1"/>
  <c r="AQ26" i="27"/>
  <c r="K38" i="27"/>
  <c r="BA13" i="9"/>
  <c r="BA37" i="9" s="1"/>
  <c r="AV60" i="9"/>
  <c r="BP24" i="21"/>
  <c r="BQ24" i="21" s="1"/>
  <c r="I26" i="9"/>
  <c r="AP13" i="9"/>
  <c r="E12" i="9" s="1"/>
  <c r="BA36" i="9"/>
  <c r="BA12" i="9" s="1"/>
  <c r="BQ38" i="2"/>
  <c r="BD31" i="23"/>
  <c r="AS35" i="23"/>
  <c r="BS35" i="23" s="1"/>
  <c r="BF35" i="23" s="1"/>
  <c r="AS36" i="23"/>
  <c r="BS36" i="23" s="1"/>
  <c r="BF36" i="23" s="1"/>
  <c r="AR37" i="23"/>
  <c r="BR37" i="23" s="1"/>
  <c r="BE37" i="23" s="1"/>
  <c r="AR44" i="23"/>
  <c r="BR44" i="23" s="1"/>
  <c r="AR31" i="23"/>
  <c r="AR27" i="23"/>
  <c r="BR27" i="23" s="1"/>
  <c r="AR36" i="23"/>
  <c r="BR36" i="23" s="1"/>
  <c r="BE36" i="23" s="1"/>
  <c r="BG36" i="23" s="1"/>
  <c r="AR40" i="23"/>
  <c r="BR40" i="23" s="1"/>
  <c r="BE40" i="23" s="1"/>
  <c r="AR34" i="23"/>
  <c r="BR34" i="23" s="1"/>
  <c r="BE34" i="23" s="1"/>
  <c r="AS44" i="23"/>
  <c r="BS44" i="23" s="1"/>
  <c r="BF44" i="23" s="1"/>
  <c r="AS40" i="23"/>
  <c r="BS40" i="23" s="1"/>
  <c r="BF40" i="23" s="1"/>
  <c r="AS34" i="23"/>
  <c r="BS34" i="23" s="1"/>
  <c r="BF34" i="23" s="1"/>
  <c r="BQ37" i="2"/>
  <c r="AQ25" i="26"/>
  <c r="AR32" i="23"/>
  <c r="BR32" i="23" s="1"/>
  <c r="AV61" i="9"/>
  <c r="BO40" i="2"/>
  <c r="BA25" i="9"/>
  <c r="BD39" i="26"/>
  <c r="AR32" i="21"/>
  <c r="BR32" i="21" s="1"/>
  <c r="BE32" i="21" s="1"/>
  <c r="AS35" i="21"/>
  <c r="BS35" i="21" s="1"/>
  <c r="BF35" i="21" s="1"/>
  <c r="AR30" i="21"/>
  <c r="BR30" i="21" s="1"/>
  <c r="AR43" i="21"/>
  <c r="BR43" i="21" s="1"/>
  <c r="BA65" i="9"/>
  <c r="AN107" i="9"/>
  <c r="AN83" i="9" s="1"/>
  <c r="AS32" i="22"/>
  <c r="BS32" i="22" s="1"/>
  <c r="BF32" i="22" s="1"/>
  <c r="AS30" i="23"/>
  <c r="BS30" i="23" s="1"/>
  <c r="BF30" i="23" s="1"/>
  <c r="AR36" i="22"/>
  <c r="BR36" i="22" s="1"/>
  <c r="BE36" i="22" s="1"/>
  <c r="AR37" i="28"/>
  <c r="BR37" i="28" s="1"/>
  <c r="BE37" i="28" s="1"/>
  <c r="AR30" i="28"/>
  <c r="BR30" i="28" s="1"/>
  <c r="AS27" i="28"/>
  <c r="BS27" i="28" s="1"/>
  <c r="BF27" i="28" s="1"/>
  <c r="AR35" i="28"/>
  <c r="AS40" i="28"/>
  <c r="BS40" i="28" s="1"/>
  <c r="BF40" i="28" s="1"/>
  <c r="AR46" i="28"/>
  <c r="AR29" i="28"/>
  <c r="BR29" i="28" s="1"/>
  <c r="AS35" i="28"/>
  <c r="BS35" i="28" s="1"/>
  <c r="BF35" i="28" s="1"/>
  <c r="AR41" i="28"/>
  <c r="BR41" i="28" s="1"/>
  <c r="BE41" i="28" s="1"/>
  <c r="BO22" i="25"/>
  <c r="BQ22" i="25" s="1"/>
  <c r="BQ46" i="25"/>
  <c r="BO30" i="22"/>
  <c r="AQ30" i="22"/>
  <c r="AR81" i="9"/>
  <c r="AR89" i="9" s="1"/>
  <c r="BB89" i="9" s="1"/>
  <c r="AF99" i="9"/>
  <c r="AP99" i="9" s="1"/>
  <c r="W27" i="9" s="1"/>
  <c r="AN103" i="9"/>
  <c r="AN98" i="9"/>
  <c r="AK85" i="9"/>
  <c r="AK84" i="9"/>
  <c r="AK108" i="9" s="1"/>
  <c r="BA18" i="9"/>
  <c r="BA24" i="9"/>
  <c r="BP43" i="25"/>
  <c r="AQ43" i="25"/>
  <c r="AK107" i="9"/>
  <c r="AK83" i="9" s="1"/>
  <c r="AQ31" i="23"/>
  <c r="B38" i="28"/>
  <c r="AN106" i="9"/>
  <c r="BO39" i="21"/>
  <c r="BQ39" i="21" s="1"/>
  <c r="AQ39" i="21"/>
  <c r="BA9" i="9"/>
  <c r="BO42" i="2"/>
  <c r="BB42" i="2" s="1"/>
  <c r="BD42" i="2" s="1"/>
  <c r="AQ42" i="2"/>
  <c r="BO46" i="20"/>
  <c r="AO22" i="20"/>
  <c r="AM102" i="9"/>
  <c r="AW81" i="9"/>
  <c r="AW107" i="9" s="1"/>
  <c r="AW83" i="9" s="1"/>
  <c r="AR41" i="23"/>
  <c r="BR41" i="23" s="1"/>
  <c r="BE41" i="23" s="1"/>
  <c r="BG41" i="23" s="1"/>
  <c r="AR34" i="20"/>
  <c r="BR34" i="20" s="1"/>
  <c r="BE34" i="20" s="1"/>
  <c r="AS23" i="23"/>
  <c r="BS23" i="23" s="1"/>
  <c r="AR43" i="23"/>
  <c r="BR43" i="23" s="1"/>
  <c r="BE43" i="23" s="1"/>
  <c r="BD34" i="20"/>
  <c r="AJ96" i="9"/>
  <c r="AJ91" i="9"/>
  <c r="AI104" i="9"/>
  <c r="AI86" i="9"/>
  <c r="AI96" i="9"/>
  <c r="AI97" i="9"/>
  <c r="AI90" i="9"/>
  <c r="AS34" i="27"/>
  <c r="BS34" i="27" s="1"/>
  <c r="BF34" i="27" s="1"/>
  <c r="AR40" i="27"/>
  <c r="AR37" i="27"/>
  <c r="AS26" i="27"/>
  <c r="BS26" i="27" s="1"/>
  <c r="BF26" i="27" s="1"/>
  <c r="AS32" i="27"/>
  <c r="BS32" i="27" s="1"/>
  <c r="BF32" i="27" s="1"/>
  <c r="AS24" i="21"/>
  <c r="BS24" i="21" s="1"/>
  <c r="BF24" i="21" s="1"/>
  <c r="AR53" i="9"/>
  <c r="BB53" i="9" s="1"/>
  <c r="P17" i="9" s="1"/>
  <c r="R17" i="9" s="1"/>
  <c r="AR39" i="21"/>
  <c r="BR39" i="21" s="1"/>
  <c r="BE39" i="21" s="1"/>
  <c r="AS43" i="28"/>
  <c r="BS43" i="28" s="1"/>
  <c r="BF43" i="28" s="1"/>
  <c r="AS33" i="23"/>
  <c r="BS33" i="23" s="1"/>
  <c r="AS44" i="28"/>
  <c r="BS44" i="28" s="1"/>
  <c r="BF44" i="28" s="1"/>
  <c r="AS37" i="23"/>
  <c r="BS37" i="23" s="1"/>
  <c r="BF37" i="23" s="1"/>
  <c r="AR26" i="22"/>
  <c r="AR44" i="28"/>
  <c r="AJ99" i="9"/>
  <c r="AQ34" i="20"/>
  <c r="AS23" i="28"/>
  <c r="AR24" i="2"/>
  <c r="BR24" i="2" s="1"/>
  <c r="BE24" i="2" s="1"/>
  <c r="AS38" i="2"/>
  <c r="BS38" i="2" s="1"/>
  <c r="BF38" i="2" s="1"/>
  <c r="AR28" i="2"/>
  <c r="BR28" i="2" s="1"/>
  <c r="BE28" i="2" s="1"/>
  <c r="AR43" i="2"/>
  <c r="AT43" i="2" s="1"/>
  <c r="AS39" i="2"/>
  <c r="BS39" i="2" s="1"/>
  <c r="AS43" i="2"/>
  <c r="BS43" i="2" s="1"/>
  <c r="BF43" i="2" s="1"/>
  <c r="AR32" i="2"/>
  <c r="AQ39" i="27"/>
  <c r="BO39" i="27"/>
  <c r="BB39" i="27" s="1"/>
  <c r="BD39" i="27" s="1"/>
  <c r="AG94" i="9"/>
  <c r="AG104" i="9"/>
  <c r="AR24" i="26"/>
  <c r="BR24" i="26" s="1"/>
  <c r="BE24" i="26" s="1"/>
  <c r="AS45" i="26"/>
  <c r="BS45" i="26" s="1"/>
  <c r="BF45" i="26" s="1"/>
  <c r="AS35" i="26"/>
  <c r="AS33" i="26"/>
  <c r="BS33" i="26" s="1"/>
  <c r="BF33" i="26" s="1"/>
  <c r="AR41" i="26"/>
  <c r="BR41" i="26" s="1"/>
  <c r="BE41" i="26" s="1"/>
  <c r="AR45" i="28"/>
  <c r="BR45" i="28" s="1"/>
  <c r="AS40" i="25"/>
  <c r="BS40" i="25" s="1"/>
  <c r="AS29" i="28"/>
  <c r="BS29" i="28" s="1"/>
  <c r="BF29" i="28" s="1"/>
  <c r="AS24" i="28"/>
  <c r="BS24" i="28" s="1"/>
  <c r="BF24" i="28" s="1"/>
  <c r="AR46" i="23"/>
  <c r="AR22" i="23" s="1"/>
  <c r="AS33" i="2"/>
  <c r="BS33" i="2" s="1"/>
  <c r="BF33" i="2" s="1"/>
  <c r="AS29" i="26"/>
  <c r="BS29" i="26" s="1"/>
  <c r="AQ39" i="26"/>
  <c r="AR25" i="28"/>
  <c r="BR25" i="28" s="1"/>
  <c r="BE25" i="28" s="1"/>
  <c r="BO33" i="20"/>
  <c r="AQ33" i="20"/>
  <c r="AR33" i="21"/>
  <c r="BR33" i="21" s="1"/>
  <c r="BE33" i="21" s="1"/>
  <c r="AQ41" i="22"/>
  <c r="AR38" i="28"/>
  <c r="AV64" i="9"/>
  <c r="AV52" i="9"/>
  <c r="AV71" i="9"/>
  <c r="AV47" i="9" s="1"/>
  <c r="AV67" i="9"/>
  <c r="AV55" i="9"/>
  <c r="AV56" i="9"/>
  <c r="J29" i="2"/>
  <c r="AG20" i="2" s="1"/>
  <c r="AO20" i="2" s="1"/>
  <c r="AV48" i="9"/>
  <c r="AV72" i="9" s="1"/>
  <c r="AN91" i="9"/>
  <c r="AP22" i="22"/>
  <c r="AQ22" i="22" s="1"/>
  <c r="BP46" i="22"/>
  <c r="BC46" i="22" s="1"/>
  <c r="BC22" i="22" s="1"/>
  <c r="AK95" i="9"/>
  <c r="AV59" i="9"/>
  <c r="AN97" i="9"/>
  <c r="AZ81" i="9"/>
  <c r="AZ88" i="9" s="1"/>
  <c r="BD35" i="21"/>
  <c r="K37" i="25"/>
  <c r="B36" i="25"/>
  <c r="AU53" i="9"/>
  <c r="AU69" i="9"/>
  <c r="AU63" i="9"/>
  <c r="BR23" i="28"/>
  <c r="BE23" i="28" s="1"/>
  <c r="AF104" i="9"/>
  <c r="AP104" i="9" s="1"/>
  <c r="W32" i="9" s="1"/>
  <c r="AL103" i="9"/>
  <c r="AL94" i="9"/>
  <c r="AL107" i="9"/>
  <c r="AL83" i="9" s="1"/>
  <c r="K37" i="23"/>
  <c r="AL87" i="9"/>
  <c r="AQ33" i="26"/>
  <c r="AF86" i="9"/>
  <c r="AP86" i="9" s="1"/>
  <c r="W14" i="9" s="1"/>
  <c r="AI89" i="9"/>
  <c r="AU57" i="9"/>
  <c r="AI100" i="9"/>
  <c r="AR48" i="9"/>
  <c r="AR72" i="9" s="1"/>
  <c r="BB72" i="9" s="1"/>
  <c r="P36" i="9" s="1"/>
  <c r="AR70" i="9"/>
  <c r="BB70" i="9" s="1"/>
  <c r="P34" i="9" s="1"/>
  <c r="R34" i="9" s="1"/>
  <c r="AR56" i="9"/>
  <c r="BB56" i="9" s="1"/>
  <c r="P20" i="9" s="1"/>
  <c r="R20" i="9" s="1"/>
  <c r="AS29" i="22"/>
  <c r="BS29" i="22" s="1"/>
  <c r="BF29" i="22" s="1"/>
  <c r="AS28" i="22"/>
  <c r="BS28" i="22" s="1"/>
  <c r="BF28" i="22" s="1"/>
  <c r="AS43" i="22"/>
  <c r="AS26" i="22"/>
  <c r="BS26" i="22" s="1"/>
  <c r="BF26" i="22" s="1"/>
  <c r="AS34" i="22"/>
  <c r="BS34" i="22" s="1"/>
  <c r="BF34" i="22" s="1"/>
  <c r="AR23" i="22"/>
  <c r="BR23" i="22" s="1"/>
  <c r="BE23" i="22" s="1"/>
  <c r="AS44" i="22"/>
  <c r="AS25" i="22"/>
  <c r="BS25" i="22" s="1"/>
  <c r="BF25" i="22" s="1"/>
  <c r="BO30" i="25"/>
  <c r="AQ30" i="25"/>
  <c r="AS30" i="27"/>
  <c r="BS30" i="27" s="1"/>
  <c r="BF30" i="27" s="1"/>
  <c r="AS25" i="27"/>
  <c r="BS25" i="27" s="1"/>
  <c r="BF25" i="27" s="1"/>
  <c r="BO32" i="2"/>
  <c r="BB32" i="2" s="1"/>
  <c r="BD32" i="2" s="1"/>
  <c r="AQ32" i="2"/>
  <c r="AQ26" i="21"/>
  <c r="AR37" i="21"/>
  <c r="BR37" i="21" s="1"/>
  <c r="BE37" i="21" s="1"/>
  <c r="AV57" i="9"/>
  <c r="AR42" i="22"/>
  <c r="BR42" i="22" s="1"/>
  <c r="BE42" i="22" s="1"/>
  <c r="AF98" i="9"/>
  <c r="AP98" i="9" s="1"/>
  <c r="W26" i="9" s="1"/>
  <c r="AU28" i="9"/>
  <c r="AU58" i="9"/>
  <c r="AU51" i="9"/>
  <c r="AW32" i="9"/>
  <c r="AW24" i="9"/>
  <c r="AW20" i="9"/>
  <c r="AW28" i="9"/>
  <c r="BD36" i="27"/>
  <c r="AQ23" i="20"/>
  <c r="J36" i="25"/>
  <c r="AQ33" i="21"/>
  <c r="BP33" i="21"/>
  <c r="BC33" i="21" s="1"/>
  <c r="BD33" i="21" s="1"/>
  <c r="AI94" i="9"/>
  <c r="AV68" i="9"/>
  <c r="AS25" i="21"/>
  <c r="BS25" i="21" s="1"/>
  <c r="BF25" i="21" s="1"/>
  <c r="AR31" i="22"/>
  <c r="BR31" i="22" s="1"/>
  <c r="BE31" i="22" s="1"/>
  <c r="AQ46" i="22"/>
  <c r="AO22" i="28"/>
  <c r="AQ22" i="28" s="1"/>
  <c r="AR33" i="28"/>
  <c r="BR33" i="28" s="1"/>
  <c r="AS42" i="2"/>
  <c r="BS42" i="2" s="1"/>
  <c r="BF42" i="2" s="1"/>
  <c r="AR45" i="21"/>
  <c r="BR45" i="21" s="1"/>
  <c r="BO23" i="20"/>
  <c r="BB23" i="20" s="1"/>
  <c r="BD23" i="20" s="1"/>
  <c r="B36" i="22"/>
  <c r="J29" i="26"/>
  <c r="AG20" i="26" s="1"/>
  <c r="BO20" i="26" s="1"/>
  <c r="AS39" i="27"/>
  <c r="BS39" i="27" s="1"/>
  <c r="BF39" i="27" s="1"/>
  <c r="AW54" i="9"/>
  <c r="AW68" i="9"/>
  <c r="AS39" i="21"/>
  <c r="BS39" i="21" s="1"/>
  <c r="AI92" i="9"/>
  <c r="AW52" i="9"/>
  <c r="AW62" i="9"/>
  <c r="AS27" i="21"/>
  <c r="BS27" i="21" s="1"/>
  <c r="BF27" i="21" s="1"/>
  <c r="AR39" i="22"/>
  <c r="BR39" i="22" s="1"/>
  <c r="BE39" i="22" s="1"/>
  <c r="BO46" i="28"/>
  <c r="BQ46" i="28" s="1"/>
  <c r="AS45" i="28"/>
  <c r="BS45" i="28" s="1"/>
  <c r="BF45" i="28" s="1"/>
  <c r="AR36" i="2"/>
  <c r="BR36" i="2" s="1"/>
  <c r="BE36" i="2" s="1"/>
  <c r="AR39" i="23"/>
  <c r="BR39" i="23" s="1"/>
  <c r="AV62" i="9"/>
  <c r="M30" i="26"/>
  <c r="AL39" i="26" s="1"/>
  <c r="AQ27" i="24"/>
  <c r="BQ27" i="21"/>
  <c r="AI93" i="9"/>
  <c r="AW30" i="9"/>
  <c r="AR40" i="21"/>
  <c r="BR40" i="21" s="1"/>
  <c r="AS40" i="2"/>
  <c r="BS40" i="2" s="1"/>
  <c r="BF40" i="2" s="1"/>
  <c r="AR32" i="22"/>
  <c r="AR26" i="23"/>
  <c r="BR26" i="23" s="1"/>
  <c r="AS30" i="28"/>
  <c r="BS30" i="28" s="1"/>
  <c r="BF30" i="28" s="1"/>
  <c r="AR38" i="2"/>
  <c r="BR38" i="2" s="1"/>
  <c r="AR26" i="21"/>
  <c r="BR26" i="21" s="1"/>
  <c r="BO44" i="28"/>
  <c r="BB44" i="28" s="1"/>
  <c r="BD44" i="28" s="1"/>
  <c r="AV66" i="9"/>
  <c r="AQ32" i="22"/>
  <c r="AQ25" i="21"/>
  <c r="BP25" i="21"/>
  <c r="B36" i="24"/>
  <c r="BQ39" i="26"/>
  <c r="AI91" i="9"/>
  <c r="AS27" i="2"/>
  <c r="BS27" i="2" s="1"/>
  <c r="AQ36" i="27"/>
  <c r="AS24" i="23"/>
  <c r="BS24" i="23" s="1"/>
  <c r="BF24" i="23" s="1"/>
  <c r="AS38" i="23"/>
  <c r="AR42" i="23"/>
  <c r="BR42" i="23" s="1"/>
  <c r="BE42" i="23" s="1"/>
  <c r="AR28" i="28"/>
  <c r="BR28" i="28" s="1"/>
  <c r="AS44" i="2"/>
  <c r="BS44" i="2" s="1"/>
  <c r="BF44" i="2" s="1"/>
  <c r="AT70" i="9"/>
  <c r="AW33" i="9"/>
  <c r="AI84" i="9"/>
  <c r="AI108" i="9" s="1"/>
  <c r="AR33" i="23"/>
  <c r="BR33" i="23" s="1"/>
  <c r="BE33" i="23" s="1"/>
  <c r="AQ34" i="22"/>
  <c r="AT21" i="9"/>
  <c r="AT13" i="9"/>
  <c r="AT37" i="9" s="1"/>
  <c r="AT24" i="9"/>
  <c r="AT29" i="9"/>
  <c r="AT28" i="9"/>
  <c r="BB36" i="25"/>
  <c r="BD36" i="25" s="1"/>
  <c r="BQ36" i="25"/>
  <c r="BQ24" i="20"/>
  <c r="BQ39" i="2"/>
  <c r="AH93" i="9"/>
  <c r="BQ31" i="23"/>
  <c r="AQ28" i="28"/>
  <c r="C38" i="25"/>
  <c r="B38" i="25"/>
  <c r="AQ38" i="2"/>
  <c r="J38" i="24"/>
  <c r="BQ28" i="23"/>
  <c r="AQ26" i="25"/>
  <c r="AQ40" i="20"/>
  <c r="AQ28" i="23"/>
  <c r="AS14" i="9"/>
  <c r="AK87" i="9"/>
  <c r="AK92" i="9"/>
  <c r="AS25" i="26"/>
  <c r="BS25" i="26" s="1"/>
  <c r="BF25" i="26" s="1"/>
  <c r="AR35" i="26"/>
  <c r="BR35" i="26" s="1"/>
  <c r="BE35" i="26" s="1"/>
  <c r="AR31" i="26"/>
  <c r="BR31" i="26" s="1"/>
  <c r="BE31" i="26" s="1"/>
  <c r="AS46" i="26"/>
  <c r="BS46" i="26" s="1"/>
  <c r="BF46" i="26" s="1"/>
  <c r="BF22" i="26" s="1"/>
  <c r="AR45" i="26"/>
  <c r="BR45" i="26" s="1"/>
  <c r="BE45" i="26" s="1"/>
  <c r="BG45" i="26" s="1"/>
  <c r="AR34" i="26"/>
  <c r="BR34" i="26" s="1"/>
  <c r="AR33" i="26"/>
  <c r="BR33" i="26" s="1"/>
  <c r="AR32" i="26"/>
  <c r="AR29" i="26"/>
  <c r="BR29" i="26" s="1"/>
  <c r="BE29" i="26" s="1"/>
  <c r="AR23" i="26"/>
  <c r="BR23" i="26" s="1"/>
  <c r="BE23" i="26" s="1"/>
  <c r="AS32" i="26"/>
  <c r="BS32" i="26" s="1"/>
  <c r="BF32" i="26" s="1"/>
  <c r="AS30" i="26"/>
  <c r="BS30" i="26" s="1"/>
  <c r="BF30" i="26" s="1"/>
  <c r="AS27" i="26"/>
  <c r="BS27" i="26" s="1"/>
  <c r="BF27" i="26" s="1"/>
  <c r="AY64" i="9"/>
  <c r="AQ27" i="26"/>
  <c r="AQ35" i="25"/>
  <c r="AK89" i="9"/>
  <c r="AG88" i="9"/>
  <c r="AR36" i="26"/>
  <c r="BR36" i="26" s="1"/>
  <c r="AR42" i="26"/>
  <c r="BR42" i="26" s="1"/>
  <c r="AR26" i="26"/>
  <c r="BR26" i="26" s="1"/>
  <c r="BE26" i="26" s="1"/>
  <c r="BG26" i="26" s="1"/>
  <c r="AJ97" i="9"/>
  <c r="BO32" i="24"/>
  <c r="AW59" i="9"/>
  <c r="AW51" i="9"/>
  <c r="AW69" i="9"/>
  <c r="AW61" i="9"/>
  <c r="AW71" i="9"/>
  <c r="AW47" i="9" s="1"/>
  <c r="AW70" i="9"/>
  <c r="AS32" i="24"/>
  <c r="BS32" i="24" s="1"/>
  <c r="BF32" i="24" s="1"/>
  <c r="AR41" i="24"/>
  <c r="AS42" i="24"/>
  <c r="BS42" i="24" s="1"/>
  <c r="BF42" i="24" s="1"/>
  <c r="AR43" i="24"/>
  <c r="BR43" i="24" s="1"/>
  <c r="AR38" i="24"/>
  <c r="BR38" i="24" s="1"/>
  <c r="BE38" i="24" s="1"/>
  <c r="C36" i="25"/>
  <c r="C11" i="25"/>
  <c r="BB25" i="24"/>
  <c r="BD25" i="24" s="1"/>
  <c r="BQ25" i="24"/>
  <c r="BD24" i="26"/>
  <c r="AK94" i="9"/>
  <c r="C38" i="21"/>
  <c r="AO103" i="9"/>
  <c r="AR44" i="26"/>
  <c r="BR44" i="26" s="1"/>
  <c r="BE44" i="26" s="1"/>
  <c r="AS42" i="26"/>
  <c r="BS42" i="26" s="1"/>
  <c r="BF42" i="26" s="1"/>
  <c r="AJ92" i="9"/>
  <c r="BD27" i="26"/>
  <c r="AR24" i="24"/>
  <c r="AS41" i="24"/>
  <c r="BS41" i="24" s="1"/>
  <c r="BF41" i="24" s="1"/>
  <c r="BQ33" i="2"/>
  <c r="J37" i="21"/>
  <c r="G37" i="21" s="1"/>
  <c r="AS32" i="9"/>
  <c r="AK101" i="9"/>
  <c r="BO41" i="22"/>
  <c r="AQ32" i="26"/>
  <c r="AS28" i="26"/>
  <c r="BS28" i="26" s="1"/>
  <c r="BF28" i="26" s="1"/>
  <c r="AR28" i="26"/>
  <c r="BR28" i="26" s="1"/>
  <c r="AQ31" i="22"/>
  <c r="AS31" i="26"/>
  <c r="BS31" i="26" s="1"/>
  <c r="BF31" i="26" s="1"/>
  <c r="C38" i="23"/>
  <c r="AS39" i="26"/>
  <c r="BS39" i="26" s="1"/>
  <c r="BF39" i="26" s="1"/>
  <c r="AS36" i="26"/>
  <c r="BS36" i="26" s="1"/>
  <c r="BF36" i="26" s="1"/>
  <c r="BA64" i="9"/>
  <c r="BO34" i="22"/>
  <c r="BB34" i="22" s="1"/>
  <c r="BD34" i="22" s="1"/>
  <c r="BO36" i="24"/>
  <c r="AQ36" i="24"/>
  <c r="J36" i="26"/>
  <c r="K36" i="26"/>
  <c r="BO27" i="27"/>
  <c r="BQ27" i="27" s="1"/>
  <c r="AQ27" i="27"/>
  <c r="AQ23" i="26"/>
  <c r="AQ35" i="2"/>
  <c r="AU54" i="9"/>
  <c r="AU60" i="9"/>
  <c r="AU55" i="9"/>
  <c r="BA14" i="9"/>
  <c r="BA20" i="9"/>
  <c r="BA16" i="9"/>
  <c r="BA31" i="9"/>
  <c r="AV90" i="9"/>
  <c r="AY65" i="9"/>
  <c r="AK88" i="9"/>
  <c r="AQ37" i="28"/>
  <c r="AQ23" i="2"/>
  <c r="AR25" i="26"/>
  <c r="BR25" i="26" s="1"/>
  <c r="AR37" i="26"/>
  <c r="BR37" i="26" s="1"/>
  <c r="BE37" i="26" s="1"/>
  <c r="AQ24" i="22"/>
  <c r="AJ95" i="9"/>
  <c r="B37" i="23"/>
  <c r="AZ49" i="9"/>
  <c r="AZ64" i="9"/>
  <c r="AZ53" i="9"/>
  <c r="AZ36" i="9"/>
  <c r="AZ12" i="9" s="1"/>
  <c r="AZ29" i="9"/>
  <c r="AZ30" i="9"/>
  <c r="AZ20" i="9"/>
  <c r="AR46" i="24"/>
  <c r="BR46" i="24" s="1"/>
  <c r="BE46" i="24" s="1"/>
  <c r="BE22" i="24" s="1"/>
  <c r="AS24" i="24"/>
  <c r="BS24" i="24" s="1"/>
  <c r="M30" i="20"/>
  <c r="AL41" i="20" s="1"/>
  <c r="AQ41" i="23"/>
  <c r="BO41" i="23"/>
  <c r="BB41" i="23" s="1"/>
  <c r="BD41" i="23" s="1"/>
  <c r="AS23" i="24"/>
  <c r="BS23" i="24" s="1"/>
  <c r="BF23" i="24" s="1"/>
  <c r="CF2" i="9"/>
  <c r="J30" i="22"/>
  <c r="AE20" i="22" s="1"/>
  <c r="AY20" i="22" s="1"/>
  <c r="BQ32" i="26"/>
  <c r="BO38" i="27"/>
  <c r="BQ38" i="27" s="1"/>
  <c r="AQ38" i="27"/>
  <c r="AQ39" i="20"/>
  <c r="BQ24" i="26"/>
  <c r="AG91" i="9"/>
  <c r="AG107" i="9"/>
  <c r="AG83" i="9" s="1"/>
  <c r="AG96" i="9"/>
  <c r="AG97" i="9"/>
  <c r="AJ103" i="9"/>
  <c r="AJ94" i="9"/>
  <c r="AJ106" i="9"/>
  <c r="AJ100" i="9"/>
  <c r="AJ107" i="9"/>
  <c r="AJ83" i="9" s="1"/>
  <c r="AQ25" i="23"/>
  <c r="AJ87" i="9"/>
  <c r="C11" i="23"/>
  <c r="AV89" i="9"/>
  <c r="AQ38" i="26"/>
  <c r="J38" i="23"/>
  <c r="I38" i="23" s="1"/>
  <c r="AW67" i="9"/>
  <c r="AW65" i="9"/>
  <c r="BQ25" i="28"/>
  <c r="BQ44" i="21"/>
  <c r="AQ32" i="23"/>
  <c r="AG98" i="9"/>
  <c r="AQ39" i="24"/>
  <c r="AZ54" i="9"/>
  <c r="AS37" i="26"/>
  <c r="BS37" i="26" s="1"/>
  <c r="BF37" i="26" s="1"/>
  <c r="AQ30" i="27"/>
  <c r="B38" i="23"/>
  <c r="AZ35" i="9"/>
  <c r="AQ24" i="20"/>
  <c r="AR34" i="2"/>
  <c r="BR34" i="2" s="1"/>
  <c r="BE34" i="2" s="1"/>
  <c r="AS35" i="2"/>
  <c r="BS35" i="2" s="1"/>
  <c r="BF35" i="2" s="1"/>
  <c r="AR29" i="2"/>
  <c r="AR45" i="2"/>
  <c r="BR45" i="2" s="1"/>
  <c r="BE45" i="2" s="1"/>
  <c r="AR40" i="2"/>
  <c r="AR44" i="2"/>
  <c r="BR44" i="2" s="1"/>
  <c r="BE44" i="2" s="1"/>
  <c r="AR30" i="2"/>
  <c r="BR30" i="2" s="1"/>
  <c r="AO47" i="2"/>
  <c r="AQ30" i="21"/>
  <c r="BO23" i="22"/>
  <c r="AQ23" i="22"/>
  <c r="BO31" i="24"/>
  <c r="AQ31" i="24"/>
  <c r="AO2" i="9"/>
  <c r="B36" i="23"/>
  <c r="AY70" i="9"/>
  <c r="AY61" i="9"/>
  <c r="AY69" i="9"/>
  <c r="AR30" i="26"/>
  <c r="AG87" i="9"/>
  <c r="AQ28" i="24"/>
  <c r="AS44" i="26"/>
  <c r="BS44" i="26" s="1"/>
  <c r="AG105" i="9"/>
  <c r="AQ33" i="27"/>
  <c r="AS40" i="26"/>
  <c r="BS40" i="26" s="1"/>
  <c r="BF40" i="26" s="1"/>
  <c r="AJ89" i="9"/>
  <c r="AZ34" i="9"/>
  <c r="BA81" i="9"/>
  <c r="AQ32" i="28"/>
  <c r="AS36" i="24"/>
  <c r="BS36" i="24" s="1"/>
  <c r="BF36" i="24" s="1"/>
  <c r="AR23" i="24"/>
  <c r="BR23" i="24" s="1"/>
  <c r="AP47" i="22"/>
  <c r="AS27" i="9"/>
  <c r="AS23" i="9"/>
  <c r="AQ34" i="24"/>
  <c r="K37" i="24"/>
  <c r="C11" i="24"/>
  <c r="CE2" i="9"/>
  <c r="BO44" i="24"/>
  <c r="AQ44" i="24"/>
  <c r="CL39" i="9"/>
  <c r="CL8" i="9" s="1"/>
  <c r="F78" i="9" s="1"/>
  <c r="AQ40" i="27"/>
  <c r="AR40" i="26"/>
  <c r="BP35" i="28"/>
  <c r="AQ35" i="28"/>
  <c r="AH2" i="9"/>
  <c r="J37" i="26"/>
  <c r="G37" i="26" s="1"/>
  <c r="BZ19" i="22"/>
  <c r="Z96" i="22" s="1"/>
  <c r="AG102" i="9"/>
  <c r="AJ88" i="9"/>
  <c r="K38" i="23"/>
  <c r="BP46" i="20"/>
  <c r="BD25" i="28"/>
  <c r="AQ29" i="20"/>
  <c r="AP22" i="20"/>
  <c r="AG103" i="9"/>
  <c r="AO20" i="26"/>
  <c r="BQ28" i="21"/>
  <c r="AS38" i="26"/>
  <c r="BS38" i="26" s="1"/>
  <c r="BF38" i="26" s="1"/>
  <c r="AS41" i="20"/>
  <c r="BS41" i="20" s="1"/>
  <c r="BF41" i="20" s="1"/>
  <c r="AO95" i="9"/>
  <c r="AQ43" i="20"/>
  <c r="AN100" i="9"/>
  <c r="AN85" i="9"/>
  <c r="AR17" i="9"/>
  <c r="BB17" i="9" s="1"/>
  <c r="BD17" i="9" s="1"/>
  <c r="AR26" i="9"/>
  <c r="BB26" i="9" s="1"/>
  <c r="BD26" i="9" s="1"/>
  <c r="AR18" i="9"/>
  <c r="BB18" i="9" s="1"/>
  <c r="BD18" i="9" s="1"/>
  <c r="AR9" i="9"/>
  <c r="AS40" i="24"/>
  <c r="BS40" i="24" s="1"/>
  <c r="BF40" i="24" s="1"/>
  <c r="AQ33" i="24"/>
  <c r="BP37" i="27"/>
  <c r="BQ37" i="27" s="1"/>
  <c r="AY58" i="9"/>
  <c r="AS34" i="26"/>
  <c r="BS34" i="26" s="1"/>
  <c r="BF34" i="26" s="1"/>
  <c r="AG89" i="9"/>
  <c r="AQ36" i="25"/>
  <c r="BQ28" i="25"/>
  <c r="AG85" i="9"/>
  <c r="AW64" i="9"/>
  <c r="AQ36" i="2"/>
  <c r="AQ44" i="21"/>
  <c r="AS81" i="9"/>
  <c r="AS99" i="9" s="1"/>
  <c r="BZ19" i="26"/>
  <c r="Z96" i="26" s="1"/>
  <c r="I18" i="9"/>
  <c r="AR39" i="26"/>
  <c r="BR39" i="26" s="1"/>
  <c r="AO101" i="9"/>
  <c r="AR35" i="22"/>
  <c r="AR29" i="22"/>
  <c r="AR43" i="22"/>
  <c r="BR43" i="22" s="1"/>
  <c r="BE43" i="22" s="1"/>
  <c r="AR30" i="22"/>
  <c r="AR24" i="22"/>
  <c r="BR24" i="22" s="1"/>
  <c r="BE24" i="22" s="1"/>
  <c r="AR45" i="22"/>
  <c r="BR45" i="22" s="1"/>
  <c r="BE45" i="22" s="1"/>
  <c r="AS33" i="22"/>
  <c r="BS33" i="22" s="1"/>
  <c r="BF33" i="22" s="1"/>
  <c r="AR34" i="22"/>
  <c r="AV53" i="9"/>
  <c r="AV58" i="9"/>
  <c r="AV65" i="9"/>
  <c r="AV70" i="9"/>
  <c r="AQ28" i="21"/>
  <c r="AQ37" i="20"/>
  <c r="C38" i="20"/>
  <c r="BA49" i="9"/>
  <c r="BA57" i="9"/>
  <c r="BA58" i="9"/>
  <c r="BO39" i="22"/>
  <c r="BQ39" i="22" s="1"/>
  <c r="AQ42" i="21"/>
  <c r="AQ41" i="28"/>
  <c r="BD28" i="21"/>
  <c r="AY63" i="9"/>
  <c r="J37" i="24"/>
  <c r="G37" i="24" s="1"/>
  <c r="AG92" i="9"/>
  <c r="AF100" i="9"/>
  <c r="AP100" i="9" s="1"/>
  <c r="W28" i="9" s="1"/>
  <c r="BD39" i="24"/>
  <c r="AR46" i="26"/>
  <c r="B37" i="24"/>
  <c r="AJ84" i="9"/>
  <c r="AJ108" i="9" s="1"/>
  <c r="AR27" i="25"/>
  <c r="BR27" i="25" s="1"/>
  <c r="AR33" i="25"/>
  <c r="BR33" i="25" s="1"/>
  <c r="BE33" i="25" s="1"/>
  <c r="AS24" i="25"/>
  <c r="BS24" i="25" s="1"/>
  <c r="BF24" i="25" s="1"/>
  <c r="AR23" i="25"/>
  <c r="BR23" i="25" s="1"/>
  <c r="AR40" i="25"/>
  <c r="AW29" i="9"/>
  <c r="AW16" i="9"/>
  <c r="AW34" i="9"/>
  <c r="BQ26" i="22"/>
  <c r="BB26" i="22"/>
  <c r="BD26" i="22" s="1"/>
  <c r="AS38" i="24"/>
  <c r="BS38" i="24" s="1"/>
  <c r="AS28" i="24"/>
  <c r="BS28" i="24" s="1"/>
  <c r="BF28" i="24" s="1"/>
  <c r="BO43" i="2"/>
  <c r="BB43" i="2" s="1"/>
  <c r="BD43" i="2" s="1"/>
  <c r="AQ43" i="2"/>
  <c r="AR23" i="23"/>
  <c r="BR23" i="23" s="1"/>
  <c r="BE23" i="23" s="1"/>
  <c r="AS31" i="28"/>
  <c r="BS31" i="28" s="1"/>
  <c r="BF31" i="28" s="1"/>
  <c r="AJ2" i="9"/>
  <c r="BD43" i="21"/>
  <c r="BQ39" i="24"/>
  <c r="AQ40" i="24"/>
  <c r="AS46" i="27"/>
  <c r="AS42" i="28"/>
  <c r="BS42" i="28" s="1"/>
  <c r="BF42" i="28" s="1"/>
  <c r="CI2" i="9"/>
  <c r="J29" i="24"/>
  <c r="AG20" i="24" s="1"/>
  <c r="BZ19" i="24" s="1"/>
  <c r="Z96" i="24" s="1"/>
  <c r="BD34" i="27"/>
  <c r="B38" i="21"/>
  <c r="AS32" i="23"/>
  <c r="BS32" i="23" s="1"/>
  <c r="BF32" i="23" s="1"/>
  <c r="AT19" i="9"/>
  <c r="AR28" i="23"/>
  <c r="AR26" i="28"/>
  <c r="AR30" i="23"/>
  <c r="AT30" i="23" s="1"/>
  <c r="B37" i="28"/>
  <c r="AS46" i="23"/>
  <c r="AS22" i="23" s="1"/>
  <c r="AT22" i="23" s="1"/>
  <c r="AR31" i="28"/>
  <c r="AT26" i="9"/>
  <c r="AS29" i="23"/>
  <c r="BS29" i="23" s="1"/>
  <c r="BF29" i="23" s="1"/>
  <c r="AS39" i="28"/>
  <c r="BS39" i="28" s="1"/>
  <c r="BD25" i="20"/>
  <c r="W9" i="9"/>
  <c r="AC78" i="9" s="1"/>
  <c r="AS27" i="23"/>
  <c r="BS27" i="23" s="1"/>
  <c r="BF27" i="23" s="1"/>
  <c r="BC45" i="27"/>
  <c r="BD45" i="27" s="1"/>
  <c r="BQ45" i="27"/>
  <c r="BQ23" i="21"/>
  <c r="BC23" i="21"/>
  <c r="BZ23" i="21" s="1"/>
  <c r="Z102" i="21" s="1"/>
  <c r="AP22" i="2"/>
  <c r="BO23" i="28"/>
  <c r="AO47" i="28"/>
  <c r="BO31" i="28"/>
  <c r="AQ31" i="28"/>
  <c r="BO29" i="25"/>
  <c r="AQ29" i="25"/>
  <c r="AS36" i="20"/>
  <c r="BS36" i="20" s="1"/>
  <c r="AU9" i="9"/>
  <c r="AU36" i="9"/>
  <c r="AU12" i="9" s="1"/>
  <c r="AU33" i="9"/>
  <c r="AU29" i="9"/>
  <c r="AU14" i="9"/>
  <c r="AU25" i="9"/>
  <c r="AU26" i="9"/>
  <c r="AU23" i="9"/>
  <c r="AU16" i="9"/>
  <c r="AU24" i="9"/>
  <c r="AU35" i="9"/>
  <c r="AU15" i="9"/>
  <c r="AU22" i="9"/>
  <c r="AU30" i="9"/>
  <c r="AU27" i="9"/>
  <c r="AU18" i="9"/>
  <c r="AU17" i="9"/>
  <c r="AU19" i="9"/>
  <c r="AU31" i="9"/>
  <c r="AU13" i="9"/>
  <c r="AU37" i="9" s="1"/>
  <c r="AU34" i="9"/>
  <c r="BO44" i="27"/>
  <c r="AQ44" i="27"/>
  <c r="AS59" i="9"/>
  <c r="AS48" i="9"/>
  <c r="AS72" i="9" s="1"/>
  <c r="AS57" i="9"/>
  <c r="AS68" i="9"/>
  <c r="AS69" i="9"/>
  <c r="AS53" i="9"/>
  <c r="AS51" i="9"/>
  <c r="AS56" i="9"/>
  <c r="AS49" i="9"/>
  <c r="AS67" i="9"/>
  <c r="AS66" i="9"/>
  <c r="AS61" i="9"/>
  <c r="AS52" i="9"/>
  <c r="AS54" i="9"/>
  <c r="AS63" i="9"/>
  <c r="AS70" i="9"/>
  <c r="AS60" i="9"/>
  <c r="AS62" i="9"/>
  <c r="AS50" i="9"/>
  <c r="AS64" i="9"/>
  <c r="AS65" i="9"/>
  <c r="AS71" i="9"/>
  <c r="AS47" i="9" s="1"/>
  <c r="AS58" i="9"/>
  <c r="BP46" i="2"/>
  <c r="BO42" i="24"/>
  <c r="AQ42" i="24"/>
  <c r="BB24" i="25"/>
  <c r="AS37" i="20"/>
  <c r="BS37" i="20" s="1"/>
  <c r="BF37" i="20" s="1"/>
  <c r="AT48" i="9"/>
  <c r="AT72" i="9" s="1"/>
  <c r="AT67" i="9"/>
  <c r="AX60" i="9"/>
  <c r="AT69" i="9"/>
  <c r="BO40" i="28"/>
  <c r="BB40" i="28" s="1"/>
  <c r="BD40" i="28" s="1"/>
  <c r="AQ40" i="28"/>
  <c r="AP47" i="26"/>
  <c r="AQ38" i="24"/>
  <c r="BO35" i="2"/>
  <c r="AT62" i="9"/>
  <c r="BO41" i="21"/>
  <c r="AQ41" i="21"/>
  <c r="J29" i="21"/>
  <c r="AG20" i="21" s="1"/>
  <c r="M30" i="21"/>
  <c r="J30" i="21"/>
  <c r="AE20" i="21" s="1"/>
  <c r="BO26" i="2"/>
  <c r="AQ26" i="2"/>
  <c r="BP41" i="25"/>
  <c r="AQ41" i="25"/>
  <c r="BO23" i="23"/>
  <c r="AO47" i="23"/>
  <c r="AF102" i="9"/>
  <c r="AP102" i="9" s="1"/>
  <c r="W30" i="9" s="1"/>
  <c r="AF90" i="9"/>
  <c r="AP90" i="9" s="1"/>
  <c r="W18" i="9" s="1"/>
  <c r="AF103" i="9"/>
  <c r="AP103" i="9" s="1"/>
  <c r="W31" i="9" s="1"/>
  <c r="AF89" i="9"/>
  <c r="AP89" i="9" s="1"/>
  <c r="W17" i="9" s="1"/>
  <c r="AF85" i="9"/>
  <c r="AP85" i="9" s="1"/>
  <c r="W13" i="9" s="1"/>
  <c r="AF105" i="9"/>
  <c r="AP105" i="9" s="1"/>
  <c r="W33" i="9" s="1"/>
  <c r="AF87" i="9"/>
  <c r="AP87" i="9" s="1"/>
  <c r="W15" i="9" s="1"/>
  <c r="AF107" i="9"/>
  <c r="AF92" i="9"/>
  <c r="AP92" i="9" s="1"/>
  <c r="W20" i="9" s="1"/>
  <c r="BP24" i="28"/>
  <c r="AP47" i="28"/>
  <c r="AR25" i="25"/>
  <c r="BR25" i="25" s="1"/>
  <c r="K38" i="20"/>
  <c r="AQ35" i="21"/>
  <c r="AQ38" i="23"/>
  <c r="AX51" i="9"/>
  <c r="AT64" i="9"/>
  <c r="BO45" i="26"/>
  <c r="AQ45" i="26"/>
  <c r="BO34" i="2"/>
  <c r="AQ34" i="2"/>
  <c r="J38" i="21"/>
  <c r="AL96" i="9"/>
  <c r="AL100" i="9"/>
  <c r="AL85" i="9"/>
  <c r="AL91" i="9"/>
  <c r="AL86" i="9"/>
  <c r="AL102" i="9"/>
  <c r="AL105" i="9"/>
  <c r="AL95" i="9"/>
  <c r="AL90" i="9"/>
  <c r="BO30" i="26"/>
  <c r="BQ30" i="26" s="1"/>
  <c r="AR42" i="20"/>
  <c r="K36" i="21"/>
  <c r="AL89" i="9"/>
  <c r="AQ33" i="25"/>
  <c r="BO36" i="26"/>
  <c r="BQ36" i="26" s="1"/>
  <c r="AF95" i="9"/>
  <c r="AP95" i="9" s="1"/>
  <c r="W23" i="9" s="1"/>
  <c r="AX63" i="9"/>
  <c r="M30" i="24"/>
  <c r="AM26" i="24" s="1"/>
  <c r="BB30" i="27"/>
  <c r="BD30" i="27" s="1"/>
  <c r="BQ30" i="27"/>
  <c r="AX9" i="9"/>
  <c r="AQ45" i="27"/>
  <c r="BO32" i="20"/>
  <c r="AQ32" i="20"/>
  <c r="AM84" i="9"/>
  <c r="AM108" i="9" s="1"/>
  <c r="AM104" i="9"/>
  <c r="AM98" i="9"/>
  <c r="AM103" i="9"/>
  <c r="AM100" i="9"/>
  <c r="AM90" i="9"/>
  <c r="AM87" i="9"/>
  <c r="AM86" i="9"/>
  <c r="AM89" i="9"/>
  <c r="AM93" i="9"/>
  <c r="AM85" i="9"/>
  <c r="AM92" i="9"/>
  <c r="AR28" i="25"/>
  <c r="BO44" i="26"/>
  <c r="AQ44" i="26"/>
  <c r="M30" i="27"/>
  <c r="AL41" i="27" s="1"/>
  <c r="J29" i="27"/>
  <c r="AG20" i="27" s="1"/>
  <c r="J30" i="27"/>
  <c r="AE20" i="27" s="1"/>
  <c r="BY19" i="27" s="1"/>
  <c r="Y96" i="27" s="1"/>
  <c r="BO30" i="24"/>
  <c r="AQ30" i="24"/>
  <c r="AR26" i="25"/>
  <c r="BR26" i="25" s="1"/>
  <c r="BE26" i="25" s="1"/>
  <c r="AS15" i="9"/>
  <c r="AS26" i="9"/>
  <c r="AS19" i="9"/>
  <c r="AS17" i="9"/>
  <c r="AS25" i="9"/>
  <c r="AS21" i="9"/>
  <c r="AS16" i="9"/>
  <c r="AS24" i="9"/>
  <c r="AS34" i="9"/>
  <c r="AS9" i="9"/>
  <c r="AS30" i="9"/>
  <c r="AS22" i="9"/>
  <c r="AS13" i="9"/>
  <c r="AS37" i="9" s="1"/>
  <c r="AS33" i="9"/>
  <c r="AS35" i="9"/>
  <c r="AS36" i="9"/>
  <c r="AS12" i="9" s="1"/>
  <c r="BO41" i="24"/>
  <c r="AQ41" i="24"/>
  <c r="BO38" i="20"/>
  <c r="AQ38" i="20"/>
  <c r="AP22" i="24"/>
  <c r="AQ22" i="24" s="1"/>
  <c r="BP46" i="24"/>
  <c r="BP45" i="24"/>
  <c r="AQ45" i="24"/>
  <c r="K36" i="22"/>
  <c r="J37" i="22"/>
  <c r="I37" i="22" s="1"/>
  <c r="J36" i="22"/>
  <c r="G36" i="22" s="1"/>
  <c r="B37" i="22"/>
  <c r="C38" i="22"/>
  <c r="BB35" i="27"/>
  <c r="BD35" i="27" s="1"/>
  <c r="BQ35" i="27"/>
  <c r="BE31" i="21"/>
  <c r="BG31" i="21" s="1"/>
  <c r="BT31" i="21"/>
  <c r="AS38" i="21"/>
  <c r="BS38" i="21" s="1"/>
  <c r="BF38" i="21" s="1"/>
  <c r="AS26" i="21"/>
  <c r="BS26" i="21" s="1"/>
  <c r="BF26" i="21" s="1"/>
  <c r="AS36" i="21"/>
  <c r="BS36" i="21" s="1"/>
  <c r="BF36" i="21" s="1"/>
  <c r="AR27" i="21"/>
  <c r="BR27" i="21" s="1"/>
  <c r="AR38" i="21"/>
  <c r="AR46" i="21"/>
  <c r="AR22" i="21" s="1"/>
  <c r="AR23" i="21"/>
  <c r="AS23" i="21"/>
  <c r="AS28" i="21"/>
  <c r="BS28" i="21" s="1"/>
  <c r="BF28" i="21" s="1"/>
  <c r="AS30" i="21"/>
  <c r="BS30" i="21" s="1"/>
  <c r="BF30" i="21" s="1"/>
  <c r="AR28" i="21"/>
  <c r="AS34" i="21"/>
  <c r="BS34" i="21" s="1"/>
  <c r="BF34" i="21" s="1"/>
  <c r="AS44" i="21"/>
  <c r="BS44" i="21" s="1"/>
  <c r="BF44" i="21" s="1"/>
  <c r="AR36" i="21"/>
  <c r="AR34" i="21"/>
  <c r="BR34" i="21" s="1"/>
  <c r="AS33" i="21"/>
  <c r="BS33" i="21" s="1"/>
  <c r="AR24" i="21"/>
  <c r="BB39" i="2"/>
  <c r="BD39" i="2" s="1"/>
  <c r="BQ38" i="22"/>
  <c r="AQ40" i="25"/>
  <c r="AS29" i="21"/>
  <c r="BS29" i="21" s="1"/>
  <c r="BF29" i="21" s="1"/>
  <c r="AS37" i="21"/>
  <c r="AQ32" i="27"/>
  <c r="AR40" i="20"/>
  <c r="AF93" i="9"/>
  <c r="AP93" i="9" s="1"/>
  <c r="W21" i="9" s="1"/>
  <c r="BO31" i="25"/>
  <c r="AQ31" i="25"/>
  <c r="BP34" i="26"/>
  <c r="AQ34" i="26"/>
  <c r="AR33" i="24"/>
  <c r="AR36" i="24"/>
  <c r="AS29" i="24"/>
  <c r="BS29" i="24" s="1"/>
  <c r="BF29" i="24" s="1"/>
  <c r="AR26" i="24"/>
  <c r="AS33" i="24"/>
  <c r="BS33" i="24" s="1"/>
  <c r="BF33" i="24" s="1"/>
  <c r="AR27" i="24"/>
  <c r="AS43" i="24"/>
  <c r="BS43" i="24" s="1"/>
  <c r="BF43" i="24" s="1"/>
  <c r="AS39" i="24"/>
  <c r="AR29" i="24"/>
  <c r="AR31" i="24"/>
  <c r="AR37" i="24"/>
  <c r="AS30" i="24"/>
  <c r="BS30" i="24" s="1"/>
  <c r="BF30" i="24" s="1"/>
  <c r="AS25" i="24"/>
  <c r="AR45" i="24"/>
  <c r="AS45" i="24"/>
  <c r="BS45" i="24" s="1"/>
  <c r="BF45" i="24" s="1"/>
  <c r="AS34" i="24"/>
  <c r="BS34" i="24" s="1"/>
  <c r="BF34" i="24" s="1"/>
  <c r="AR34" i="24"/>
  <c r="AS27" i="24"/>
  <c r="BS27" i="24" s="1"/>
  <c r="BF27" i="24" s="1"/>
  <c r="AR35" i="24"/>
  <c r="AR30" i="24"/>
  <c r="AS44" i="24"/>
  <c r="BS44" i="24" s="1"/>
  <c r="BF44" i="24" s="1"/>
  <c r="BO28" i="26"/>
  <c r="AQ28" i="26"/>
  <c r="AR45" i="20"/>
  <c r="AO47" i="27"/>
  <c r="BO25" i="2"/>
  <c r="AQ25" i="2"/>
  <c r="BO27" i="20"/>
  <c r="AQ27" i="20"/>
  <c r="BO24" i="24"/>
  <c r="AQ24" i="24"/>
  <c r="BD38" i="22"/>
  <c r="AQ38" i="21"/>
  <c r="AR37" i="25"/>
  <c r="AR42" i="21"/>
  <c r="AQ23" i="23"/>
  <c r="AR25" i="21"/>
  <c r="BP24" i="2"/>
  <c r="BQ24" i="2" s="1"/>
  <c r="AR23" i="20"/>
  <c r="AM88" i="9"/>
  <c r="AQ36" i="20"/>
  <c r="AF2" i="9"/>
  <c r="BQ40" i="25"/>
  <c r="BO43" i="20"/>
  <c r="BQ43" i="20" s="1"/>
  <c r="AO96" i="9"/>
  <c r="AF106" i="9"/>
  <c r="AP106" i="9" s="1"/>
  <c r="W34" i="9" s="1"/>
  <c r="AX67" i="9"/>
  <c r="BO42" i="28"/>
  <c r="BB42" i="28" s="1"/>
  <c r="BD42" i="28" s="1"/>
  <c r="K38" i="22"/>
  <c r="AO100" i="9"/>
  <c r="AO107" i="9"/>
  <c r="AO83" i="9" s="1"/>
  <c r="BQ26" i="26"/>
  <c r="BQ30" i="28"/>
  <c r="AT61" i="9"/>
  <c r="BO27" i="23"/>
  <c r="AQ27" i="23"/>
  <c r="AZ61" i="9"/>
  <c r="AZ70" i="9"/>
  <c r="AZ68" i="9"/>
  <c r="AZ57" i="9"/>
  <c r="AZ59" i="9"/>
  <c r="AZ71" i="9"/>
  <c r="AZ47" i="9" s="1"/>
  <c r="AZ63" i="9"/>
  <c r="AZ55" i="9"/>
  <c r="AZ52" i="9"/>
  <c r="AQ46" i="21"/>
  <c r="BO46" i="21"/>
  <c r="AR40" i="24"/>
  <c r="AR46" i="20"/>
  <c r="AS46" i="24"/>
  <c r="BB33" i="25"/>
  <c r="BD33" i="25" s="1"/>
  <c r="BQ33" i="25"/>
  <c r="BO32" i="21"/>
  <c r="AQ32" i="21"/>
  <c r="AN94" i="9"/>
  <c r="AN95" i="9"/>
  <c r="AN104" i="9"/>
  <c r="AN87" i="9"/>
  <c r="AN88" i="9"/>
  <c r="AS27" i="25"/>
  <c r="BS27" i="25" s="1"/>
  <c r="BF27" i="25" s="1"/>
  <c r="AS31" i="24"/>
  <c r="BS31" i="24" s="1"/>
  <c r="BF31" i="24" s="1"/>
  <c r="J29" i="23"/>
  <c r="AG20" i="23" s="1"/>
  <c r="AS45" i="21"/>
  <c r="BS45" i="21" s="1"/>
  <c r="BF45" i="21" s="1"/>
  <c r="BO32" i="28"/>
  <c r="BO37" i="26"/>
  <c r="AQ37" i="26"/>
  <c r="BO40" i="26"/>
  <c r="AQ40" i="26"/>
  <c r="CJ2" i="9"/>
  <c r="CH2" i="9"/>
  <c r="AY13" i="9"/>
  <c r="AY37" i="9" s="1"/>
  <c r="AY19" i="9"/>
  <c r="AY26" i="9"/>
  <c r="AY23" i="9"/>
  <c r="AY32" i="9"/>
  <c r="AY21" i="9"/>
  <c r="AY25" i="9"/>
  <c r="AY9" i="9"/>
  <c r="AY33" i="9"/>
  <c r="AY35" i="9"/>
  <c r="AY24" i="9"/>
  <c r="AY29" i="9"/>
  <c r="AY22" i="9"/>
  <c r="AY16" i="9"/>
  <c r="AY28" i="9"/>
  <c r="AY18" i="9"/>
  <c r="AY31" i="9"/>
  <c r="AY17" i="9"/>
  <c r="AY15" i="9"/>
  <c r="AY36" i="9"/>
  <c r="AY12" i="9" s="1"/>
  <c r="AN2" i="9"/>
  <c r="BO31" i="26"/>
  <c r="AQ31" i="26"/>
  <c r="AS35" i="20"/>
  <c r="BS35" i="20" s="1"/>
  <c r="BF35" i="20" s="1"/>
  <c r="BB36" i="21"/>
  <c r="BD36" i="21" s="1"/>
  <c r="BQ36" i="21"/>
  <c r="AQ43" i="23"/>
  <c r="BQ42" i="27"/>
  <c r="AP22" i="21"/>
  <c r="AS34" i="25"/>
  <c r="BS34" i="25" s="1"/>
  <c r="BF34" i="25" s="1"/>
  <c r="AQ26" i="26"/>
  <c r="AP47" i="21"/>
  <c r="AQ35" i="27"/>
  <c r="K37" i="26"/>
  <c r="AQ27" i="2"/>
  <c r="BP27" i="2"/>
  <c r="AX26" i="9"/>
  <c r="AX23" i="9"/>
  <c r="AX27" i="9"/>
  <c r="AX24" i="9"/>
  <c r="AX16" i="9"/>
  <c r="AX22" i="9"/>
  <c r="AX19" i="9"/>
  <c r="AX21" i="9"/>
  <c r="AX15" i="9"/>
  <c r="AX13" i="9"/>
  <c r="AX37" i="9" s="1"/>
  <c r="AX30" i="9"/>
  <c r="AX31" i="9"/>
  <c r="C38" i="24"/>
  <c r="AF84" i="9"/>
  <c r="C36" i="27"/>
  <c r="K36" i="27"/>
  <c r="B37" i="27"/>
  <c r="J38" i="27"/>
  <c r="C38" i="27"/>
  <c r="C11" i="27"/>
  <c r="B38" i="27"/>
  <c r="J36" i="27"/>
  <c r="AQ39" i="28"/>
  <c r="BO39" i="28"/>
  <c r="BQ39" i="28" s="1"/>
  <c r="BO37" i="23"/>
  <c r="BO33" i="28"/>
  <c r="AQ33" i="28"/>
  <c r="AR44" i="21"/>
  <c r="AS46" i="21"/>
  <c r="BS46" i="21" s="1"/>
  <c r="AX18" i="9"/>
  <c r="AR26" i="20"/>
  <c r="BO37" i="20"/>
  <c r="AQ29" i="24"/>
  <c r="AQ36" i="23"/>
  <c r="AH106" i="9"/>
  <c r="AF96" i="9"/>
  <c r="AP96" i="9" s="1"/>
  <c r="W24" i="9" s="1"/>
  <c r="AQ41" i="2"/>
  <c r="AF88" i="9"/>
  <c r="AP88" i="9" s="1"/>
  <c r="W16" i="9" s="1"/>
  <c r="AQ42" i="23"/>
  <c r="C11" i="22"/>
  <c r="AQ35" i="22"/>
  <c r="AS32" i="20"/>
  <c r="BS32" i="20" s="1"/>
  <c r="BF32" i="20" s="1"/>
  <c r="C36" i="26"/>
  <c r="AR30" i="25"/>
  <c r="BC36" i="22"/>
  <c r="BD36" i="22" s="1"/>
  <c r="BQ36" i="22"/>
  <c r="AO22" i="26"/>
  <c r="AQ22" i="26" s="1"/>
  <c r="BO46" i="26"/>
  <c r="AQ46" i="26"/>
  <c r="BP23" i="23"/>
  <c r="AP47" i="23"/>
  <c r="AR42" i="24"/>
  <c r="BO44" i="23"/>
  <c r="AQ44" i="23"/>
  <c r="BO30" i="20"/>
  <c r="AQ30" i="20"/>
  <c r="BB42" i="25"/>
  <c r="BD42" i="25" s="1"/>
  <c r="BQ42" i="25"/>
  <c r="AQ45" i="20"/>
  <c r="BO45" i="20"/>
  <c r="BB45" i="20" s="1"/>
  <c r="BD45" i="20" s="1"/>
  <c r="AT66" i="9"/>
  <c r="AT53" i="9"/>
  <c r="AT59" i="9"/>
  <c r="AT50" i="9"/>
  <c r="AT58" i="9"/>
  <c r="AT57" i="9"/>
  <c r="AT54" i="9"/>
  <c r="AT52" i="9"/>
  <c r="AT63" i="9"/>
  <c r="BQ41" i="28"/>
  <c r="BB41" i="28"/>
  <c r="BD41" i="28" s="1"/>
  <c r="AT51" i="9"/>
  <c r="AX61" i="9"/>
  <c r="AX57" i="9"/>
  <c r="AX66" i="9"/>
  <c r="AX58" i="9"/>
  <c r="AX62" i="9"/>
  <c r="AX64" i="9"/>
  <c r="AX59" i="9"/>
  <c r="AX70" i="9"/>
  <c r="AX52" i="9"/>
  <c r="AX50" i="9"/>
  <c r="BO23" i="25"/>
  <c r="AQ23" i="25"/>
  <c r="BO40" i="24"/>
  <c r="BQ40" i="24" s="1"/>
  <c r="AR88" i="9"/>
  <c r="BB88" i="9" s="1"/>
  <c r="Y16" i="9" s="1"/>
  <c r="AR92" i="9"/>
  <c r="BB92" i="9" s="1"/>
  <c r="AT49" i="9"/>
  <c r="BO27" i="22"/>
  <c r="AQ27" i="22"/>
  <c r="BD38" i="24"/>
  <c r="BP45" i="28"/>
  <c r="BC45" i="28" s="1"/>
  <c r="AQ45" i="28"/>
  <c r="AL2" i="9"/>
  <c r="BQ35" i="21"/>
  <c r="AT56" i="9"/>
  <c r="AQ43" i="24"/>
  <c r="AQ23" i="28"/>
  <c r="AU32" i="9"/>
  <c r="AQ42" i="25"/>
  <c r="AF47" i="9"/>
  <c r="AP47" i="9" s="1"/>
  <c r="AP71" i="9"/>
  <c r="BP34" i="28"/>
  <c r="AQ34" i="28"/>
  <c r="J29" i="25"/>
  <c r="AG20" i="25" s="1"/>
  <c r="J30" i="25"/>
  <c r="AE20" i="25" s="1"/>
  <c r="BO45" i="2"/>
  <c r="BB45" i="2" s="1"/>
  <c r="BD45" i="2" s="1"/>
  <c r="AQ45" i="2"/>
  <c r="AS26" i="24"/>
  <c r="BS26" i="24" s="1"/>
  <c r="BF26" i="24" s="1"/>
  <c r="BO44" i="25"/>
  <c r="AQ44" i="25"/>
  <c r="AO106" i="9"/>
  <c r="AO102" i="9"/>
  <c r="AO98" i="9"/>
  <c r="AO87" i="9"/>
  <c r="AO90" i="9"/>
  <c r="AO86" i="9"/>
  <c r="AO94" i="9"/>
  <c r="AO104" i="9"/>
  <c r="AO88" i="9"/>
  <c r="BP29" i="27"/>
  <c r="AQ29" i="27"/>
  <c r="AR28" i="24"/>
  <c r="AR35" i="21"/>
  <c r="AM107" i="9"/>
  <c r="AM83" i="9" s="1"/>
  <c r="BO30" i="21"/>
  <c r="BQ30" i="21" s="1"/>
  <c r="AO85" i="9"/>
  <c r="AF97" i="9"/>
  <c r="AP97" i="9" s="1"/>
  <c r="W25" i="9" s="1"/>
  <c r="AI2" i="9"/>
  <c r="AS35" i="24"/>
  <c r="BS35" i="24" s="1"/>
  <c r="BF35" i="24" s="1"/>
  <c r="AQ32" i="25"/>
  <c r="BO32" i="25"/>
  <c r="BQ32" i="25" s="1"/>
  <c r="AS20" i="9"/>
  <c r="AO22" i="21"/>
  <c r="AS23" i="25"/>
  <c r="BS23" i="25" s="1"/>
  <c r="BF23" i="25" s="1"/>
  <c r="AS31" i="9"/>
  <c r="AN96" i="9"/>
  <c r="AS42" i="21"/>
  <c r="BS42" i="21" s="1"/>
  <c r="BF42" i="21" s="1"/>
  <c r="AL84" i="9"/>
  <c r="AL108" i="9" s="1"/>
  <c r="AX28" i="9"/>
  <c r="AP47" i="24"/>
  <c r="AS40" i="20"/>
  <c r="BS40" i="20" s="1"/>
  <c r="BF40" i="20" s="1"/>
  <c r="AM94" i="9"/>
  <c r="BB28" i="23"/>
  <c r="BD28" i="23" s="1"/>
  <c r="AN99" i="9"/>
  <c r="K38" i="24"/>
  <c r="AO99" i="9"/>
  <c r="AF101" i="9"/>
  <c r="AP101" i="9" s="1"/>
  <c r="W29" i="9" s="1"/>
  <c r="AX54" i="9"/>
  <c r="K37" i="28"/>
  <c r="B38" i="22"/>
  <c r="AR35" i="20"/>
  <c r="AO91" i="9"/>
  <c r="AQ30" i="23"/>
  <c r="BO42" i="22"/>
  <c r="AQ42" i="22"/>
  <c r="BO22" i="2"/>
  <c r="BB46" i="2"/>
  <c r="BB22" i="2" s="1"/>
  <c r="AT55" i="9"/>
  <c r="AY27" i="9"/>
  <c r="BD33" i="9"/>
  <c r="AQ39" i="2"/>
  <c r="BO44" i="20"/>
  <c r="BB44" i="20" s="1"/>
  <c r="BD44" i="20" s="1"/>
  <c r="AT68" i="9"/>
  <c r="G38" i="22"/>
  <c r="BO27" i="28"/>
  <c r="AQ27" i="28"/>
  <c r="BO42" i="20"/>
  <c r="AQ42" i="20"/>
  <c r="BO38" i="25"/>
  <c r="AQ38" i="25"/>
  <c r="AR44" i="25"/>
  <c r="BQ43" i="23"/>
  <c r="AR34" i="25"/>
  <c r="AS33" i="20"/>
  <c r="BS33" i="20" s="1"/>
  <c r="BF33" i="20" s="1"/>
  <c r="AO47" i="25"/>
  <c r="BP46" i="26"/>
  <c r="AT60" i="9"/>
  <c r="AY30" i="9"/>
  <c r="AQ25" i="20"/>
  <c r="BP24" i="27"/>
  <c r="BC24" i="27" s="1"/>
  <c r="AP47" i="27"/>
  <c r="BP28" i="27"/>
  <c r="BC28" i="27" s="1"/>
  <c r="BD28" i="27" s="1"/>
  <c r="AQ28" i="27"/>
  <c r="BO31" i="21"/>
  <c r="BB31" i="21" s="1"/>
  <c r="AQ31" i="21"/>
  <c r="BB45" i="25"/>
  <c r="BD45" i="25" s="1"/>
  <c r="BQ45" i="25"/>
  <c r="BC35" i="25"/>
  <c r="BD35" i="25" s="1"/>
  <c r="BQ35" i="25"/>
  <c r="BO37" i="24"/>
  <c r="AQ37" i="24"/>
  <c r="AQ25" i="27"/>
  <c r="BO25" i="27"/>
  <c r="C36" i="21"/>
  <c r="B36" i="21"/>
  <c r="B37" i="21"/>
  <c r="AR43" i="20"/>
  <c r="K37" i="21"/>
  <c r="AM2" i="9"/>
  <c r="B36" i="28"/>
  <c r="AS35" i="25"/>
  <c r="BS35" i="25" s="1"/>
  <c r="BF35" i="25" s="1"/>
  <c r="AX35" i="9"/>
  <c r="J36" i="21"/>
  <c r="AL99" i="9"/>
  <c r="AQ43" i="21"/>
  <c r="M30" i="22"/>
  <c r="AL27" i="22" s="1"/>
  <c r="AY27" i="22" s="1"/>
  <c r="AQ45" i="25"/>
  <c r="AX34" i="9"/>
  <c r="AQ26" i="28"/>
  <c r="AV27" i="9"/>
  <c r="AV23" i="9"/>
  <c r="AV15" i="9"/>
  <c r="AV17" i="9"/>
  <c r="AV35" i="9"/>
  <c r="AV26" i="9"/>
  <c r="AV20" i="9"/>
  <c r="AV14" i="9"/>
  <c r="AV24" i="9"/>
  <c r="AV9" i="9"/>
  <c r="AV21" i="9"/>
  <c r="AV32" i="9"/>
  <c r="AV36" i="9"/>
  <c r="AV12" i="9" s="1"/>
  <c r="AV18" i="9"/>
  <c r="AV22" i="9"/>
  <c r="AV34" i="9"/>
  <c r="AV25" i="9"/>
  <c r="AV28" i="9"/>
  <c r="AV33" i="9"/>
  <c r="AV30" i="9"/>
  <c r="AV29" i="9"/>
  <c r="AV13" i="9"/>
  <c r="AV37" i="9" s="1"/>
  <c r="AV19" i="9"/>
  <c r="AV31" i="9"/>
  <c r="AV16" i="9"/>
  <c r="AH92" i="9"/>
  <c r="AH97" i="9"/>
  <c r="AH85" i="9"/>
  <c r="AH98" i="9"/>
  <c r="AH105" i="9"/>
  <c r="AH84" i="9"/>
  <c r="AH108" i="9" s="1"/>
  <c r="AH86" i="9"/>
  <c r="AH89" i="9"/>
  <c r="AH104" i="9"/>
  <c r="AH102" i="9"/>
  <c r="AH95" i="9"/>
  <c r="AH88" i="9"/>
  <c r="AH91" i="9"/>
  <c r="AH99" i="9"/>
  <c r="AH103" i="9"/>
  <c r="AH87" i="9"/>
  <c r="AH107" i="9"/>
  <c r="AH83" i="9" s="1"/>
  <c r="AQ44" i="2"/>
  <c r="BP44" i="2"/>
  <c r="BB40" i="20"/>
  <c r="BD40" i="20" s="1"/>
  <c r="BQ40" i="20"/>
  <c r="C37" i="21"/>
  <c r="AY81" i="9"/>
  <c r="AY105" i="9" s="1"/>
  <c r="AS28" i="25"/>
  <c r="BS28" i="25" s="1"/>
  <c r="BF28" i="25" s="1"/>
  <c r="AS29" i="9"/>
  <c r="AM106" i="9"/>
  <c r="K37" i="27"/>
  <c r="BQ38" i="24"/>
  <c r="AX20" i="9"/>
  <c r="AM96" i="9"/>
  <c r="BR35" i="23"/>
  <c r="BE35" i="23" s="1"/>
  <c r="BQ25" i="20"/>
  <c r="B38" i="24"/>
  <c r="AO105" i="9"/>
  <c r="AF94" i="9"/>
  <c r="AP94" i="9" s="1"/>
  <c r="W22" i="9" s="1"/>
  <c r="AX71" i="9"/>
  <c r="AX47" i="9" s="1"/>
  <c r="J38" i="28"/>
  <c r="G38" i="28" s="1"/>
  <c r="AQ40" i="21"/>
  <c r="C37" i="22"/>
  <c r="AN89" i="9"/>
  <c r="AV97" i="9"/>
  <c r="AV102" i="9"/>
  <c r="AV98" i="9"/>
  <c r="AV107" i="9"/>
  <c r="AV83" i="9" s="1"/>
  <c r="AR25" i="24"/>
  <c r="BO41" i="20"/>
  <c r="AQ41" i="20"/>
  <c r="AR43" i="25"/>
  <c r="BO45" i="22"/>
  <c r="AQ45" i="22"/>
  <c r="AQ46" i="23"/>
  <c r="AO22" i="23"/>
  <c r="AQ22" i="23" s="1"/>
  <c r="BO46" i="23"/>
  <c r="BC23" i="26"/>
  <c r="BO29" i="22"/>
  <c r="AQ29" i="22"/>
  <c r="AQ28" i="22"/>
  <c r="BO28" i="22"/>
  <c r="AQ30" i="2"/>
  <c r="BO30" i="2"/>
  <c r="BB30" i="2" s="1"/>
  <c r="BD30" i="2" s="1"/>
  <c r="AV51" i="9"/>
  <c r="AV50" i="9"/>
  <c r="AV54" i="9"/>
  <c r="AV63" i="9"/>
  <c r="AQ43" i="27"/>
  <c r="BP43" i="27"/>
  <c r="AR24" i="20"/>
  <c r="AS24" i="20"/>
  <c r="BS24" i="20" s="1"/>
  <c r="BF24" i="20" s="1"/>
  <c r="AS25" i="20"/>
  <c r="BS25" i="20" s="1"/>
  <c r="AS43" i="20"/>
  <c r="BS43" i="20" s="1"/>
  <c r="BF43" i="20" s="1"/>
  <c r="AR36" i="20"/>
  <c r="BR36" i="20" s="1"/>
  <c r="BE36" i="20" s="1"/>
  <c r="AR30" i="20"/>
  <c r="BR30" i="20" s="1"/>
  <c r="BE30" i="20" s="1"/>
  <c r="AR25" i="20"/>
  <c r="BR25" i="20" s="1"/>
  <c r="BE25" i="20" s="1"/>
  <c r="AR37" i="20"/>
  <c r="AS46" i="20"/>
  <c r="AS22" i="20" s="1"/>
  <c r="AR39" i="20"/>
  <c r="BR39" i="20" s="1"/>
  <c r="AS29" i="20"/>
  <c r="BS29" i="20" s="1"/>
  <c r="BF29" i="20" s="1"/>
  <c r="AR27" i="20"/>
  <c r="BR27" i="20" s="1"/>
  <c r="AS34" i="20"/>
  <c r="AS39" i="20"/>
  <c r="BS39" i="20" s="1"/>
  <c r="BF39" i="20" s="1"/>
  <c r="AS38" i="20"/>
  <c r="BS38" i="20" s="1"/>
  <c r="BF38" i="20" s="1"/>
  <c r="AS30" i="20"/>
  <c r="BS30" i="20" s="1"/>
  <c r="AS26" i="20"/>
  <c r="BS26" i="20" s="1"/>
  <c r="BF26" i="20" s="1"/>
  <c r="AS45" i="20"/>
  <c r="BS45" i="20" s="1"/>
  <c r="BF45" i="20" s="1"/>
  <c r="AR32" i="20"/>
  <c r="BR32" i="20" s="1"/>
  <c r="BE32" i="20" s="1"/>
  <c r="AR33" i="20"/>
  <c r="AS28" i="20"/>
  <c r="BS28" i="20" s="1"/>
  <c r="BF28" i="20" s="1"/>
  <c r="AR41" i="20"/>
  <c r="AS31" i="20"/>
  <c r="BS31" i="20" s="1"/>
  <c r="BF31" i="20" s="1"/>
  <c r="BO43" i="26"/>
  <c r="BB43" i="26" s="1"/>
  <c r="BD43" i="26" s="1"/>
  <c r="AQ43" i="26"/>
  <c r="AS23" i="20"/>
  <c r="BS23" i="20" s="1"/>
  <c r="BF23" i="20" s="1"/>
  <c r="BP46" i="27"/>
  <c r="AP22" i="27"/>
  <c r="AQ22" i="27" s="1"/>
  <c r="AR31" i="20"/>
  <c r="BR31" i="20" s="1"/>
  <c r="BE31" i="20" s="1"/>
  <c r="AX53" i="9"/>
  <c r="AO47" i="20"/>
  <c r="AP47" i="2"/>
  <c r="AS46" i="25"/>
  <c r="AS44" i="25"/>
  <c r="BS44" i="25" s="1"/>
  <c r="BF44" i="25" s="1"/>
  <c r="AS32" i="25"/>
  <c r="BS32" i="25" s="1"/>
  <c r="AS42" i="25"/>
  <c r="BS42" i="25" s="1"/>
  <c r="BF42" i="25" s="1"/>
  <c r="AS36" i="25"/>
  <c r="BS36" i="25" s="1"/>
  <c r="BF36" i="25" s="1"/>
  <c r="AS38" i="25"/>
  <c r="BS38" i="25" s="1"/>
  <c r="BF38" i="25" s="1"/>
  <c r="AS45" i="25"/>
  <c r="BS45" i="25" s="1"/>
  <c r="BF45" i="25" s="1"/>
  <c r="AR35" i="25"/>
  <c r="AS43" i="25"/>
  <c r="BS43" i="25" s="1"/>
  <c r="BF43" i="25" s="1"/>
  <c r="AR36" i="25"/>
  <c r="AR45" i="25"/>
  <c r="AS37" i="25"/>
  <c r="BS37" i="25" s="1"/>
  <c r="BF37" i="25" s="1"/>
  <c r="AR39" i="25"/>
  <c r="BR39" i="25" s="1"/>
  <c r="AR29" i="25"/>
  <c r="BR29" i="25" s="1"/>
  <c r="BE29" i="25" s="1"/>
  <c r="AR24" i="25"/>
  <c r="AR42" i="25"/>
  <c r="BR42" i="25" s="1"/>
  <c r="AS33" i="25"/>
  <c r="BS33" i="25" s="1"/>
  <c r="BF33" i="25" s="1"/>
  <c r="AS39" i="25"/>
  <c r="BS39" i="25" s="1"/>
  <c r="BF39" i="25" s="1"/>
  <c r="AS25" i="25"/>
  <c r="BS25" i="25" s="1"/>
  <c r="BF25" i="25" s="1"/>
  <c r="AR46" i="25"/>
  <c r="BR46" i="25" s="1"/>
  <c r="BR22" i="25" s="1"/>
  <c r="BO25" i="25"/>
  <c r="BB25" i="25" s="1"/>
  <c r="BD25" i="25" s="1"/>
  <c r="AQ25" i="25"/>
  <c r="AX48" i="9"/>
  <c r="AX72" i="9" s="1"/>
  <c r="BP31" i="20"/>
  <c r="BP47" i="20" s="1"/>
  <c r="AQ31" i="20"/>
  <c r="BO41" i="26"/>
  <c r="AQ41" i="26"/>
  <c r="BP25" i="22"/>
  <c r="AQ25" i="22"/>
  <c r="AQ46" i="27"/>
  <c r="AS30" i="25"/>
  <c r="BS30" i="25" s="1"/>
  <c r="BF30" i="25" s="1"/>
  <c r="J29" i="28"/>
  <c r="AG20" i="28" s="1"/>
  <c r="J30" i="28"/>
  <c r="AE20" i="28" s="1"/>
  <c r="AL20" i="28" s="1"/>
  <c r="AY20" i="9"/>
  <c r="BO28" i="2"/>
  <c r="AQ28" i="2"/>
  <c r="AQ24" i="23"/>
  <c r="BO24" i="23"/>
  <c r="C11" i="26"/>
  <c r="C38" i="26"/>
  <c r="C37" i="26"/>
  <c r="B37" i="26"/>
  <c r="B38" i="26"/>
  <c r="BR38" i="28"/>
  <c r="BE38" i="28" s="1"/>
  <c r="J38" i="20"/>
  <c r="I38" i="20" s="1"/>
  <c r="C11" i="20"/>
  <c r="AQ43" i="28"/>
  <c r="AQ34" i="27"/>
  <c r="AS29" i="25"/>
  <c r="AM105" i="9"/>
  <c r="AS27" i="20"/>
  <c r="BS27" i="20" s="1"/>
  <c r="BF27" i="20" s="1"/>
  <c r="K38" i="21"/>
  <c r="AX81" i="9"/>
  <c r="AX89" i="9" s="1"/>
  <c r="AF91" i="9"/>
  <c r="AP91" i="9" s="1"/>
  <c r="W19" i="9" s="1"/>
  <c r="AT71" i="9"/>
  <c r="AT47" i="9" s="1"/>
  <c r="J30" i="24"/>
  <c r="AE20" i="24" s="1"/>
  <c r="AY20" i="24" s="1"/>
  <c r="AY14" i="9"/>
  <c r="BP29" i="28"/>
  <c r="AQ29" i="28"/>
  <c r="AR32" i="24"/>
  <c r="BB36" i="9"/>
  <c r="G35" i="9" s="1"/>
  <c r="AX25" i="9"/>
  <c r="AR31" i="25"/>
  <c r="BR31" i="25" s="1"/>
  <c r="BE31" i="25" s="1"/>
  <c r="AR29" i="21"/>
  <c r="AO47" i="21"/>
  <c r="AQ24" i="28"/>
  <c r="AR29" i="20"/>
  <c r="BR29" i="20" s="1"/>
  <c r="BE29" i="20" s="1"/>
  <c r="AM95" i="9"/>
  <c r="BD40" i="25"/>
  <c r="BO39" i="25"/>
  <c r="AO97" i="9"/>
  <c r="AZ65" i="9"/>
  <c r="AX65" i="9"/>
  <c r="K37" i="22"/>
  <c r="AP47" i="20"/>
  <c r="BO35" i="26"/>
  <c r="AQ35" i="26"/>
  <c r="BP37" i="21"/>
  <c r="AQ37" i="21"/>
  <c r="AR38" i="20"/>
  <c r="AS40" i="21"/>
  <c r="BS40" i="21" s="1"/>
  <c r="BF40" i="21" s="1"/>
  <c r="AG2" i="9"/>
  <c r="AR38" i="25"/>
  <c r="AQ24" i="25"/>
  <c r="AS43" i="21"/>
  <c r="BS43" i="21" s="1"/>
  <c r="BF43" i="21" s="1"/>
  <c r="AM99" i="9"/>
  <c r="AS42" i="20"/>
  <c r="BS42" i="20" s="1"/>
  <c r="BF42" i="20" s="1"/>
  <c r="BO28" i="28"/>
  <c r="BQ28" i="28" s="1"/>
  <c r="AZ48" i="9"/>
  <c r="AZ72" i="9" s="1"/>
  <c r="AX55" i="9"/>
  <c r="C36" i="22"/>
  <c r="AU20" i="9"/>
  <c r="BB40" i="22"/>
  <c r="BD40" i="22" s="1"/>
  <c r="BQ40" i="22"/>
  <c r="AS41" i="21"/>
  <c r="BA48" i="9"/>
  <c r="BA72" i="9" s="1"/>
  <c r="BA55" i="9"/>
  <c r="BA53" i="9"/>
  <c r="BA68" i="9"/>
  <c r="BA59" i="9"/>
  <c r="BA71" i="9"/>
  <c r="BA47" i="9" s="1"/>
  <c r="BA70" i="9"/>
  <c r="BA61" i="9"/>
  <c r="BA52" i="9"/>
  <c r="BA69" i="9"/>
  <c r="BA63" i="9"/>
  <c r="BA54" i="9"/>
  <c r="BA60" i="9"/>
  <c r="BA51" i="9"/>
  <c r="BA50" i="9"/>
  <c r="BA67" i="9"/>
  <c r="BA56" i="9"/>
  <c r="BA62" i="9"/>
  <c r="AR44" i="24"/>
  <c r="CK39" i="9"/>
  <c r="CK8" i="9" s="1"/>
  <c r="E78" i="9" s="1"/>
  <c r="BQ43" i="21"/>
  <c r="AR32" i="25"/>
  <c r="AR28" i="20"/>
  <c r="AS41" i="25"/>
  <c r="BS41" i="25" s="1"/>
  <c r="BF41" i="25" s="1"/>
  <c r="AS18" i="9"/>
  <c r="AS32" i="21"/>
  <c r="BS32" i="21" s="1"/>
  <c r="BF32" i="21" s="1"/>
  <c r="C37" i="27"/>
  <c r="AQ25" i="28"/>
  <c r="AX29" i="9"/>
  <c r="AN86" i="9"/>
  <c r="AS44" i="20"/>
  <c r="AM91" i="9"/>
  <c r="BO20" i="22"/>
  <c r="AO92" i="9"/>
  <c r="AX49" i="9"/>
  <c r="AL98" i="9"/>
  <c r="AX14" i="9"/>
  <c r="M30" i="23"/>
  <c r="AL26" i="23" s="1"/>
  <c r="J36" i="24"/>
  <c r="I36" i="24" s="1"/>
  <c r="I44" i="24" s="1"/>
  <c r="I45" i="24" s="1"/>
  <c r="I46" i="24" s="1"/>
  <c r="C37" i="24"/>
  <c r="AR66" i="9"/>
  <c r="BB66" i="9" s="1"/>
  <c r="AR57" i="9"/>
  <c r="BB57" i="9" s="1"/>
  <c r="AR68" i="9"/>
  <c r="BB68" i="9" s="1"/>
  <c r="AR58" i="9"/>
  <c r="BB58" i="9" s="1"/>
  <c r="BD58" i="9" s="1"/>
  <c r="AR60" i="9"/>
  <c r="BB60" i="9" s="1"/>
  <c r="P24" i="9" s="1"/>
  <c r="R24" i="9" s="1"/>
  <c r="AR67" i="9"/>
  <c r="BB67" i="9" s="1"/>
  <c r="AR49" i="9"/>
  <c r="BB49" i="9" s="1"/>
  <c r="P13" i="9" s="1"/>
  <c r="R13" i="9" s="1"/>
  <c r="AR61" i="9"/>
  <c r="BB61" i="9" s="1"/>
  <c r="P25" i="9" s="1"/>
  <c r="R25" i="9" s="1"/>
  <c r="AR51" i="9"/>
  <c r="BB51" i="9" s="1"/>
  <c r="AR71" i="9"/>
  <c r="AR69" i="9"/>
  <c r="BB69" i="9" s="1"/>
  <c r="P33" i="9" s="1"/>
  <c r="R33" i="9" s="1"/>
  <c r="AR52" i="9"/>
  <c r="BB52" i="9" s="1"/>
  <c r="P16" i="9" s="1"/>
  <c r="R16" i="9" s="1"/>
  <c r="AR62" i="9"/>
  <c r="BB62" i="9" s="1"/>
  <c r="P26" i="9" s="1"/>
  <c r="R26" i="9" s="1"/>
  <c r="AK93" i="9"/>
  <c r="AK97" i="9"/>
  <c r="AK96" i="9"/>
  <c r="AK99" i="9"/>
  <c r="AK105" i="9"/>
  <c r="AK98" i="9"/>
  <c r="AK104" i="9"/>
  <c r="AK91" i="9"/>
  <c r="AK102" i="9"/>
  <c r="AK106" i="9"/>
  <c r="AK100" i="9"/>
  <c r="AK103" i="9"/>
  <c r="AK90" i="9"/>
  <c r="BB35" i="22"/>
  <c r="BD35" i="22" s="1"/>
  <c r="BQ35" i="22"/>
  <c r="CG2" i="9"/>
  <c r="AR41" i="25"/>
  <c r="BO29" i="26"/>
  <c r="AQ29" i="26"/>
  <c r="AO47" i="24"/>
  <c r="BR33" i="22"/>
  <c r="AK2" i="9"/>
  <c r="BB35" i="28"/>
  <c r="AQ24" i="27"/>
  <c r="BA29" i="9"/>
  <c r="BA23" i="9"/>
  <c r="BA26" i="9"/>
  <c r="BA21" i="9"/>
  <c r="BA34" i="9"/>
  <c r="BA22" i="9"/>
  <c r="BA33" i="9"/>
  <c r="BA17" i="9"/>
  <c r="BA19" i="9"/>
  <c r="AR40" i="22"/>
  <c r="BR40" i="22" s="1"/>
  <c r="BE40" i="22" s="1"/>
  <c r="BA28" i="9"/>
  <c r="AQ29" i="21"/>
  <c r="AQ24" i="26"/>
  <c r="BD32" i="22"/>
  <c r="AQ40" i="23"/>
  <c r="BD26" i="28"/>
  <c r="AQ26" i="22"/>
  <c r="BQ26" i="28"/>
  <c r="BB41" i="27"/>
  <c r="BD41" i="27" s="1"/>
  <c r="AS46" i="22"/>
  <c r="BQ37" i="22"/>
  <c r="BQ27" i="26"/>
  <c r="C36" i="23"/>
  <c r="D36" i="23" s="1"/>
  <c r="K36" i="23"/>
  <c r="AO47" i="22"/>
  <c r="AR41" i="2"/>
  <c r="BR41" i="2" s="1"/>
  <c r="AS25" i="2"/>
  <c r="BS25" i="2" s="1"/>
  <c r="BF25" i="2" s="1"/>
  <c r="AS26" i="2"/>
  <c r="BS26" i="2" s="1"/>
  <c r="BF26" i="2" s="1"/>
  <c r="AS24" i="2"/>
  <c r="AS37" i="2"/>
  <c r="BS37" i="2" s="1"/>
  <c r="BF37" i="2" s="1"/>
  <c r="AS29" i="2"/>
  <c r="BS29" i="2" s="1"/>
  <c r="AS28" i="2"/>
  <c r="BS28" i="2" s="1"/>
  <c r="AR26" i="2"/>
  <c r="BR26" i="2" s="1"/>
  <c r="BE26" i="2" s="1"/>
  <c r="AR35" i="2"/>
  <c r="AS36" i="2"/>
  <c r="AR31" i="2"/>
  <c r="AR37" i="2"/>
  <c r="AR25" i="2"/>
  <c r="AS23" i="2"/>
  <c r="BS23" i="2" s="1"/>
  <c r="BF23" i="2" s="1"/>
  <c r="AR23" i="2"/>
  <c r="AS46" i="2"/>
  <c r="AR42" i="2"/>
  <c r="BO38" i="28"/>
  <c r="AQ38" i="28"/>
  <c r="AQ37" i="22"/>
  <c r="BO45" i="21"/>
  <c r="BQ45" i="21" s="1"/>
  <c r="AQ45" i="21"/>
  <c r="J37" i="27"/>
  <c r="BP35" i="24"/>
  <c r="BC35" i="24" s="1"/>
  <c r="AQ35" i="24"/>
  <c r="AS42" i="22"/>
  <c r="BS42" i="22" s="1"/>
  <c r="BF42" i="22" s="1"/>
  <c r="AR25" i="22"/>
  <c r="BR25" i="22" s="1"/>
  <c r="BE25" i="22" s="1"/>
  <c r="AR41" i="22"/>
  <c r="BR41" i="22" s="1"/>
  <c r="BE41" i="22" s="1"/>
  <c r="AR46" i="22"/>
  <c r="AS24" i="22"/>
  <c r="AS41" i="22"/>
  <c r="BS41" i="22" s="1"/>
  <c r="BF41" i="22" s="1"/>
  <c r="AR38" i="22"/>
  <c r="AS36" i="22"/>
  <c r="BS36" i="22" s="1"/>
  <c r="BF36" i="22" s="1"/>
  <c r="AS45" i="22"/>
  <c r="AS23" i="22"/>
  <c r="AS37" i="22"/>
  <c r="BS37" i="22" s="1"/>
  <c r="BF37" i="22" s="1"/>
  <c r="BB42" i="21"/>
  <c r="BD42" i="21" s="1"/>
  <c r="BQ42" i="21"/>
  <c r="AS39" i="22"/>
  <c r="BS39" i="22" s="1"/>
  <c r="AR37" i="22"/>
  <c r="BR37" i="22" s="1"/>
  <c r="AQ27" i="25"/>
  <c r="BP27" i="25"/>
  <c r="AI106" i="9"/>
  <c r="AI105" i="9"/>
  <c r="AI98" i="9"/>
  <c r="AI87" i="9"/>
  <c r="AI101" i="9"/>
  <c r="AI85" i="9"/>
  <c r="AQ36" i="28"/>
  <c r="BO36" i="28"/>
  <c r="AI107" i="9"/>
  <c r="AI83" i="9" s="1"/>
  <c r="AS31" i="22"/>
  <c r="J36" i="23"/>
  <c r="BO26" i="24"/>
  <c r="AQ26" i="24"/>
  <c r="AR32" i="28"/>
  <c r="BR32" i="28" s="1"/>
  <c r="BE32" i="28" s="1"/>
  <c r="AR40" i="28"/>
  <c r="AR34" i="28"/>
  <c r="AS37" i="28"/>
  <c r="BS37" i="28" s="1"/>
  <c r="BF37" i="28" s="1"/>
  <c r="AS46" i="28"/>
  <c r="AS38" i="28"/>
  <c r="BS38" i="28" s="1"/>
  <c r="BF38" i="28" s="1"/>
  <c r="AR27" i="28"/>
  <c r="AS32" i="28"/>
  <c r="BS32" i="28" s="1"/>
  <c r="AR39" i="28"/>
  <c r="BR39" i="28" s="1"/>
  <c r="BE39" i="28" s="1"/>
  <c r="AS33" i="28"/>
  <c r="BS33" i="28" s="1"/>
  <c r="BF33" i="28" s="1"/>
  <c r="AR36" i="28"/>
  <c r="BR36" i="28" s="1"/>
  <c r="BO34" i="23"/>
  <c r="AQ34" i="23"/>
  <c r="AZ22" i="9"/>
  <c r="AZ23" i="9"/>
  <c r="AZ16" i="9"/>
  <c r="AZ25" i="9"/>
  <c r="AZ14" i="9"/>
  <c r="AZ21" i="9"/>
  <c r="C38" i="28"/>
  <c r="K36" i="28"/>
  <c r="J37" i="28"/>
  <c r="G37" i="28" s="1"/>
  <c r="C11" i="28"/>
  <c r="C37" i="28"/>
  <c r="C36" i="28"/>
  <c r="J36" i="28"/>
  <c r="BO23" i="26"/>
  <c r="AO47" i="26"/>
  <c r="BO26" i="23"/>
  <c r="BB26" i="23" s="1"/>
  <c r="BD26" i="23" s="1"/>
  <c r="AQ26" i="23"/>
  <c r="AR38" i="27"/>
  <c r="AS27" i="27"/>
  <c r="BS27" i="27" s="1"/>
  <c r="BF27" i="27" s="1"/>
  <c r="AR25" i="27"/>
  <c r="AR44" i="27"/>
  <c r="AS40" i="27"/>
  <c r="BS40" i="27" s="1"/>
  <c r="BF40" i="27" s="1"/>
  <c r="AR42" i="27"/>
  <c r="AR24" i="27"/>
  <c r="AS29" i="27"/>
  <c r="BS29" i="27" s="1"/>
  <c r="BF29" i="27" s="1"/>
  <c r="AS41" i="27"/>
  <c r="AR36" i="27"/>
  <c r="AR45" i="27"/>
  <c r="AS38" i="27"/>
  <c r="BS38" i="27" s="1"/>
  <c r="BF38" i="27" s="1"/>
  <c r="AR46" i="27"/>
  <c r="AR39" i="27"/>
  <c r="AS23" i="27"/>
  <c r="AS43" i="27"/>
  <c r="AS45" i="27"/>
  <c r="BS45" i="27" s="1"/>
  <c r="BF45" i="27" s="1"/>
  <c r="AS36" i="27"/>
  <c r="BS36" i="27" s="1"/>
  <c r="BF36" i="27" s="1"/>
  <c r="AR26" i="27"/>
  <c r="AR34" i="27"/>
  <c r="AR27" i="27"/>
  <c r="BP24" i="25"/>
  <c r="BC24" i="25" s="1"/>
  <c r="AP47" i="25"/>
  <c r="AR23" i="27"/>
  <c r="AJ85" i="9"/>
  <c r="BO44" i="22"/>
  <c r="AQ44" i="22"/>
  <c r="AW36" i="9"/>
  <c r="AW12" i="9" s="1"/>
  <c r="AW26" i="9"/>
  <c r="AW13" i="9"/>
  <c r="AW37" i="9" s="1"/>
  <c r="AW14" i="9"/>
  <c r="BQ36" i="2"/>
  <c r="BC36" i="2"/>
  <c r="BD36" i="2" s="1"/>
  <c r="J29" i="20"/>
  <c r="AG20" i="20" s="1"/>
  <c r="BD26" i="26"/>
  <c r="AT20" i="9"/>
  <c r="AW25" i="9"/>
  <c r="AR24" i="9"/>
  <c r="BB24" i="9" s="1"/>
  <c r="BD24" i="9" s="1"/>
  <c r="AU67" i="9"/>
  <c r="AQ23" i="21"/>
  <c r="AQ30" i="28"/>
  <c r="AY53" i="9"/>
  <c r="AY60" i="9"/>
  <c r="AY68" i="9"/>
  <c r="AY59" i="9"/>
  <c r="AY67" i="9"/>
  <c r="AY49" i="9"/>
  <c r="AY55" i="9"/>
  <c r="AY52" i="9"/>
  <c r="AY66" i="9"/>
  <c r="AY62" i="9"/>
  <c r="AY57" i="9"/>
  <c r="AY56" i="9"/>
  <c r="AY51" i="9"/>
  <c r="AW48" i="9"/>
  <c r="AW72" i="9" s="1"/>
  <c r="AW55" i="9"/>
  <c r="M30" i="28"/>
  <c r="AG101" i="9"/>
  <c r="AG99" i="9"/>
  <c r="AG106" i="9"/>
  <c r="AG100" i="9"/>
  <c r="AG93" i="9"/>
  <c r="AG84" i="9"/>
  <c r="AG108" i="9" s="1"/>
  <c r="AQ25" i="24"/>
  <c r="AW18" i="9"/>
  <c r="AQ39" i="23"/>
  <c r="AR13" i="9"/>
  <c r="AR32" i="9"/>
  <c r="BB32" i="9" s="1"/>
  <c r="BD32" i="9" s="1"/>
  <c r="AQ27" i="21"/>
  <c r="AQ33" i="2"/>
  <c r="BO28" i="20"/>
  <c r="B36" i="26"/>
  <c r="K36" i="25"/>
  <c r="B37" i="25"/>
  <c r="D37" i="25" s="1"/>
  <c r="J30" i="2"/>
  <c r="AE20" i="2" s="1"/>
  <c r="BP45" i="23"/>
  <c r="AQ45" i="23"/>
  <c r="BD27" i="21"/>
  <c r="AJ101" i="9"/>
  <c r="AJ104" i="9"/>
  <c r="AJ86" i="9"/>
  <c r="AT33" i="9"/>
  <c r="AT27" i="9"/>
  <c r="AT23" i="9"/>
  <c r="AT22" i="9"/>
  <c r="BD44" i="21"/>
  <c r="AQ23" i="24"/>
  <c r="BD32" i="23"/>
  <c r="B38" i="20"/>
  <c r="AU61" i="9"/>
  <c r="AU59" i="9"/>
  <c r="AU50" i="9"/>
  <c r="AU52" i="9"/>
  <c r="AU62" i="9"/>
  <c r="AU70" i="9"/>
  <c r="AU71" i="9"/>
  <c r="AU47" i="9" s="1"/>
  <c r="AU56" i="9"/>
  <c r="AU65" i="9"/>
  <c r="AU48" i="9"/>
  <c r="AU72" i="9" s="1"/>
  <c r="N9" i="9"/>
  <c r="AC42" i="9" s="1"/>
  <c r="AW17" i="9"/>
  <c r="AR31" i="9"/>
  <c r="BB31" i="9" s="1"/>
  <c r="AQ38" i="22"/>
  <c r="AJ93" i="9"/>
  <c r="AU49" i="9"/>
  <c r="AU66" i="9"/>
  <c r="J38" i="26"/>
  <c r="K38" i="26"/>
  <c r="C11" i="2"/>
  <c r="M30" i="25"/>
  <c r="BB45" i="28"/>
  <c r="BQ34" i="20"/>
  <c r="BC31" i="22"/>
  <c r="BD31" i="22" s="1"/>
  <c r="BQ31" i="22"/>
  <c r="BB33" i="22"/>
  <c r="BD33" i="22" s="1"/>
  <c r="BB46" i="25"/>
  <c r="BB22" i="25" s="1"/>
  <c r="BD22" i="25" s="1"/>
  <c r="BQ41" i="2"/>
  <c r="BD41" i="2"/>
  <c r="AT87" i="9"/>
  <c r="AT94" i="9"/>
  <c r="BB24" i="20"/>
  <c r="BD24" i="20" s="1"/>
  <c r="AT95" i="9"/>
  <c r="AT105" i="9"/>
  <c r="AT103" i="9"/>
  <c r="AT92" i="9"/>
  <c r="AU105" i="9"/>
  <c r="BT45" i="23"/>
  <c r="G37" i="23"/>
  <c r="G37" i="2"/>
  <c r="I37" i="2"/>
  <c r="D36" i="20"/>
  <c r="D37" i="20"/>
  <c r="I37" i="20"/>
  <c r="G37" i="20"/>
  <c r="D37" i="2"/>
  <c r="BB24" i="22"/>
  <c r="BD24" i="22" s="1"/>
  <c r="BQ24" i="22"/>
  <c r="BQ23" i="24"/>
  <c r="BB23" i="24"/>
  <c r="BC33" i="27"/>
  <c r="BD33" i="27" s="1"/>
  <c r="BQ33" i="27"/>
  <c r="BC23" i="24"/>
  <c r="BB43" i="28"/>
  <c r="BD43" i="28" s="1"/>
  <c r="BQ43" i="28"/>
  <c r="I38" i="25"/>
  <c r="BS35" i="26"/>
  <c r="BR30" i="26"/>
  <c r="BS41" i="26"/>
  <c r="BB46" i="22"/>
  <c r="BB22" i="22" s="1"/>
  <c r="BO22" i="22"/>
  <c r="BQ29" i="21"/>
  <c r="BB29" i="21"/>
  <c r="BD29" i="21" s="1"/>
  <c r="BB33" i="24"/>
  <c r="BD33" i="24" s="1"/>
  <c r="BQ33" i="24"/>
  <c r="AT106" i="9"/>
  <c r="AT84" i="9"/>
  <c r="AT108" i="9" s="1"/>
  <c r="AT91" i="9"/>
  <c r="AT107" i="9"/>
  <c r="AT83" i="9" s="1"/>
  <c r="AT100" i="9"/>
  <c r="AT98" i="9"/>
  <c r="AT102" i="9"/>
  <c r="AT93" i="9"/>
  <c r="AT85" i="9"/>
  <c r="AT89" i="9"/>
  <c r="AT96" i="9"/>
  <c r="AT99" i="9"/>
  <c r="AT90" i="9"/>
  <c r="AT88" i="9"/>
  <c r="AT86" i="9"/>
  <c r="BB33" i="26"/>
  <c r="BD33" i="26" s="1"/>
  <c r="AT101" i="9"/>
  <c r="BC31" i="21"/>
  <c r="BQ30" i="23"/>
  <c r="BB30" i="23"/>
  <c r="BD30" i="23" s="1"/>
  <c r="BB45" i="24"/>
  <c r="BS34" i="2"/>
  <c r="AT104" i="9"/>
  <c r="BF23" i="23"/>
  <c r="BQ28" i="24"/>
  <c r="BB28" i="24"/>
  <c r="BD28" i="24" s="1"/>
  <c r="BB43" i="22"/>
  <c r="BD43" i="22" s="1"/>
  <c r="BQ43" i="22"/>
  <c r="AR22" i="2"/>
  <c r="BQ36" i="27"/>
  <c r="BS43" i="22"/>
  <c r="BB40" i="21"/>
  <c r="BD40" i="21" s="1"/>
  <c r="BQ40" i="21"/>
  <c r="BC26" i="20"/>
  <c r="BB24" i="27"/>
  <c r="BS31" i="25"/>
  <c r="BQ43" i="24"/>
  <c r="BB43" i="24"/>
  <c r="BD43" i="24" s="1"/>
  <c r="BC25" i="23"/>
  <c r="D36" i="21"/>
  <c r="BB29" i="24"/>
  <c r="BD29" i="24" s="1"/>
  <c r="BQ29" i="24"/>
  <c r="BB34" i="24"/>
  <c r="BD34" i="24" s="1"/>
  <c r="BQ34" i="24"/>
  <c r="BB38" i="21"/>
  <c r="BD38" i="21" s="1"/>
  <c r="BQ38" i="21"/>
  <c r="BB34" i="21"/>
  <c r="BD34" i="21" s="1"/>
  <c r="BQ34" i="21"/>
  <c r="BB37" i="28"/>
  <c r="BD37" i="28" s="1"/>
  <c r="BQ37" i="28"/>
  <c r="BB36" i="23"/>
  <c r="BD36" i="23" s="1"/>
  <c r="BQ36" i="23"/>
  <c r="BR46" i="2"/>
  <c r="BB27" i="24"/>
  <c r="BD27" i="24" s="1"/>
  <c r="BQ27" i="24"/>
  <c r="BB40" i="27"/>
  <c r="BD40" i="27" s="1"/>
  <c r="BQ40" i="27"/>
  <c r="BB39" i="20"/>
  <c r="BD39" i="20" s="1"/>
  <c r="BQ39" i="20"/>
  <c r="BC41" i="21"/>
  <c r="BQ25" i="23"/>
  <c r="BB25" i="23"/>
  <c r="BB35" i="23"/>
  <c r="BD35" i="23" s="1"/>
  <c r="BQ35" i="23"/>
  <c r="BC37" i="25"/>
  <c r="BD37" i="25" s="1"/>
  <c r="BQ37" i="25"/>
  <c r="BS45" i="2"/>
  <c r="BR44" i="20"/>
  <c r="BR35" i="22"/>
  <c r="BS23" i="26"/>
  <c r="BC38" i="23"/>
  <c r="BD38" i="23" s="1"/>
  <c r="BQ38" i="23"/>
  <c r="BB38" i="26"/>
  <c r="BD38" i="26" s="1"/>
  <c r="BQ38" i="26"/>
  <c r="BQ32" i="27"/>
  <c r="BB32" i="27"/>
  <c r="BD32" i="27" s="1"/>
  <c r="AP12" i="9"/>
  <c r="BB25" i="26"/>
  <c r="BD25" i="26" s="1"/>
  <c r="BQ25" i="26"/>
  <c r="BB40" i="23"/>
  <c r="BD40" i="23" s="1"/>
  <c r="BQ40" i="23"/>
  <c r="BQ42" i="23"/>
  <c r="BB42" i="23"/>
  <c r="BD42" i="23" s="1"/>
  <c r="BP22" i="21"/>
  <c r="BC46" i="21"/>
  <c r="BC22" i="21" s="1"/>
  <c r="BB26" i="25"/>
  <c r="BD26" i="25" s="1"/>
  <c r="BQ26" i="25"/>
  <c r="BC34" i="25"/>
  <c r="BD34" i="25" s="1"/>
  <c r="BQ34" i="25"/>
  <c r="BB26" i="21"/>
  <c r="BD26" i="21" s="1"/>
  <c r="BQ26" i="21"/>
  <c r="BC23" i="25"/>
  <c r="BC26" i="27"/>
  <c r="BB24" i="21"/>
  <c r="BB36" i="20"/>
  <c r="BD36" i="20" s="1"/>
  <c r="BQ36" i="20"/>
  <c r="BB35" i="24"/>
  <c r="BF27" i="22"/>
  <c r="CL17" i="9"/>
  <c r="F88" i="9" s="1"/>
  <c r="CM19" i="9"/>
  <c r="G90" i="9" s="1"/>
  <c r="BB12" i="9"/>
  <c r="AP72" i="9"/>
  <c r="N36" i="9" s="1"/>
  <c r="CK14" i="9"/>
  <c r="CN13" i="9"/>
  <c r="C84" i="9" s="1"/>
  <c r="BD54" i="9"/>
  <c r="G34" i="9"/>
  <c r="I34" i="9" s="1"/>
  <c r="BD19" i="9"/>
  <c r="P18" i="9"/>
  <c r="R18" i="9" s="1"/>
  <c r="G32" i="9"/>
  <c r="I32" i="9" s="1"/>
  <c r="C56" i="3"/>
  <c r="BY17" i="9"/>
  <c r="CA33" i="9"/>
  <c r="BZ35" i="9"/>
  <c r="BI25" i="9"/>
  <c r="BG17" i="9"/>
  <c r="BH26" i="9"/>
  <c r="BQ26" i="9"/>
  <c r="BP15" i="9"/>
  <c r="BR24" i="9"/>
  <c r="BT18" i="9"/>
  <c r="BW19" i="9"/>
  <c r="BN18" i="9"/>
  <c r="BM15" i="9"/>
  <c r="BV15" i="9"/>
  <c r="CB16" i="9"/>
  <c r="BK20" i="9"/>
  <c r="BS15" i="9"/>
  <c r="BL20" i="9"/>
  <c r="BU21" i="9"/>
  <c r="BX21" i="9"/>
  <c r="CC21" i="9"/>
  <c r="BJ15" i="9"/>
  <c r="CD21" i="9"/>
  <c r="BO22" i="9"/>
  <c r="J36" i="20"/>
  <c r="B38" i="2"/>
  <c r="C38" i="2"/>
  <c r="K37" i="20"/>
  <c r="B36" i="2"/>
  <c r="K36" i="2"/>
  <c r="B56" i="3"/>
  <c r="J38" i="2"/>
  <c r="J36" i="2"/>
  <c r="BB23" i="27" l="1"/>
  <c r="AL36" i="26"/>
  <c r="BD92" i="9"/>
  <c r="BG24" i="28"/>
  <c r="AU107" i="9"/>
  <c r="AU83" i="9" s="1"/>
  <c r="BL20" i="23"/>
  <c r="AT35" i="22"/>
  <c r="BB46" i="28"/>
  <c r="BB22" i="28" s="1"/>
  <c r="BD22" i="28" s="1"/>
  <c r="AM42" i="20"/>
  <c r="AZ42" i="20" s="1"/>
  <c r="BI42" i="20" s="1"/>
  <c r="V42" i="20" s="1"/>
  <c r="BD34" i="9"/>
  <c r="BQ26" i="27"/>
  <c r="BD26" i="27"/>
  <c r="BC31" i="27"/>
  <c r="BD31" i="27" s="1"/>
  <c r="AU103" i="9"/>
  <c r="BT23" i="23"/>
  <c r="BO22" i="28"/>
  <c r="BQ22" i="28" s="1"/>
  <c r="AL27" i="24"/>
  <c r="BL27" i="24" s="1"/>
  <c r="G13" i="9"/>
  <c r="I13" i="9" s="1"/>
  <c r="BD23" i="9"/>
  <c r="BD20" i="9"/>
  <c r="AT42" i="23"/>
  <c r="BL20" i="26"/>
  <c r="AY20" i="23"/>
  <c r="AL28" i="26"/>
  <c r="BQ35" i="20"/>
  <c r="I37" i="24"/>
  <c r="M35" i="24" s="1"/>
  <c r="BD64" i="9"/>
  <c r="AM37" i="26"/>
  <c r="AZ37" i="26" s="1"/>
  <c r="BI37" i="26" s="1"/>
  <c r="V37" i="26" s="1"/>
  <c r="BQ41" i="23"/>
  <c r="AT33" i="2"/>
  <c r="AM36" i="26"/>
  <c r="AV36" i="26" s="1"/>
  <c r="R36" i="26" s="1"/>
  <c r="BR43" i="2"/>
  <c r="AT41" i="28"/>
  <c r="BP22" i="22"/>
  <c r="BQ22" i="22" s="1"/>
  <c r="BL20" i="22"/>
  <c r="BD16" i="9"/>
  <c r="BS46" i="23"/>
  <c r="BS22" i="23" s="1"/>
  <c r="BQ29" i="2"/>
  <c r="AT37" i="23"/>
  <c r="BD23" i="2"/>
  <c r="AL27" i="27"/>
  <c r="AU27" i="27" s="1"/>
  <c r="Q27" i="27" s="1"/>
  <c r="AU87" i="9"/>
  <c r="AU106" i="9"/>
  <c r="BR27" i="22"/>
  <c r="BE27" i="22" s="1"/>
  <c r="AU90" i="9"/>
  <c r="AU95" i="9"/>
  <c r="BD62" i="9"/>
  <c r="BC46" i="28"/>
  <c r="BC22" i="28" s="1"/>
  <c r="AR100" i="9"/>
  <c r="BB100" i="9" s="1"/>
  <c r="Y28" i="9" s="1"/>
  <c r="AA28" i="9" s="1"/>
  <c r="AT38" i="23"/>
  <c r="I37" i="25"/>
  <c r="BG36" i="22"/>
  <c r="D37" i="23"/>
  <c r="AS22" i="26"/>
  <c r="BB48" i="9"/>
  <c r="P12" i="9" s="1"/>
  <c r="R12" i="9" s="1"/>
  <c r="Y19" i="27"/>
  <c r="BL19" i="27" s="1"/>
  <c r="BT31" i="27"/>
  <c r="AT43" i="22"/>
  <c r="BQ34" i="22"/>
  <c r="BQ32" i="2"/>
  <c r="P14" i="9"/>
  <c r="R14" i="9" s="1"/>
  <c r="D36" i="27"/>
  <c r="AT28" i="20"/>
  <c r="BG32" i="20"/>
  <c r="BG42" i="28"/>
  <c r="AY20" i="26"/>
  <c r="D36" i="26"/>
  <c r="AU100" i="9"/>
  <c r="AT43" i="28"/>
  <c r="AT35" i="27"/>
  <c r="G28" i="9"/>
  <c r="I28" i="9" s="1"/>
  <c r="G38" i="23"/>
  <c r="BB39" i="21"/>
  <c r="BD39" i="21" s="1"/>
  <c r="AT44" i="23"/>
  <c r="AU89" i="9"/>
  <c r="AU93" i="9"/>
  <c r="G20" i="9"/>
  <c r="I20" i="9" s="1"/>
  <c r="BR46" i="23"/>
  <c r="BR22" i="23" s="1"/>
  <c r="AA16" i="9"/>
  <c r="D36" i="25"/>
  <c r="AM37" i="22"/>
  <c r="AV37" i="22" s="1"/>
  <c r="AU92" i="9"/>
  <c r="BQ43" i="2"/>
  <c r="BD30" i="9"/>
  <c r="BD27" i="9"/>
  <c r="AT39" i="21"/>
  <c r="AL20" i="23"/>
  <c r="AM23" i="22"/>
  <c r="AV23" i="22" s="1"/>
  <c r="R23" i="22" s="1"/>
  <c r="AT33" i="27"/>
  <c r="BB27" i="27"/>
  <c r="BD27" i="27" s="1"/>
  <c r="BT24" i="28"/>
  <c r="BS38" i="23"/>
  <c r="BF38" i="23" s="1"/>
  <c r="BT45" i="21"/>
  <c r="AT43" i="23"/>
  <c r="AU39" i="26"/>
  <c r="Q39" i="26" s="1"/>
  <c r="BT28" i="27"/>
  <c r="BT33" i="27"/>
  <c r="D36" i="24"/>
  <c r="D36" i="22"/>
  <c r="D38" i="21"/>
  <c r="AT43" i="26"/>
  <c r="BB28" i="28"/>
  <c r="BD28" i="28" s="1"/>
  <c r="BQ33" i="23"/>
  <c r="BY19" i="24"/>
  <c r="Y96" i="24" s="1"/>
  <c r="BR30" i="23"/>
  <c r="AL26" i="22"/>
  <c r="AY26" i="22" s="1"/>
  <c r="AW101" i="9"/>
  <c r="AV106" i="9"/>
  <c r="BG24" i="23"/>
  <c r="AT28" i="22"/>
  <c r="BT33" i="2"/>
  <c r="BG31" i="27"/>
  <c r="BG35" i="27"/>
  <c r="AL42" i="22"/>
  <c r="AU42" i="22" s="1"/>
  <c r="AV86" i="9"/>
  <c r="AM36" i="22"/>
  <c r="AZ36" i="22" s="1"/>
  <c r="BI36" i="22" s="1"/>
  <c r="V36" i="22" s="1"/>
  <c r="BG31" i="20"/>
  <c r="BQ46" i="24"/>
  <c r="AV84" i="9"/>
  <c r="AV108" i="9" s="1"/>
  <c r="AV92" i="9"/>
  <c r="AM26" i="22"/>
  <c r="AV26" i="22" s="1"/>
  <c r="R26" i="22" s="1"/>
  <c r="AM39" i="22"/>
  <c r="AZ39" i="22" s="1"/>
  <c r="AL24" i="22"/>
  <c r="AT35" i="23"/>
  <c r="AT33" i="28"/>
  <c r="AL28" i="22"/>
  <c r="AU28" i="22" s="1"/>
  <c r="AZ92" i="9"/>
  <c r="D38" i="25"/>
  <c r="AW93" i="9"/>
  <c r="AL34" i="22"/>
  <c r="AW84" i="9"/>
  <c r="AW108" i="9" s="1"/>
  <c r="AZ97" i="9"/>
  <c r="BG40" i="23"/>
  <c r="BC24" i="21"/>
  <c r="BD24" i="21" s="1"/>
  <c r="AY99" i="9"/>
  <c r="AM41" i="26"/>
  <c r="AV41" i="26" s="1"/>
  <c r="R41" i="26" s="1"/>
  <c r="BT35" i="27"/>
  <c r="AT25" i="26"/>
  <c r="AL38" i="26"/>
  <c r="BL38" i="26" s="1"/>
  <c r="BU38" i="26" s="1"/>
  <c r="AY20" i="20"/>
  <c r="AT23" i="24"/>
  <c r="BG37" i="23"/>
  <c r="BT24" i="23"/>
  <c r="I35" i="9"/>
  <c r="M32" i="26"/>
  <c r="AL20" i="20"/>
  <c r="BY19" i="20"/>
  <c r="Y96" i="20" s="1"/>
  <c r="AV94" i="9"/>
  <c r="BR28" i="22"/>
  <c r="BE28" i="22" s="1"/>
  <c r="BG28" i="22" s="1"/>
  <c r="AT24" i="28"/>
  <c r="BG42" i="22"/>
  <c r="AM25" i="26"/>
  <c r="AV25" i="26" s="1"/>
  <c r="AU91" i="9"/>
  <c r="I37" i="28"/>
  <c r="BT26" i="25"/>
  <c r="AM40" i="26"/>
  <c r="AV40" i="26" s="1"/>
  <c r="R40" i="26" s="1"/>
  <c r="AL23" i="26"/>
  <c r="AY23" i="26" s="1"/>
  <c r="AT27" i="2"/>
  <c r="BQ26" i="20"/>
  <c r="AT31" i="28"/>
  <c r="AT46" i="26"/>
  <c r="AM29" i="26"/>
  <c r="AV29" i="26" s="1"/>
  <c r="AT45" i="23"/>
  <c r="AW89" i="9"/>
  <c r="AZ89" i="9"/>
  <c r="AM42" i="26"/>
  <c r="BM42" i="26" s="1"/>
  <c r="BV42" i="26" s="1"/>
  <c r="Z42" i="26" s="1"/>
  <c r="G38" i="20"/>
  <c r="AW96" i="9"/>
  <c r="BB20" i="22"/>
  <c r="D38" i="23"/>
  <c r="BD15" i="9"/>
  <c r="AT26" i="26"/>
  <c r="BE45" i="21"/>
  <c r="BG45" i="21" s="1"/>
  <c r="BQ42" i="2"/>
  <c r="AL35" i="26"/>
  <c r="AN35" i="26" s="1"/>
  <c r="AU104" i="9"/>
  <c r="BT42" i="26"/>
  <c r="AT45" i="21"/>
  <c r="AM42" i="24"/>
  <c r="AV85" i="9"/>
  <c r="BD70" i="9"/>
  <c r="AM25" i="24"/>
  <c r="AL25" i="24"/>
  <c r="AY25" i="24" s="1"/>
  <c r="AT26" i="25"/>
  <c r="BG40" i="22"/>
  <c r="AU99" i="9"/>
  <c r="AU98" i="9"/>
  <c r="AL45" i="26"/>
  <c r="AT28" i="21"/>
  <c r="AQ22" i="2"/>
  <c r="AV99" i="9"/>
  <c r="BG24" i="26"/>
  <c r="BD25" i="9"/>
  <c r="AL34" i="26"/>
  <c r="BL34" i="26" s="1"/>
  <c r="BU34" i="26" s="1"/>
  <c r="AV101" i="9"/>
  <c r="AV105" i="9"/>
  <c r="AV104" i="9"/>
  <c r="AX102" i="9"/>
  <c r="AW98" i="9"/>
  <c r="AV88" i="9"/>
  <c r="BD63" i="9"/>
  <c r="G17" i="9"/>
  <c r="I17" i="9" s="1"/>
  <c r="AT25" i="28"/>
  <c r="AT25" i="23"/>
  <c r="BQ39" i="27"/>
  <c r="AT39" i="2"/>
  <c r="AM38" i="24"/>
  <c r="BM38" i="24" s="1"/>
  <c r="BV38" i="24" s="1"/>
  <c r="Z38" i="24" s="1"/>
  <c r="AM41" i="24"/>
  <c r="BM41" i="24" s="1"/>
  <c r="BV41" i="24" s="1"/>
  <c r="Z41" i="24" s="1"/>
  <c r="AU101" i="9"/>
  <c r="BT41" i="28"/>
  <c r="AL29" i="26"/>
  <c r="AU29" i="26" s="1"/>
  <c r="Q29" i="26" s="1"/>
  <c r="AV87" i="9"/>
  <c r="AT31" i="27"/>
  <c r="AT46" i="23"/>
  <c r="AL39" i="22"/>
  <c r="AU39" i="22" s="1"/>
  <c r="Q39" i="22" s="1"/>
  <c r="AL33" i="24"/>
  <c r="AU33" i="24" s="1"/>
  <c r="Q33" i="24" s="1"/>
  <c r="AM44" i="24"/>
  <c r="BM44" i="24" s="1"/>
  <c r="BV44" i="24" s="1"/>
  <c r="Z44" i="24" s="1"/>
  <c r="BG38" i="28"/>
  <c r="BG32" i="21"/>
  <c r="AM30" i="26"/>
  <c r="AV96" i="9"/>
  <c r="AT31" i="25"/>
  <c r="AY28" i="26"/>
  <c r="AW100" i="9"/>
  <c r="BG27" i="26"/>
  <c r="BD53" i="9"/>
  <c r="AW90" i="9"/>
  <c r="AT28" i="27"/>
  <c r="AL30" i="26"/>
  <c r="AT36" i="26"/>
  <c r="BB31" i="2"/>
  <c r="BD31" i="2" s="1"/>
  <c r="AW86" i="9"/>
  <c r="AL42" i="26"/>
  <c r="AN42" i="26" s="1"/>
  <c r="AU85" i="9"/>
  <c r="AU96" i="9"/>
  <c r="BD59" i="9"/>
  <c r="BO20" i="24"/>
  <c r="AM33" i="24"/>
  <c r="BM33" i="24" s="1"/>
  <c r="BV33" i="24" s="1"/>
  <c r="Z33" i="24" s="1"/>
  <c r="AU84" i="9"/>
  <c r="AU108" i="9" s="1"/>
  <c r="AU88" i="9"/>
  <c r="AV91" i="9"/>
  <c r="AU102" i="9"/>
  <c r="AU86" i="9"/>
  <c r="BT30" i="27"/>
  <c r="AT30" i="2"/>
  <c r="BD69" i="9"/>
  <c r="BD28" i="9"/>
  <c r="BQ42" i="26"/>
  <c r="AT33" i="26"/>
  <c r="AL36" i="24"/>
  <c r="BL36" i="24" s="1"/>
  <c r="AM23" i="24"/>
  <c r="BM23" i="24" s="1"/>
  <c r="BV23" i="24" s="1"/>
  <c r="AW99" i="9"/>
  <c r="AL46" i="26"/>
  <c r="AL22" i="26" s="1"/>
  <c r="AV95" i="9"/>
  <c r="AR84" i="9"/>
  <c r="AR108" i="9" s="1"/>
  <c r="BB108" i="9" s="1"/>
  <c r="Y36" i="9" s="1"/>
  <c r="AL20" i="26"/>
  <c r="BG26" i="25"/>
  <c r="AT31" i="21"/>
  <c r="BG45" i="23"/>
  <c r="BD22" i="9"/>
  <c r="AT45" i="2"/>
  <c r="BQ24" i="27"/>
  <c r="AM42" i="22"/>
  <c r="AV42" i="22" s="1"/>
  <c r="R42" i="22" s="1"/>
  <c r="BT26" i="26"/>
  <c r="AU94" i="9"/>
  <c r="AZ106" i="9"/>
  <c r="AT44" i="2"/>
  <c r="AV93" i="9"/>
  <c r="BR22" i="24"/>
  <c r="AM39" i="26"/>
  <c r="AN39" i="26" s="1"/>
  <c r="AV103" i="9"/>
  <c r="BB39" i="22"/>
  <c r="BD39" i="22" s="1"/>
  <c r="AM34" i="26"/>
  <c r="BM34" i="26" s="1"/>
  <c r="BV34" i="26" s="1"/>
  <c r="Z34" i="26" s="1"/>
  <c r="AM43" i="26"/>
  <c r="AV43" i="26" s="1"/>
  <c r="R43" i="26" s="1"/>
  <c r="AL20" i="22"/>
  <c r="AM27" i="2"/>
  <c r="AV27" i="2" s="1"/>
  <c r="R27" i="2" s="1"/>
  <c r="M32" i="2"/>
  <c r="BQ44" i="20"/>
  <c r="AX90" i="9"/>
  <c r="AT35" i="20"/>
  <c r="AL28" i="2"/>
  <c r="AY28" i="2" s="1"/>
  <c r="AL36" i="2"/>
  <c r="AY36" i="2" s="1"/>
  <c r="BH36" i="2" s="1"/>
  <c r="AT41" i="23"/>
  <c r="AM37" i="2"/>
  <c r="AV37" i="2" s="1"/>
  <c r="R37" i="2" s="1"/>
  <c r="BY19" i="22"/>
  <c r="Y96" i="22" s="1"/>
  <c r="AL45" i="2"/>
  <c r="AU45" i="2" s="1"/>
  <c r="AL30" i="2"/>
  <c r="AY30" i="2" s="1"/>
  <c r="AL38" i="2"/>
  <c r="BL38" i="2" s="1"/>
  <c r="BU38" i="2" s="1"/>
  <c r="Y38" i="2" s="1"/>
  <c r="AM40" i="2"/>
  <c r="BS22" i="26"/>
  <c r="AM44" i="2"/>
  <c r="AV44" i="2" s="1"/>
  <c r="R44" i="2" s="1"/>
  <c r="AL40" i="2"/>
  <c r="AU40" i="2" s="1"/>
  <c r="Q40" i="2" s="1"/>
  <c r="AT25" i="20"/>
  <c r="AL43" i="2"/>
  <c r="BL43" i="2" s="1"/>
  <c r="AL27" i="2"/>
  <c r="AU27" i="2" s="1"/>
  <c r="Q27" i="2" s="1"/>
  <c r="AQ22" i="20"/>
  <c r="AM41" i="2"/>
  <c r="AV41" i="2" s="1"/>
  <c r="R41" i="2" s="1"/>
  <c r="BD55" i="9"/>
  <c r="AX103" i="9"/>
  <c r="AT40" i="23"/>
  <c r="BQ29" i="23"/>
  <c r="AX91" i="9"/>
  <c r="BR31" i="28"/>
  <c r="BT31" i="28" s="1"/>
  <c r="AL29" i="2"/>
  <c r="AU29" i="2" s="1"/>
  <c r="BL36" i="26"/>
  <c r="BU36" i="26" s="1"/>
  <c r="Y36" i="26" s="1"/>
  <c r="AT32" i="27"/>
  <c r="AM32" i="2"/>
  <c r="BM32" i="2" s="1"/>
  <c r="BV32" i="2" s="1"/>
  <c r="Z32" i="2" s="1"/>
  <c r="AL34" i="2"/>
  <c r="BG31" i="26"/>
  <c r="AL31" i="2"/>
  <c r="AU31" i="2" s="1"/>
  <c r="Q31" i="2" s="1"/>
  <c r="AM34" i="2"/>
  <c r="AZ34" i="2" s="1"/>
  <c r="AM43" i="2"/>
  <c r="AV43" i="2" s="1"/>
  <c r="AM23" i="2"/>
  <c r="BM23" i="2" s="1"/>
  <c r="BV23" i="2" s="1"/>
  <c r="Z23" i="2" s="1"/>
  <c r="AM36" i="2"/>
  <c r="AV36" i="2" s="1"/>
  <c r="R36" i="2" s="1"/>
  <c r="AX104" i="9"/>
  <c r="BL35" i="26"/>
  <c r="BU35" i="26" s="1"/>
  <c r="Y35" i="26" s="1"/>
  <c r="AM46" i="2"/>
  <c r="AV46" i="2" s="1"/>
  <c r="R46" i="2" s="1"/>
  <c r="AL33" i="26"/>
  <c r="AL39" i="2"/>
  <c r="AN39" i="2" s="1"/>
  <c r="AL24" i="2"/>
  <c r="AL42" i="2"/>
  <c r="AU42" i="2" s="1"/>
  <c r="Q42" i="2" s="1"/>
  <c r="AT25" i="21"/>
  <c r="AM28" i="2"/>
  <c r="AV28" i="2" s="1"/>
  <c r="R28" i="2" s="1"/>
  <c r="AM45" i="2"/>
  <c r="AV45" i="2" s="1"/>
  <c r="R45" i="2" s="1"/>
  <c r="BG41" i="28"/>
  <c r="AM24" i="2"/>
  <c r="AV24" i="2" s="1"/>
  <c r="R24" i="2" s="1"/>
  <c r="BB39" i="28"/>
  <c r="BD39" i="28" s="1"/>
  <c r="AL40" i="24"/>
  <c r="AW95" i="9"/>
  <c r="BR46" i="21"/>
  <c r="BR22" i="21" s="1"/>
  <c r="AW104" i="9"/>
  <c r="AM33" i="26"/>
  <c r="AV33" i="26" s="1"/>
  <c r="R33" i="26" s="1"/>
  <c r="BG35" i="23"/>
  <c r="AL43" i="26"/>
  <c r="AL37" i="2"/>
  <c r="AU37" i="2" s="1"/>
  <c r="Q37" i="2" s="1"/>
  <c r="BG29" i="23"/>
  <c r="AL44" i="26"/>
  <c r="BL44" i="26" s="1"/>
  <c r="AM44" i="26"/>
  <c r="AM26" i="2"/>
  <c r="BM26" i="2" s="1"/>
  <c r="BV26" i="2" s="1"/>
  <c r="Z26" i="2" s="1"/>
  <c r="AM25" i="2"/>
  <c r="BM25" i="2" s="1"/>
  <c r="BV25" i="2" s="1"/>
  <c r="Z25" i="2" s="1"/>
  <c r="AM38" i="2"/>
  <c r="AZ38" i="2" s="1"/>
  <c r="BI38" i="2" s="1"/>
  <c r="V38" i="2" s="1"/>
  <c r="AM28" i="26"/>
  <c r="AN28" i="26" s="1"/>
  <c r="AR102" i="9"/>
  <c r="BB102" i="9" s="1"/>
  <c r="BD102" i="9" s="1"/>
  <c r="BO47" i="27"/>
  <c r="AM33" i="2"/>
  <c r="AV33" i="2" s="1"/>
  <c r="R33" i="2" s="1"/>
  <c r="AL27" i="26"/>
  <c r="AY27" i="26" s="1"/>
  <c r="BH27" i="26" s="1"/>
  <c r="U27" i="26" s="1"/>
  <c r="AT23" i="23"/>
  <c r="AW92" i="9"/>
  <c r="AM29" i="2"/>
  <c r="AV29" i="2" s="1"/>
  <c r="R29" i="2" s="1"/>
  <c r="BG25" i="22"/>
  <c r="BR28" i="21"/>
  <c r="BE28" i="21" s="1"/>
  <c r="BG28" i="21" s="1"/>
  <c r="AL23" i="2"/>
  <c r="AU23" i="2" s="1"/>
  <c r="AM39" i="2"/>
  <c r="AV39" i="2" s="1"/>
  <c r="R39" i="2" s="1"/>
  <c r="AT35" i="26"/>
  <c r="BB45" i="21"/>
  <c r="BD45" i="21" s="1"/>
  <c r="BQ23" i="20"/>
  <c r="AO20" i="24"/>
  <c r="BD56" i="9"/>
  <c r="BT36" i="22"/>
  <c r="BT40" i="23"/>
  <c r="AM43" i="22"/>
  <c r="AZ43" i="22" s="1"/>
  <c r="BB20" i="24"/>
  <c r="AM24" i="24"/>
  <c r="BM24" i="24" s="1"/>
  <c r="BV24" i="24" s="1"/>
  <c r="Z24" i="24" s="1"/>
  <c r="AW103" i="9"/>
  <c r="AT24" i="26"/>
  <c r="AL32" i="24"/>
  <c r="AU32" i="24" s="1"/>
  <c r="Q32" i="24" s="1"/>
  <c r="AM32" i="26"/>
  <c r="AZ32" i="26" s="1"/>
  <c r="BI32" i="26" s="1"/>
  <c r="V32" i="26" s="1"/>
  <c r="AL24" i="26"/>
  <c r="AM30" i="2"/>
  <c r="AV30" i="2" s="1"/>
  <c r="R30" i="2" s="1"/>
  <c r="AM26" i="26"/>
  <c r="AV26" i="26" s="1"/>
  <c r="AM31" i="26"/>
  <c r="AZ31" i="26" s="1"/>
  <c r="BI31" i="26" s="1"/>
  <c r="V31" i="26" s="1"/>
  <c r="AW102" i="9"/>
  <c r="AZ101" i="9"/>
  <c r="AL41" i="2"/>
  <c r="AU41" i="2" s="1"/>
  <c r="Q41" i="2" s="1"/>
  <c r="Y19" i="22"/>
  <c r="BL19" i="22" s="1"/>
  <c r="BB36" i="26"/>
  <c r="BD36" i="26" s="1"/>
  <c r="AM35" i="2"/>
  <c r="BM35" i="2" s="1"/>
  <c r="BV35" i="2" s="1"/>
  <c r="Z35" i="2" s="1"/>
  <c r="I37" i="21"/>
  <c r="AL31" i="26"/>
  <c r="AU31" i="26" s="1"/>
  <c r="Q31" i="26" s="1"/>
  <c r="AT24" i="23"/>
  <c r="AL25" i="2"/>
  <c r="AM45" i="26"/>
  <c r="BM45" i="26" s="1"/>
  <c r="BV45" i="26" s="1"/>
  <c r="Z45" i="26" s="1"/>
  <c r="AW85" i="9"/>
  <c r="AM46" i="26"/>
  <c r="AV46" i="26" s="1"/>
  <c r="R46" i="26" s="1"/>
  <c r="AR47" i="23"/>
  <c r="G16" i="9"/>
  <c r="I16" i="9" s="1"/>
  <c r="AL40" i="26"/>
  <c r="AM38" i="26"/>
  <c r="AW94" i="9"/>
  <c r="AL26" i="2"/>
  <c r="AY26" i="2" s="1"/>
  <c r="AZ84" i="9"/>
  <c r="AZ108" i="9" s="1"/>
  <c r="AM31" i="2"/>
  <c r="AV31" i="2" s="1"/>
  <c r="R31" i="2" s="1"/>
  <c r="BG44" i="2"/>
  <c r="AL32" i="2"/>
  <c r="BL32" i="2" s="1"/>
  <c r="G37" i="22"/>
  <c r="G40" i="22" s="1"/>
  <c r="U19" i="22" s="1"/>
  <c r="AY19" i="22" s="1"/>
  <c r="BQ33" i="21"/>
  <c r="BT29" i="20"/>
  <c r="AL44" i="2"/>
  <c r="AN44" i="2" s="1"/>
  <c r="BO22" i="24"/>
  <c r="BQ44" i="28"/>
  <c r="AM27" i="22"/>
  <c r="AZ27" i="22" s="1"/>
  <c r="BA27" i="22" s="1"/>
  <c r="AM42" i="23"/>
  <c r="BM42" i="23" s="1"/>
  <c r="BV42" i="23" s="1"/>
  <c r="Z42" i="23" s="1"/>
  <c r="AL25" i="26"/>
  <c r="AY25" i="26" s="1"/>
  <c r="AL32" i="26"/>
  <c r="AU32" i="26" s="1"/>
  <c r="Q32" i="26" s="1"/>
  <c r="AM27" i="26"/>
  <c r="AL35" i="2"/>
  <c r="AM35" i="26"/>
  <c r="BM35" i="26" s="1"/>
  <c r="BV35" i="26" s="1"/>
  <c r="Z35" i="26" s="1"/>
  <c r="BB38" i="27"/>
  <c r="BD38" i="27" s="1"/>
  <c r="AM42" i="2"/>
  <c r="AV42" i="2" s="1"/>
  <c r="R42" i="2" s="1"/>
  <c r="AM23" i="26"/>
  <c r="AV23" i="26" s="1"/>
  <c r="R23" i="26" s="1"/>
  <c r="AU41" i="20"/>
  <c r="Q41" i="20" s="1"/>
  <c r="BG43" i="23"/>
  <c r="AL46" i="2"/>
  <c r="BQ43" i="26"/>
  <c r="BT41" i="23"/>
  <c r="BD65" i="9"/>
  <c r="AT34" i="26"/>
  <c r="AL43" i="22"/>
  <c r="AM27" i="24"/>
  <c r="BT24" i="26"/>
  <c r="AL31" i="23"/>
  <c r="AU31" i="23" s="1"/>
  <c r="Q31" i="23" s="1"/>
  <c r="AM40" i="24"/>
  <c r="AV40" i="24" s="1"/>
  <c r="R40" i="24" s="1"/>
  <c r="AM24" i="26"/>
  <c r="AV24" i="26" s="1"/>
  <c r="R24" i="26" s="1"/>
  <c r="AL26" i="26"/>
  <c r="AU26" i="26" s="1"/>
  <c r="Q26" i="26" s="1"/>
  <c r="AT30" i="27"/>
  <c r="AM26" i="27"/>
  <c r="AL24" i="27"/>
  <c r="BL24" i="27" s="1"/>
  <c r="AM37" i="27"/>
  <c r="AV37" i="27" s="1"/>
  <c r="R37" i="27" s="1"/>
  <c r="AM29" i="27"/>
  <c r="AV29" i="27" s="1"/>
  <c r="R29" i="27" s="1"/>
  <c r="AT33" i="23"/>
  <c r="BR26" i="28"/>
  <c r="BE26" i="28" s="1"/>
  <c r="AT26" i="28"/>
  <c r="I36" i="25"/>
  <c r="I44" i="25" s="1"/>
  <c r="I45" i="25" s="1"/>
  <c r="I46" i="25" s="1"/>
  <c r="Y17" i="25"/>
  <c r="BL18" i="25" s="1"/>
  <c r="G36" i="25"/>
  <c r="G40" i="25" s="1"/>
  <c r="U19" i="25" s="1"/>
  <c r="AY19" i="25" s="1"/>
  <c r="BB30" i="25"/>
  <c r="BD30" i="25" s="1"/>
  <c r="BQ30" i="25"/>
  <c r="BF38" i="24"/>
  <c r="BG38" i="24" s="1"/>
  <c r="BT38" i="24"/>
  <c r="BR40" i="26"/>
  <c r="BT40" i="26" s="1"/>
  <c r="AT40" i="26"/>
  <c r="BR44" i="28"/>
  <c r="AT44" i="28"/>
  <c r="AT38" i="26"/>
  <c r="BR30" i="22"/>
  <c r="AT30" i="22"/>
  <c r="AT41" i="24"/>
  <c r="I38" i="24"/>
  <c r="J35" i="24" s="1"/>
  <c r="G38" i="24"/>
  <c r="BD35" i="24"/>
  <c r="AT23" i="20"/>
  <c r="BR23" i="20"/>
  <c r="BT23" i="20" s="1"/>
  <c r="BQ26" i="23"/>
  <c r="BO20" i="2"/>
  <c r="AL43" i="27"/>
  <c r="BL43" i="27" s="1"/>
  <c r="BR44" i="21"/>
  <c r="AT44" i="21"/>
  <c r="AR104" i="9"/>
  <c r="BB104" i="9" s="1"/>
  <c r="BD104" i="9" s="1"/>
  <c r="AL35" i="27"/>
  <c r="AY35" i="27" s="1"/>
  <c r="D38" i="20"/>
  <c r="AR99" i="9"/>
  <c r="BB99" i="9" s="1"/>
  <c r="BD99" i="9" s="1"/>
  <c r="AM41" i="22"/>
  <c r="AZ41" i="22" s="1"/>
  <c r="BI41" i="22" s="1"/>
  <c r="V41" i="22" s="1"/>
  <c r="M32" i="22"/>
  <c r="AL40" i="22"/>
  <c r="AY40" i="22" s="1"/>
  <c r="BH40" i="22" s="1"/>
  <c r="AL36" i="22"/>
  <c r="AY36" i="22" s="1"/>
  <c r="BH36" i="22" s="1"/>
  <c r="U36" i="22" s="1"/>
  <c r="AM46" i="22"/>
  <c r="AM22" i="22" s="1"/>
  <c r="AL25" i="22"/>
  <c r="AY25" i="22" s="1"/>
  <c r="AM45" i="22"/>
  <c r="AZ45" i="22" s="1"/>
  <c r="AM35" i="22"/>
  <c r="BM35" i="22" s="1"/>
  <c r="BV35" i="22" s="1"/>
  <c r="Z35" i="22" s="1"/>
  <c r="AL33" i="22"/>
  <c r="AU33" i="22" s="1"/>
  <c r="Q33" i="22" s="1"/>
  <c r="AL41" i="22"/>
  <c r="AY41" i="22" s="1"/>
  <c r="AM34" i="22"/>
  <c r="AV34" i="22" s="1"/>
  <c r="R34" i="22" s="1"/>
  <c r="AL30" i="22"/>
  <c r="AM33" i="22"/>
  <c r="AM40" i="22"/>
  <c r="BM40" i="22" s="1"/>
  <c r="BV40" i="22" s="1"/>
  <c r="Z40" i="22" s="1"/>
  <c r="AM44" i="22"/>
  <c r="AL37" i="22"/>
  <c r="BL37" i="22" s="1"/>
  <c r="BU37" i="22" s="1"/>
  <c r="Y37" i="22" s="1"/>
  <c r="AL44" i="22"/>
  <c r="AU44" i="22" s="1"/>
  <c r="Q44" i="22" s="1"/>
  <c r="AM32" i="22"/>
  <c r="BM32" i="22" s="1"/>
  <c r="BV32" i="22" s="1"/>
  <c r="Z32" i="22" s="1"/>
  <c r="AL23" i="22"/>
  <c r="AU23" i="22" s="1"/>
  <c r="Q23" i="22" s="1"/>
  <c r="AM31" i="22"/>
  <c r="AV31" i="22" s="1"/>
  <c r="R31" i="22" s="1"/>
  <c r="AL35" i="22"/>
  <c r="AL46" i="22"/>
  <c r="BL46" i="22" s="1"/>
  <c r="BL22" i="22" s="1"/>
  <c r="AX2" i="9"/>
  <c r="BA92" i="9"/>
  <c r="BA104" i="9"/>
  <c r="BD52" i="9"/>
  <c r="AT33" i="21"/>
  <c r="AM44" i="27"/>
  <c r="BM44" i="27" s="1"/>
  <c r="BV44" i="27" s="1"/>
  <c r="Z44" i="27" s="1"/>
  <c r="AT23" i="25"/>
  <c r="D38" i="28"/>
  <c r="AR105" i="9"/>
  <c r="BB105" i="9" s="1"/>
  <c r="BD105" i="9" s="1"/>
  <c r="BR40" i="25"/>
  <c r="AT40" i="25"/>
  <c r="AZ96" i="9"/>
  <c r="BS23" i="28"/>
  <c r="BF23" i="28" s="1"/>
  <c r="BG23" i="28" s="1"/>
  <c r="AT23" i="28"/>
  <c r="AR22" i="28"/>
  <c r="BR46" i="28"/>
  <c r="BC35" i="28"/>
  <c r="BD35" i="28" s="1"/>
  <c r="BQ35" i="28"/>
  <c r="BB20" i="2"/>
  <c r="BZ19" i="2"/>
  <c r="Z96" i="2" s="1"/>
  <c r="BR28" i="23"/>
  <c r="AT28" i="23"/>
  <c r="BR35" i="28"/>
  <c r="AT35" i="28"/>
  <c r="BQ35" i="24"/>
  <c r="BF39" i="21"/>
  <c r="BG39" i="21" s="1"/>
  <c r="BT39" i="21"/>
  <c r="BS44" i="22"/>
  <c r="AT44" i="22"/>
  <c r="BR26" i="22"/>
  <c r="AT26" i="22"/>
  <c r="BQ43" i="25"/>
  <c r="BC43" i="25"/>
  <c r="BD43" i="25" s="1"/>
  <c r="AM27" i="27"/>
  <c r="BT27" i="26"/>
  <c r="BR32" i="22"/>
  <c r="AT32" i="22"/>
  <c r="G23" i="9"/>
  <c r="I23" i="9" s="1"/>
  <c r="AT30" i="28"/>
  <c r="AL29" i="27"/>
  <c r="AZ87" i="9"/>
  <c r="AM43" i="27"/>
  <c r="AT27" i="23"/>
  <c r="BC24" i="2"/>
  <c r="Y19" i="23"/>
  <c r="BL19" i="23" s="1"/>
  <c r="I34" i="23"/>
  <c r="AT45" i="22"/>
  <c r="AZ104" i="9"/>
  <c r="BR37" i="20"/>
  <c r="BE37" i="20" s="1"/>
  <c r="BG37" i="20" s="1"/>
  <c r="AT37" i="20"/>
  <c r="BQ46" i="20"/>
  <c r="AT29" i="28"/>
  <c r="AT26" i="23"/>
  <c r="AM29" i="22"/>
  <c r="AZ29" i="22" s="1"/>
  <c r="BI29" i="22" s="1"/>
  <c r="V29" i="22" s="1"/>
  <c r="AX99" i="9"/>
  <c r="AX88" i="9"/>
  <c r="AX85" i="9"/>
  <c r="AX98" i="9"/>
  <c r="AX86" i="9"/>
  <c r="AX97" i="9"/>
  <c r="AX87" i="9"/>
  <c r="AX84" i="9"/>
  <c r="AX108" i="9" s="1"/>
  <c r="AS105" i="9"/>
  <c r="AS103" i="9"/>
  <c r="AS90" i="9"/>
  <c r="AS93" i="9"/>
  <c r="BQ40" i="2"/>
  <c r="BB40" i="2"/>
  <c r="BD40" i="2" s="1"/>
  <c r="BR27" i="28"/>
  <c r="BE27" i="28" s="1"/>
  <c r="BG27" i="28" s="1"/>
  <c r="AT27" i="28"/>
  <c r="I34" i="25"/>
  <c r="AT45" i="28"/>
  <c r="AT38" i="2"/>
  <c r="BS46" i="27"/>
  <c r="BF46" i="27" s="1"/>
  <c r="BF22" i="27" s="1"/>
  <c r="AS22" i="27"/>
  <c r="BB33" i="20"/>
  <c r="BD33" i="20" s="1"/>
  <c r="BQ33" i="20"/>
  <c r="BR32" i="2"/>
  <c r="AT32" i="2"/>
  <c r="AR98" i="9"/>
  <c r="BB98" i="9" s="1"/>
  <c r="AR96" i="9"/>
  <c r="BB96" i="9" s="1"/>
  <c r="AR94" i="9"/>
  <c r="BB94" i="9" s="1"/>
  <c r="Y22" i="9" s="1"/>
  <c r="AA22" i="9" s="1"/>
  <c r="AR107" i="9"/>
  <c r="AR83" i="9" s="1"/>
  <c r="BB83" i="9" s="1"/>
  <c r="AR106" i="9"/>
  <c r="BB106" i="9" s="1"/>
  <c r="Y34" i="9" s="1"/>
  <c r="AA34" i="9" s="1"/>
  <c r="AR85" i="9"/>
  <c r="BB85" i="9" s="1"/>
  <c r="BD85" i="9" s="1"/>
  <c r="AR91" i="9"/>
  <c r="BB91" i="9" s="1"/>
  <c r="Y19" i="9" s="1"/>
  <c r="AA19" i="9" s="1"/>
  <c r="AR97" i="9"/>
  <c r="BB97" i="9" s="1"/>
  <c r="Y25" i="9" s="1"/>
  <c r="AA25" i="9" s="1"/>
  <c r="AR90" i="9"/>
  <c r="BB90" i="9" s="1"/>
  <c r="BD90" i="9" s="1"/>
  <c r="AR103" i="9"/>
  <c r="BB103" i="9" s="1"/>
  <c r="Y31" i="9" s="1"/>
  <c r="AA31" i="9" s="1"/>
  <c r="AR86" i="9"/>
  <c r="BB86" i="9" s="1"/>
  <c r="Y14" i="9" s="1"/>
  <c r="AA14" i="9" s="1"/>
  <c r="BR31" i="23"/>
  <c r="BT31" i="23" s="1"/>
  <c r="AT31" i="23"/>
  <c r="AU32" i="2"/>
  <c r="Q32" i="2" s="1"/>
  <c r="Y19" i="25"/>
  <c r="BL19" i="25" s="1"/>
  <c r="AR95" i="9"/>
  <c r="BB95" i="9" s="1"/>
  <c r="Y23" i="9" s="1"/>
  <c r="AA23" i="9" s="1"/>
  <c r="AZ91" i="9"/>
  <c r="AZ103" i="9"/>
  <c r="AZ93" i="9"/>
  <c r="AZ107" i="9"/>
  <c r="AZ83" i="9" s="1"/>
  <c r="AZ99" i="9"/>
  <c r="AZ100" i="9"/>
  <c r="AZ95" i="9"/>
  <c r="AZ86" i="9"/>
  <c r="BR37" i="27"/>
  <c r="BE37" i="27" s="1"/>
  <c r="AT37" i="27"/>
  <c r="BB46" i="20"/>
  <c r="BB22" i="20" s="1"/>
  <c r="BO22" i="20"/>
  <c r="BE44" i="23"/>
  <c r="BG44" i="23" s="1"/>
  <c r="BT44" i="23"/>
  <c r="AZ94" i="9"/>
  <c r="AZ105" i="9"/>
  <c r="BE39" i="23"/>
  <c r="BG39" i="23" s="1"/>
  <c r="BT39" i="23"/>
  <c r="AT40" i="27"/>
  <c r="BR40" i="27"/>
  <c r="BT40" i="27" s="1"/>
  <c r="BB30" i="22"/>
  <c r="BD30" i="22" s="1"/>
  <c r="BQ30" i="22"/>
  <c r="AT42" i="26"/>
  <c r="AT43" i="24"/>
  <c r="BT31" i="26"/>
  <c r="AZ102" i="9"/>
  <c r="BQ25" i="21"/>
  <c r="BC25" i="21"/>
  <c r="BD25" i="21" s="1"/>
  <c r="AT39" i="23"/>
  <c r="AT41" i="20"/>
  <c r="BR41" i="20"/>
  <c r="BE41" i="20" s="1"/>
  <c r="AZ85" i="9"/>
  <c r="BB41" i="22"/>
  <c r="BD41" i="22" s="1"/>
  <c r="BQ41" i="22"/>
  <c r="AT34" i="2"/>
  <c r="BT44" i="2"/>
  <c r="BT37" i="23"/>
  <c r="AR101" i="9"/>
  <c r="BB101" i="9" s="1"/>
  <c r="Y29" i="9" s="1"/>
  <c r="AA29" i="9" s="1"/>
  <c r="BM37" i="26"/>
  <c r="BV37" i="26" s="1"/>
  <c r="Z37" i="26" s="1"/>
  <c r="AZ90" i="9"/>
  <c r="BR29" i="2"/>
  <c r="BE29" i="2" s="1"/>
  <c r="AT29" i="2"/>
  <c r="AT32" i="23"/>
  <c r="AT41" i="26"/>
  <c r="AM25" i="22"/>
  <c r="AZ25" i="22" s="1"/>
  <c r="AR93" i="9"/>
  <c r="BB93" i="9" s="1"/>
  <c r="Y21" i="9" s="1"/>
  <c r="AA21" i="9" s="1"/>
  <c r="AR87" i="9"/>
  <c r="BB87" i="9" s="1"/>
  <c r="Y15" i="9" s="1"/>
  <c r="AA15" i="9" s="1"/>
  <c r="AZ98" i="9"/>
  <c r="Y17" i="22"/>
  <c r="BL18" i="22" s="1"/>
  <c r="AT36" i="23"/>
  <c r="AT28" i="28"/>
  <c r="AT30" i="21"/>
  <c r="BG33" i="2"/>
  <c r="BL20" i="24"/>
  <c r="AL29" i="24"/>
  <c r="BL29" i="24" s="1"/>
  <c r="M32" i="24"/>
  <c r="AT45" i="26"/>
  <c r="BL43" i="26"/>
  <c r="BU43" i="26" s="1"/>
  <c r="Y43" i="26" s="1"/>
  <c r="AL20" i="24"/>
  <c r="BQ45" i="20"/>
  <c r="AM35" i="24"/>
  <c r="D37" i="26"/>
  <c r="AT35" i="25"/>
  <c r="AT34" i="23"/>
  <c r="AT23" i="26"/>
  <c r="AU28" i="26"/>
  <c r="Q28" i="26" s="1"/>
  <c r="AT36" i="20"/>
  <c r="BT43" i="23"/>
  <c r="AL31" i="24"/>
  <c r="AY31" i="24" s="1"/>
  <c r="BG29" i="20"/>
  <c r="BG34" i="23"/>
  <c r="AT38" i="21"/>
  <c r="AT34" i="22"/>
  <c r="AT40" i="2"/>
  <c r="BT45" i="26"/>
  <c r="BT43" i="28"/>
  <c r="AL39" i="24"/>
  <c r="AU39" i="24" s="1"/>
  <c r="Q39" i="24" s="1"/>
  <c r="AL38" i="24"/>
  <c r="AU38" i="24" s="1"/>
  <c r="Q38" i="24" s="1"/>
  <c r="BB20" i="26"/>
  <c r="AU34" i="26"/>
  <c r="Q34" i="26" s="1"/>
  <c r="BD24" i="25"/>
  <c r="AW88" i="9"/>
  <c r="AL41" i="26"/>
  <c r="AY41" i="26" s="1"/>
  <c r="AL37" i="26"/>
  <c r="AU37" i="26" s="1"/>
  <c r="Q37" i="26" s="1"/>
  <c r="AS2" i="9"/>
  <c r="AT2" i="9"/>
  <c r="Y19" i="28"/>
  <c r="BL19" i="28" s="1"/>
  <c r="BA2" i="9"/>
  <c r="AT46" i="21"/>
  <c r="AT46" i="28"/>
  <c r="BO47" i="20"/>
  <c r="BQ46" i="22"/>
  <c r="AT41" i="22"/>
  <c r="BT36" i="23"/>
  <c r="AW91" i="9"/>
  <c r="AW87" i="9"/>
  <c r="AT31" i="20"/>
  <c r="D37" i="28"/>
  <c r="AW105" i="9"/>
  <c r="AW97" i="9"/>
  <c r="AW106" i="9"/>
  <c r="BC37" i="27"/>
  <c r="BD37" i="27" s="1"/>
  <c r="AS86" i="9"/>
  <c r="BB23" i="22"/>
  <c r="BQ23" i="22"/>
  <c r="BA84" i="9"/>
  <c r="BA108" i="9" s="1"/>
  <c r="BB40" i="24"/>
  <c r="BD40" i="24" s="1"/>
  <c r="AS106" i="9"/>
  <c r="AS107" i="9"/>
  <c r="AS83" i="9" s="1"/>
  <c r="BQ28" i="27"/>
  <c r="BO47" i="23"/>
  <c r="D38" i="27"/>
  <c r="BA95" i="9"/>
  <c r="BB44" i="24"/>
  <c r="BD44" i="24" s="1"/>
  <c r="BQ44" i="24"/>
  <c r="AT38" i="24"/>
  <c r="AL32" i="20"/>
  <c r="AU32" i="20" s="1"/>
  <c r="Q32" i="20" s="1"/>
  <c r="AM41" i="20"/>
  <c r="AV41" i="20" s="1"/>
  <c r="R41" i="20" s="1"/>
  <c r="AL27" i="20"/>
  <c r="AY27" i="20" s="1"/>
  <c r="AM46" i="20"/>
  <c r="AV46" i="20" s="1"/>
  <c r="R46" i="20" s="1"/>
  <c r="BA88" i="9"/>
  <c r="BR40" i="2"/>
  <c r="AU2" i="9"/>
  <c r="I37" i="26"/>
  <c r="AR22" i="26"/>
  <c r="BR46" i="26"/>
  <c r="BT46" i="26" s="1"/>
  <c r="BR32" i="26"/>
  <c r="AT32" i="26"/>
  <c r="Y17" i="28"/>
  <c r="BL18" i="28" s="1"/>
  <c r="AY24" i="27"/>
  <c r="BG37" i="26"/>
  <c r="BA101" i="9"/>
  <c r="BR41" i="24"/>
  <c r="BA90" i="9"/>
  <c r="BA107" i="9"/>
  <c r="BA83" i="9" s="1"/>
  <c r="AN32" i="2"/>
  <c r="BR28" i="20"/>
  <c r="BE28" i="20" s="1"/>
  <c r="BG28" i="20" s="1"/>
  <c r="AM23" i="20"/>
  <c r="AV23" i="20" s="1"/>
  <c r="R23" i="20" s="1"/>
  <c r="BG29" i="27"/>
  <c r="AR47" i="2"/>
  <c r="BA94" i="9"/>
  <c r="AQ47" i="27"/>
  <c r="AQ47" i="25"/>
  <c r="BF24" i="24"/>
  <c r="AX94" i="9"/>
  <c r="BB30" i="21"/>
  <c r="BD30" i="21" s="1"/>
  <c r="AS104" i="9"/>
  <c r="BD26" i="20"/>
  <c r="AL35" i="20"/>
  <c r="AU35" i="20" s="1"/>
  <c r="BA99" i="9"/>
  <c r="AM35" i="20"/>
  <c r="AZ35" i="20" s="1"/>
  <c r="BI35" i="20" s="1"/>
  <c r="V35" i="20" s="1"/>
  <c r="D37" i="24"/>
  <c r="BA86" i="9"/>
  <c r="BA97" i="9"/>
  <c r="BT33" i="26"/>
  <c r="BE33" i="26"/>
  <c r="BG33" i="26" s="1"/>
  <c r="BB31" i="24"/>
  <c r="BD31" i="24" s="1"/>
  <c r="BQ31" i="24"/>
  <c r="D37" i="27"/>
  <c r="BT42" i="28"/>
  <c r="BQ40" i="28"/>
  <c r="AM31" i="20"/>
  <c r="AV31" i="20" s="1"/>
  <c r="R31" i="20" s="1"/>
  <c r="BA91" i="9"/>
  <c r="BB32" i="24"/>
  <c r="BD32" i="24" s="1"/>
  <c r="BQ32" i="24"/>
  <c r="AL45" i="20"/>
  <c r="BL45" i="20" s="1"/>
  <c r="AT27" i="21"/>
  <c r="AR47" i="25"/>
  <c r="AT33" i="25"/>
  <c r="AL25" i="20"/>
  <c r="AS91" i="9"/>
  <c r="BS46" i="20"/>
  <c r="AT27" i="20"/>
  <c r="AT25" i="25"/>
  <c r="AT29" i="23"/>
  <c r="AT39" i="26"/>
  <c r="AT36" i="28"/>
  <c r="AS87" i="9"/>
  <c r="AT29" i="26"/>
  <c r="AL32" i="22"/>
  <c r="AU32" i="22" s="1"/>
  <c r="Q32" i="22" s="1"/>
  <c r="AL31" i="22"/>
  <c r="AU31" i="22" s="1"/>
  <c r="AR47" i="26"/>
  <c r="BR34" i="22"/>
  <c r="BE34" i="22" s="1"/>
  <c r="BG34" i="22" s="1"/>
  <c r="I38" i="28"/>
  <c r="BG41" i="22"/>
  <c r="AL39" i="20"/>
  <c r="AY39" i="20" s="1"/>
  <c r="AL28" i="20"/>
  <c r="AY28" i="20" s="1"/>
  <c r="BA87" i="9"/>
  <c r="AQ22" i="21"/>
  <c r="AT27" i="25"/>
  <c r="AM38" i="20"/>
  <c r="AZ38" i="20" s="1"/>
  <c r="BI38" i="20" s="1"/>
  <c r="V38" i="20" s="1"/>
  <c r="AL26" i="20"/>
  <c r="AY26" i="20" s="1"/>
  <c r="AS47" i="23"/>
  <c r="AS96" i="9"/>
  <c r="AM30" i="20"/>
  <c r="BM30" i="20" s="1"/>
  <c r="BV30" i="20" s="1"/>
  <c r="AN31" i="2"/>
  <c r="AN27" i="2"/>
  <c r="BD60" i="9"/>
  <c r="AU27" i="22"/>
  <c r="Q27" i="22" s="1"/>
  <c r="AT41" i="2"/>
  <c r="AS47" i="26"/>
  <c r="BL20" i="28"/>
  <c r="AS98" i="9"/>
  <c r="AT28" i="26"/>
  <c r="AT30" i="26"/>
  <c r="AM30" i="22"/>
  <c r="AL45" i="22"/>
  <c r="BL45" i="22" s="1"/>
  <c r="AT32" i="21"/>
  <c r="BB30" i="26"/>
  <c r="BD30" i="26" s="1"/>
  <c r="AM32" i="20"/>
  <c r="AV32" i="20" s="1"/>
  <c r="R32" i="20" s="1"/>
  <c r="D37" i="22"/>
  <c r="I36" i="26"/>
  <c r="I44" i="26" s="1"/>
  <c r="I45" i="26" s="1"/>
  <c r="I46" i="26" s="1"/>
  <c r="G36" i="26"/>
  <c r="AM29" i="20"/>
  <c r="AZ29" i="20" s="1"/>
  <c r="BI29" i="20" s="1"/>
  <c r="AL24" i="20"/>
  <c r="AL29" i="20"/>
  <c r="AM36" i="20"/>
  <c r="AV36" i="20" s="1"/>
  <c r="R36" i="20" s="1"/>
  <c r="AM33" i="20"/>
  <c r="AV33" i="20" s="1"/>
  <c r="R33" i="20" s="1"/>
  <c r="AL23" i="20"/>
  <c r="AU23" i="20" s="1"/>
  <c r="Q23" i="20" s="1"/>
  <c r="AL34" i="20"/>
  <c r="AY34" i="20" s="1"/>
  <c r="BH34" i="20" s="1"/>
  <c r="U34" i="20" s="1"/>
  <c r="AM43" i="20"/>
  <c r="AV43" i="20" s="1"/>
  <c r="R43" i="20" s="1"/>
  <c r="AL42" i="20"/>
  <c r="AU42" i="20" s="1"/>
  <c r="Q42" i="20" s="1"/>
  <c r="AL31" i="20"/>
  <c r="AU31" i="20" s="1"/>
  <c r="Q31" i="20" s="1"/>
  <c r="AM26" i="20"/>
  <c r="AV26" i="20" s="1"/>
  <c r="R26" i="20" s="1"/>
  <c r="AL30" i="20"/>
  <c r="AL37" i="20"/>
  <c r="AY37" i="20" s="1"/>
  <c r="AM44" i="20"/>
  <c r="AV44" i="20" s="1"/>
  <c r="R44" i="20" s="1"/>
  <c r="AM27" i="20"/>
  <c r="AV27" i="20" s="1"/>
  <c r="R27" i="20" s="1"/>
  <c r="AS88" i="9"/>
  <c r="BA93" i="9"/>
  <c r="BY19" i="28"/>
  <c r="Y96" i="28" s="1"/>
  <c r="AS97" i="9"/>
  <c r="AS95" i="9"/>
  <c r="AL33" i="20"/>
  <c r="AY33" i="20" s="1"/>
  <c r="AS22" i="28"/>
  <c r="AY20" i="28"/>
  <c r="Y19" i="21"/>
  <c r="BL19" i="21" s="1"/>
  <c r="BP22" i="20"/>
  <c r="BC46" i="20"/>
  <c r="BC22" i="20" s="1"/>
  <c r="AT37" i="26"/>
  <c r="BA98" i="9"/>
  <c r="AS92" i="9"/>
  <c r="AS89" i="9"/>
  <c r="AS47" i="22"/>
  <c r="BA106" i="9"/>
  <c r="AT37" i="28"/>
  <c r="BQ45" i="2"/>
  <c r="M32" i="20"/>
  <c r="D38" i="24"/>
  <c r="BT29" i="23"/>
  <c r="AS102" i="9"/>
  <c r="AM24" i="20"/>
  <c r="AV24" i="20" s="1"/>
  <c r="R24" i="20" s="1"/>
  <c r="BP47" i="25"/>
  <c r="BG26" i="2"/>
  <c r="AL46" i="20"/>
  <c r="BL46" i="20" s="1"/>
  <c r="BL22" i="20" s="1"/>
  <c r="AU36" i="26"/>
  <c r="Q36" i="26" s="1"/>
  <c r="BT40" i="22"/>
  <c r="BR38" i="21"/>
  <c r="BE38" i="21" s="1"/>
  <c r="BG38" i="21" s="1"/>
  <c r="AT44" i="26"/>
  <c r="AS101" i="9"/>
  <c r="AM24" i="22"/>
  <c r="AZ24" i="22" s="1"/>
  <c r="AT37" i="22"/>
  <c r="AL29" i="22"/>
  <c r="AU29" i="22" s="1"/>
  <c r="Q29" i="22" s="1"/>
  <c r="BT26" i="2"/>
  <c r="AL44" i="20"/>
  <c r="AU44" i="20" s="1"/>
  <c r="Q44" i="20" s="1"/>
  <c r="AM25" i="20"/>
  <c r="AV25" i="20" s="1"/>
  <c r="AU33" i="2"/>
  <c r="Q33" i="2" s="1"/>
  <c r="AM28" i="20"/>
  <c r="AV28" i="20" s="1"/>
  <c r="R28" i="20" s="1"/>
  <c r="BR29" i="22"/>
  <c r="AT29" i="22"/>
  <c r="BB36" i="24"/>
  <c r="BD36" i="24" s="1"/>
  <c r="BQ36" i="24"/>
  <c r="AM37" i="20"/>
  <c r="AV37" i="20" s="1"/>
  <c r="R37" i="20" s="1"/>
  <c r="BT37" i="26"/>
  <c r="AT26" i="21"/>
  <c r="AT39" i="28"/>
  <c r="BA96" i="9"/>
  <c r="AR22" i="24"/>
  <c r="AT27" i="26"/>
  <c r="G25" i="9"/>
  <c r="I25" i="9" s="1"/>
  <c r="BS46" i="28"/>
  <c r="BS22" i="28" s="1"/>
  <c r="BG37" i="28"/>
  <c r="AS100" i="9"/>
  <c r="I34" i="26"/>
  <c r="AM45" i="20"/>
  <c r="AV45" i="20" s="1"/>
  <c r="R45" i="20" s="1"/>
  <c r="AL38" i="20"/>
  <c r="AT31" i="26"/>
  <c r="AL43" i="20"/>
  <c r="BA100" i="9"/>
  <c r="BA89" i="9"/>
  <c r="BA103" i="9"/>
  <c r="BA102" i="9"/>
  <c r="BA85" i="9"/>
  <c r="BA105" i="9"/>
  <c r="BR24" i="24"/>
  <c r="BE24" i="24" s="1"/>
  <c r="AT24" i="24"/>
  <c r="AT40" i="22"/>
  <c r="AQ47" i="26"/>
  <c r="AS84" i="9"/>
  <c r="AS108" i="9" s="1"/>
  <c r="AS85" i="9"/>
  <c r="AM39" i="20"/>
  <c r="AZ39" i="20" s="1"/>
  <c r="BG33" i="25"/>
  <c r="AM40" i="20"/>
  <c r="BM40" i="20" s="1"/>
  <c r="BT37" i="28"/>
  <c r="AS94" i="9"/>
  <c r="AM34" i="20"/>
  <c r="AT26" i="2"/>
  <c r="AT42" i="28"/>
  <c r="AS47" i="2"/>
  <c r="AL40" i="20"/>
  <c r="AY40" i="20" s="1"/>
  <c r="AL36" i="20"/>
  <c r="AY36" i="20" s="1"/>
  <c r="AT40" i="21"/>
  <c r="AQ47" i="20"/>
  <c r="D36" i="28"/>
  <c r="Y17" i="2"/>
  <c r="BL18" i="2" s="1"/>
  <c r="BM28" i="2"/>
  <c r="BV28" i="2" s="1"/>
  <c r="Z28" i="2" s="1"/>
  <c r="BL45" i="2"/>
  <c r="BU45" i="2" s="1"/>
  <c r="Y45" i="2" s="1"/>
  <c r="AY31" i="2"/>
  <c r="AZ30" i="2"/>
  <c r="BI30" i="2" s="1"/>
  <c r="V30" i="2" s="1"/>
  <c r="I34" i="2"/>
  <c r="BL33" i="2"/>
  <c r="BU33" i="2" s="1"/>
  <c r="Y33" i="2" s="1"/>
  <c r="AZ28" i="2"/>
  <c r="BM34" i="2"/>
  <c r="BV34" i="2" s="1"/>
  <c r="Z34" i="2" s="1"/>
  <c r="AY33" i="2"/>
  <c r="BH33" i="2" s="1"/>
  <c r="U33" i="2" s="1"/>
  <c r="G36" i="2"/>
  <c r="AZ23" i="2"/>
  <c r="BI23" i="2" s="1"/>
  <c r="V23" i="2" s="1"/>
  <c r="BL27" i="2"/>
  <c r="BU27" i="2" s="1"/>
  <c r="Y27" i="2" s="1"/>
  <c r="Y19" i="2"/>
  <c r="BL19" i="2" s="1"/>
  <c r="I36" i="2"/>
  <c r="G38" i="2"/>
  <c r="I38" i="2"/>
  <c r="D36" i="2"/>
  <c r="D38" i="2"/>
  <c r="G36" i="20"/>
  <c r="I36" i="20"/>
  <c r="K35" i="20" s="1"/>
  <c r="Y17" i="20"/>
  <c r="BL18" i="20" s="1"/>
  <c r="I34" i="20"/>
  <c r="AY41" i="20"/>
  <c r="BL41" i="20"/>
  <c r="Y19" i="20"/>
  <c r="BL19" i="20" s="1"/>
  <c r="AY30" i="20"/>
  <c r="BB37" i="26"/>
  <c r="BD37" i="26" s="1"/>
  <c r="BQ37" i="26"/>
  <c r="BC34" i="28"/>
  <c r="BD34" i="28" s="1"/>
  <c r="BQ34" i="28"/>
  <c r="BB37" i="24"/>
  <c r="BD37" i="24" s="1"/>
  <c r="BQ37" i="24"/>
  <c r="BO47" i="24"/>
  <c r="BC25" i="22"/>
  <c r="BP47" i="22"/>
  <c r="BQ25" i="22"/>
  <c r="BR24" i="20"/>
  <c r="AT24" i="20"/>
  <c r="AR47" i="20"/>
  <c r="BS25" i="24"/>
  <c r="AS47" i="24"/>
  <c r="AQ47" i="21"/>
  <c r="BS37" i="21"/>
  <c r="BF37" i="21" s="1"/>
  <c r="BG37" i="21" s="1"/>
  <c r="AT37" i="21"/>
  <c r="BQ42" i="28"/>
  <c r="BR34" i="25"/>
  <c r="AT34" i="25"/>
  <c r="AQ47" i="22"/>
  <c r="AY2" i="9"/>
  <c r="BB32" i="28"/>
  <c r="BD32" i="28" s="1"/>
  <c r="BQ32" i="28"/>
  <c r="BR43" i="25"/>
  <c r="AT43" i="25"/>
  <c r="BQ29" i="27"/>
  <c r="BC29" i="27"/>
  <c r="P15" i="9"/>
  <c r="R15" i="9" s="1"/>
  <c r="BD51" i="9"/>
  <c r="BQ37" i="21"/>
  <c r="BC37" i="21"/>
  <c r="BR26" i="20"/>
  <c r="BT26" i="20" s="1"/>
  <c r="AT26" i="20"/>
  <c r="BD61" i="9"/>
  <c r="BZ23" i="20"/>
  <c r="BR45" i="27"/>
  <c r="AT45" i="27"/>
  <c r="BC44" i="2"/>
  <c r="BD44" i="2" s="1"/>
  <c r="BQ44" i="2"/>
  <c r="BR42" i="2"/>
  <c r="AT42" i="2"/>
  <c r="BQ45" i="28"/>
  <c r="BB41" i="21"/>
  <c r="BD41" i="21" s="1"/>
  <c r="BQ41" i="21"/>
  <c r="BZ19" i="27"/>
  <c r="Z96" i="27" s="1"/>
  <c r="AO20" i="27"/>
  <c r="BT23" i="24"/>
  <c r="BE23" i="24"/>
  <c r="BT35" i="23"/>
  <c r="BD45" i="28"/>
  <c r="BR42" i="27"/>
  <c r="AT42" i="27"/>
  <c r="BR38" i="22"/>
  <c r="BT38" i="22" s="1"/>
  <c r="AT38" i="22"/>
  <c r="BS46" i="22"/>
  <c r="AS22" i="22"/>
  <c r="P30" i="9"/>
  <c r="R30" i="9" s="1"/>
  <c r="BD66" i="9"/>
  <c r="BO47" i="26"/>
  <c r="BR37" i="2"/>
  <c r="AT37" i="2"/>
  <c r="BR32" i="24"/>
  <c r="AT32" i="24"/>
  <c r="BR33" i="24"/>
  <c r="AT33" i="24"/>
  <c r="BD23" i="21"/>
  <c r="BQ32" i="21"/>
  <c r="BB32" i="21"/>
  <c r="BD32" i="21" s="1"/>
  <c r="BR30" i="24"/>
  <c r="AT30" i="24"/>
  <c r="I34" i="22"/>
  <c r="BR28" i="25"/>
  <c r="AT28" i="25"/>
  <c r="BE27" i="25"/>
  <c r="BG27" i="25" s="1"/>
  <c r="BT27" i="25"/>
  <c r="AU24" i="27"/>
  <c r="Q24" i="27" s="1"/>
  <c r="BM23" i="26"/>
  <c r="BV23" i="26" s="1"/>
  <c r="Z23" i="26" s="1"/>
  <c r="G36" i="21"/>
  <c r="AT34" i="21"/>
  <c r="I36" i="22"/>
  <c r="M35" i="22" s="1"/>
  <c r="BR25" i="21"/>
  <c r="BE25" i="21" s="1"/>
  <c r="BG25" i="21" s="1"/>
  <c r="BR25" i="27"/>
  <c r="AT25" i="27"/>
  <c r="AR22" i="22"/>
  <c r="BR46" i="22"/>
  <c r="AT46" i="22"/>
  <c r="BS36" i="2"/>
  <c r="AT36" i="2"/>
  <c r="I36" i="27"/>
  <c r="I34" i="27"/>
  <c r="G36" i="27"/>
  <c r="Y17" i="27"/>
  <c r="BL18" i="27" s="1"/>
  <c r="BR42" i="21"/>
  <c r="AT42" i="21"/>
  <c r="BR35" i="24"/>
  <c r="AT35" i="24"/>
  <c r="BC34" i="26"/>
  <c r="BQ34" i="26"/>
  <c r="BP47" i="26"/>
  <c r="AM31" i="24"/>
  <c r="AL42" i="24"/>
  <c r="AL30" i="24"/>
  <c r="AM36" i="24"/>
  <c r="AL44" i="24"/>
  <c r="AM34" i="24"/>
  <c r="AV34" i="24" s="1"/>
  <c r="R34" i="24" s="1"/>
  <c r="AL26" i="24"/>
  <c r="AM46" i="24"/>
  <c r="AM29" i="24"/>
  <c r="AL28" i="24"/>
  <c r="AM39" i="24"/>
  <c r="AL23" i="24"/>
  <c r="AL45" i="24"/>
  <c r="AL46" i="24"/>
  <c r="AL34" i="24"/>
  <c r="AL43" i="24"/>
  <c r="AL35" i="24"/>
  <c r="AL24" i="24"/>
  <c r="AM30" i="24"/>
  <c r="AM45" i="24"/>
  <c r="AL37" i="24"/>
  <c r="AM37" i="24"/>
  <c r="AM28" i="24"/>
  <c r="AL41" i="24"/>
  <c r="AM32" i="24"/>
  <c r="AM43" i="24"/>
  <c r="BC24" i="28"/>
  <c r="BQ24" i="28"/>
  <c r="BP47" i="28"/>
  <c r="AF83" i="9"/>
  <c r="AP83" i="9" s="1"/>
  <c r="AP107" i="9"/>
  <c r="W35" i="9" s="1"/>
  <c r="BQ25" i="25"/>
  <c r="AS47" i="20"/>
  <c r="BM26" i="26"/>
  <c r="BV26" i="26" s="1"/>
  <c r="Z26" i="26" s="1"/>
  <c r="BR37" i="25"/>
  <c r="AT37" i="25"/>
  <c r="BS23" i="21"/>
  <c r="BF23" i="21" s="1"/>
  <c r="AS47" i="21"/>
  <c r="BB44" i="27"/>
  <c r="BD44" i="27" s="1"/>
  <c r="BQ44" i="27"/>
  <c r="AT33" i="20"/>
  <c r="BR33" i="20"/>
  <c r="N35" i="9"/>
  <c r="BF39" i="22"/>
  <c r="BT39" i="22"/>
  <c r="BE40" i="21"/>
  <c r="BG40" i="21" s="1"/>
  <c r="BT40" i="21"/>
  <c r="BB27" i="22"/>
  <c r="BQ27" i="22"/>
  <c r="AN36" i="26"/>
  <c r="AZ23" i="24"/>
  <c r="BI23" i="24" s="1"/>
  <c r="P31" i="9"/>
  <c r="R31" i="9" s="1"/>
  <c r="BD67" i="9"/>
  <c r="BD23" i="24"/>
  <c r="BZ23" i="24"/>
  <c r="Z102" i="24" s="1"/>
  <c r="BR36" i="27"/>
  <c r="AT36" i="27"/>
  <c r="BM32" i="26"/>
  <c r="BV32" i="26" s="1"/>
  <c r="Z32" i="26" s="1"/>
  <c r="I36" i="21"/>
  <c r="AR37" i="9"/>
  <c r="BB37" i="9" s="1"/>
  <c r="BD37" i="9" s="1"/>
  <c r="AR2" i="9"/>
  <c r="BB13" i="9"/>
  <c r="G12" i="9" s="1"/>
  <c r="I12" i="9" s="1"/>
  <c r="BB26" i="24"/>
  <c r="BD26" i="24" s="1"/>
  <c r="BQ26" i="24"/>
  <c r="BL20" i="27"/>
  <c r="AL20" i="27"/>
  <c r="AY20" i="27"/>
  <c r="AT32" i="28"/>
  <c r="AT32" i="20"/>
  <c r="BT32" i="21"/>
  <c r="AZ2" i="9"/>
  <c r="AR22" i="25"/>
  <c r="AT46" i="25"/>
  <c r="BQ46" i="2"/>
  <c r="BC46" i="2"/>
  <c r="BP22" i="2"/>
  <c r="BQ22" i="2" s="1"/>
  <c r="BD31" i="21"/>
  <c r="BR24" i="27"/>
  <c r="AT24" i="27"/>
  <c r="P21" i="9"/>
  <c r="R21" i="9" s="1"/>
  <c r="BD57" i="9"/>
  <c r="BE32" i="27"/>
  <c r="BG32" i="27" s="1"/>
  <c r="BT32" i="27"/>
  <c r="BS45" i="22"/>
  <c r="BT45" i="22" s="1"/>
  <c r="BB20" i="27"/>
  <c r="AT36" i="22"/>
  <c r="BR44" i="27"/>
  <c r="AT44" i="27"/>
  <c r="BS24" i="22"/>
  <c r="AT24" i="22"/>
  <c r="BB39" i="25"/>
  <c r="BD39" i="25" s="1"/>
  <c r="BQ39" i="25"/>
  <c r="AT43" i="21"/>
  <c r="BB28" i="26"/>
  <c r="BD28" i="26" s="1"/>
  <c r="BL27" i="26"/>
  <c r="BU27" i="26" s="1"/>
  <c r="Y27" i="26" s="1"/>
  <c r="BB42" i="22"/>
  <c r="BD42" i="22" s="1"/>
  <c r="BQ42" i="22"/>
  <c r="BB44" i="23"/>
  <c r="BD44" i="23" s="1"/>
  <c r="BQ44" i="23"/>
  <c r="BS46" i="24"/>
  <c r="AS22" i="24"/>
  <c r="AT46" i="24"/>
  <c r="BR34" i="24"/>
  <c r="AT34" i="24"/>
  <c r="BB31" i="25"/>
  <c r="BD31" i="25" s="1"/>
  <c r="BQ31" i="25"/>
  <c r="BR23" i="21"/>
  <c r="AT23" i="21"/>
  <c r="AR47" i="21"/>
  <c r="BS44" i="20"/>
  <c r="AT44" i="20"/>
  <c r="BR44" i="25"/>
  <c r="AT44" i="25"/>
  <c r="BB37" i="20"/>
  <c r="BD37" i="20" s="1"/>
  <c r="BQ37" i="20"/>
  <c r="BM36" i="26"/>
  <c r="BV36" i="26" s="1"/>
  <c r="Z36" i="26" s="1"/>
  <c r="AZ36" i="26"/>
  <c r="BI36" i="26" s="1"/>
  <c r="V36" i="26" s="1"/>
  <c r="BC43" i="27"/>
  <c r="BD43" i="27" s="1"/>
  <c r="BQ43" i="27"/>
  <c r="BT32" i="20"/>
  <c r="BR40" i="28"/>
  <c r="AT40" i="28"/>
  <c r="BR38" i="25"/>
  <c r="AT38" i="25"/>
  <c r="BT34" i="23"/>
  <c r="BB38" i="28"/>
  <c r="BD38" i="28" s="1"/>
  <c r="BQ38" i="28"/>
  <c r="BR32" i="25"/>
  <c r="BE32" i="25" s="1"/>
  <c r="AT32" i="25"/>
  <c r="BP47" i="21"/>
  <c r="AV37" i="26"/>
  <c r="BB38" i="25"/>
  <c r="BD38" i="25" s="1"/>
  <c r="BQ38" i="25"/>
  <c r="BS23" i="22"/>
  <c r="AT23" i="22"/>
  <c r="AS22" i="25"/>
  <c r="BS46" i="25"/>
  <c r="BT46" i="25" s="1"/>
  <c r="I36" i="23"/>
  <c r="I44" i="23" s="1"/>
  <c r="I45" i="23" s="1"/>
  <c r="I46" i="23" s="1"/>
  <c r="G36" i="23"/>
  <c r="Y17" i="23"/>
  <c r="BL18" i="23" s="1"/>
  <c r="BD68" i="9"/>
  <c r="P32" i="9"/>
  <c r="R32" i="9" s="1"/>
  <c r="BD31" i="9"/>
  <c r="G30" i="9"/>
  <c r="I30" i="9" s="1"/>
  <c r="AM40" i="27"/>
  <c r="AL34" i="27"/>
  <c r="AM41" i="27"/>
  <c r="AN41" i="27" s="1"/>
  <c r="AL40" i="27"/>
  <c r="AL30" i="27"/>
  <c r="AL31" i="27"/>
  <c r="AM28" i="27"/>
  <c r="AL25" i="27"/>
  <c r="AL42" i="27"/>
  <c r="AM39" i="27"/>
  <c r="AL38" i="27"/>
  <c r="AL28" i="27"/>
  <c r="AL26" i="27"/>
  <c r="AN26" i="27" s="1"/>
  <c r="AM33" i="27"/>
  <c r="AZ33" i="27" s="1"/>
  <c r="AM38" i="27"/>
  <c r="AV38" i="27" s="1"/>
  <c r="R38" i="27" s="1"/>
  <c r="AL37" i="27"/>
  <c r="AN37" i="27" s="1"/>
  <c r="AM45" i="27"/>
  <c r="AZ45" i="27" s="1"/>
  <c r="BI45" i="27" s="1"/>
  <c r="V45" i="27" s="1"/>
  <c r="AL36" i="27"/>
  <c r="AM24" i="27"/>
  <c r="AV24" i="27" s="1"/>
  <c r="R24" i="27" s="1"/>
  <c r="AL46" i="27"/>
  <c r="AY46" i="27" s="1"/>
  <c r="AL44" i="27"/>
  <c r="AY44" i="27" s="1"/>
  <c r="AL45" i="27"/>
  <c r="BL45" i="27" s="1"/>
  <c r="AM42" i="27"/>
  <c r="BM42" i="27" s="1"/>
  <c r="BV42" i="27" s="1"/>
  <c r="Z42" i="27" s="1"/>
  <c r="M32" i="27"/>
  <c r="AM31" i="27"/>
  <c r="AM30" i="27"/>
  <c r="AL23" i="27"/>
  <c r="AM25" i="27"/>
  <c r="AL32" i="27"/>
  <c r="AU32" i="27" s="1"/>
  <c r="Q32" i="27" s="1"/>
  <c r="AL39" i="27"/>
  <c r="AN39" i="27" s="1"/>
  <c r="AL33" i="27"/>
  <c r="AY33" i="27" s="1"/>
  <c r="BH33" i="27" s="1"/>
  <c r="U33" i="27" s="1"/>
  <c r="AM35" i="27"/>
  <c r="BM35" i="27" s="1"/>
  <c r="BV35" i="27" s="1"/>
  <c r="Z35" i="27" s="1"/>
  <c r="AM23" i="27"/>
  <c r="BE46" i="25"/>
  <c r="I34" i="28"/>
  <c r="AM34" i="27"/>
  <c r="AV34" i="27" s="1"/>
  <c r="AV38" i="24"/>
  <c r="R38" i="24" s="1"/>
  <c r="BB35" i="2"/>
  <c r="BD35" i="2" s="1"/>
  <c r="BQ35" i="2"/>
  <c r="AM46" i="27"/>
  <c r="BM46" i="27" s="1"/>
  <c r="BM22" i="27" s="1"/>
  <c r="BS41" i="21"/>
  <c r="AT41" i="21"/>
  <c r="BQ28" i="26"/>
  <c r="BD49" i="9"/>
  <c r="AU36" i="24"/>
  <c r="Q36" i="24" s="1"/>
  <c r="BM33" i="26"/>
  <c r="BV33" i="26" s="1"/>
  <c r="Z33" i="26" s="1"/>
  <c r="AT30" i="20"/>
  <c r="BE30" i="23"/>
  <c r="BG30" i="23" s="1"/>
  <c r="BT30" i="23"/>
  <c r="BO22" i="23"/>
  <c r="BQ22" i="23" s="1"/>
  <c r="BB46" i="23"/>
  <c r="BQ46" i="23"/>
  <c r="AV2" i="9"/>
  <c r="AY32" i="26"/>
  <c r="BQ25" i="27"/>
  <c r="BB25" i="27"/>
  <c r="BD25" i="27" s="1"/>
  <c r="BP22" i="26"/>
  <c r="BC46" i="26"/>
  <c r="BC22" i="26" s="1"/>
  <c r="BR35" i="20"/>
  <c r="AT35" i="21"/>
  <c r="BR35" i="21"/>
  <c r="AL20" i="25"/>
  <c r="BL20" i="25"/>
  <c r="BY19" i="25"/>
  <c r="Y96" i="25" s="1"/>
  <c r="AY20" i="25"/>
  <c r="BO47" i="21"/>
  <c r="BT29" i="27"/>
  <c r="BR46" i="20"/>
  <c r="AR22" i="20"/>
  <c r="AT46" i="20"/>
  <c r="BC45" i="24"/>
  <c r="BC47" i="24" s="1"/>
  <c r="BQ45" i="24"/>
  <c r="BP47" i="24"/>
  <c r="AF108" i="9"/>
  <c r="AP108" i="9" s="1"/>
  <c r="W36" i="9" s="1"/>
  <c r="AP84" i="9"/>
  <c r="W12" i="9" s="1"/>
  <c r="BB23" i="25"/>
  <c r="BD23" i="25" s="1"/>
  <c r="BO47" i="25"/>
  <c r="BQ23" i="25"/>
  <c r="BR46" i="27"/>
  <c r="AR22" i="27"/>
  <c r="AT46" i="27"/>
  <c r="BQ24" i="23"/>
  <c r="BB24" i="23"/>
  <c r="BS29" i="25"/>
  <c r="AT29" i="25"/>
  <c r="BR25" i="24"/>
  <c r="AT25" i="24"/>
  <c r="BO22" i="26"/>
  <c r="BQ46" i="26"/>
  <c r="BB46" i="26"/>
  <c r="AQ47" i="24"/>
  <c r="BF32" i="25"/>
  <c r="BL28" i="26"/>
  <c r="BL39" i="26"/>
  <c r="AQ47" i="28"/>
  <c r="BS41" i="27"/>
  <c r="AT41" i="27"/>
  <c r="BS46" i="2"/>
  <c r="BT46" i="2" s="1"/>
  <c r="AT46" i="2"/>
  <c r="AS22" i="2"/>
  <c r="AT22" i="2" s="1"/>
  <c r="BQ31" i="21"/>
  <c r="AZ26" i="24"/>
  <c r="BI26" i="24" s="1"/>
  <c r="V26" i="24" s="1"/>
  <c r="BM26" i="24"/>
  <c r="BV26" i="24" s="1"/>
  <c r="Z26" i="24" s="1"/>
  <c r="AV26" i="24"/>
  <c r="R26" i="24" s="1"/>
  <c r="BR23" i="2"/>
  <c r="AT23" i="2"/>
  <c r="AU42" i="26"/>
  <c r="AY42" i="26"/>
  <c r="BR36" i="21"/>
  <c r="AT36" i="21"/>
  <c r="BB32" i="20"/>
  <c r="BD32" i="20" s="1"/>
  <c r="BQ32" i="20"/>
  <c r="BR35" i="25"/>
  <c r="BT35" i="25" s="1"/>
  <c r="AT39" i="20"/>
  <c r="AM32" i="27"/>
  <c r="AV32" i="27" s="1"/>
  <c r="G31" i="9"/>
  <c r="I31" i="9" s="1"/>
  <c r="BB36" i="28"/>
  <c r="BD36" i="28" s="1"/>
  <c r="BQ36" i="28"/>
  <c r="G36" i="24"/>
  <c r="Y17" i="24"/>
  <c r="BL18" i="24" s="1"/>
  <c r="Y19" i="24"/>
  <c r="BL19" i="24" s="1"/>
  <c r="I34" i="24"/>
  <c r="P22" i="9"/>
  <c r="R22" i="9" s="1"/>
  <c r="AY29" i="26"/>
  <c r="AR47" i="28"/>
  <c r="BD36" i="9"/>
  <c r="BO47" i="22"/>
  <c r="BO47" i="28"/>
  <c r="BP47" i="2"/>
  <c r="BO20" i="27"/>
  <c r="BF25" i="20"/>
  <c r="BG25" i="20" s="1"/>
  <c r="BT25" i="20"/>
  <c r="BM37" i="2"/>
  <c r="D38" i="22"/>
  <c r="AR47" i="24"/>
  <c r="BR28" i="24"/>
  <c r="AT28" i="24"/>
  <c r="BZ19" i="25"/>
  <c r="Z96" i="25" s="1"/>
  <c r="AO20" i="25"/>
  <c r="BO20" i="25"/>
  <c r="BB20" i="25"/>
  <c r="G38" i="27"/>
  <c r="I38" i="27"/>
  <c r="BC27" i="2"/>
  <c r="BD27" i="2" s="1"/>
  <c r="BQ27" i="2"/>
  <c r="AV35" i="26"/>
  <c r="R35" i="26" s="1"/>
  <c r="BB40" i="26"/>
  <c r="BD40" i="26" s="1"/>
  <c r="BQ40" i="26"/>
  <c r="BR40" i="24"/>
  <c r="AT40" i="24"/>
  <c r="AT40" i="20"/>
  <c r="BR40" i="20"/>
  <c r="BT40" i="20" s="1"/>
  <c r="BB45" i="22"/>
  <c r="BD45" i="22" s="1"/>
  <c r="BQ45" i="22"/>
  <c r="Y17" i="21"/>
  <c r="BL18" i="21" s="1"/>
  <c r="I34" i="21"/>
  <c r="AZ24" i="24"/>
  <c r="BI24" i="24" s="1"/>
  <c r="V24" i="24" s="1"/>
  <c r="BB41" i="26"/>
  <c r="BD41" i="26" s="1"/>
  <c r="BQ41" i="26"/>
  <c r="BC23" i="23"/>
  <c r="BP47" i="23"/>
  <c r="BR34" i="28"/>
  <c r="AT34" i="28"/>
  <c r="BC31" i="20"/>
  <c r="BQ31" i="20"/>
  <c r="BB41" i="20"/>
  <c r="BD41" i="20" s="1"/>
  <c r="BQ41" i="20"/>
  <c r="I38" i="26"/>
  <c r="G38" i="26"/>
  <c r="Y19" i="26"/>
  <c r="BL19" i="26" s="1"/>
  <c r="Y17" i="26"/>
  <c r="BL18" i="26" s="1"/>
  <c r="AY39" i="26"/>
  <c r="BB35" i="26"/>
  <c r="BD35" i="26" s="1"/>
  <c r="BQ35" i="26"/>
  <c r="AZ23" i="26"/>
  <c r="BB28" i="2"/>
  <c r="BD28" i="2" s="1"/>
  <c r="BQ28" i="2"/>
  <c r="BO47" i="2"/>
  <c r="BP47" i="27"/>
  <c r="BS34" i="20"/>
  <c r="BT34" i="20" s="1"/>
  <c r="AT34" i="20"/>
  <c r="BB42" i="24"/>
  <c r="BD42" i="24" s="1"/>
  <c r="BQ42" i="24"/>
  <c r="AW2" i="9"/>
  <c r="BB44" i="22"/>
  <c r="BD44" i="22" s="1"/>
  <c r="BQ44" i="22"/>
  <c r="BS31" i="22"/>
  <c r="AT31" i="22"/>
  <c r="BR25" i="2"/>
  <c r="AT25" i="2"/>
  <c r="BR36" i="24"/>
  <c r="AT36" i="24"/>
  <c r="BB44" i="26"/>
  <c r="BD44" i="26" s="1"/>
  <c r="BQ44" i="26"/>
  <c r="AM36" i="27"/>
  <c r="BM36" i="27" s="1"/>
  <c r="AU26" i="23"/>
  <c r="BR23" i="27"/>
  <c r="AT23" i="27"/>
  <c r="AR47" i="27"/>
  <c r="BR31" i="2"/>
  <c r="AT31" i="2"/>
  <c r="BD12" i="9"/>
  <c r="BT41" i="22"/>
  <c r="AR47" i="22"/>
  <c r="AT39" i="22"/>
  <c r="D38" i="26"/>
  <c r="BR36" i="25"/>
  <c r="AT36" i="25"/>
  <c r="AY85" i="9"/>
  <c r="AY106" i="9"/>
  <c r="AY87" i="9"/>
  <c r="AY93" i="9"/>
  <c r="AY84" i="9"/>
  <c r="AY108" i="9" s="1"/>
  <c r="AY101" i="9"/>
  <c r="AY97" i="9"/>
  <c r="AY94" i="9"/>
  <c r="AY95" i="9"/>
  <c r="AY96" i="9"/>
  <c r="AY102" i="9"/>
  <c r="AY91" i="9"/>
  <c r="AY103" i="9"/>
  <c r="AY90" i="9"/>
  <c r="AY104" i="9"/>
  <c r="AY98" i="9"/>
  <c r="AY86" i="9"/>
  <c r="AY100" i="9"/>
  <c r="AY92" i="9"/>
  <c r="AY88" i="9"/>
  <c r="AY107" i="9"/>
  <c r="AY83" i="9" s="1"/>
  <c r="AY89" i="9"/>
  <c r="AV39" i="26"/>
  <c r="R39" i="26" s="1"/>
  <c r="S39" i="26" s="1"/>
  <c r="AT29" i="27"/>
  <c r="BR42" i="24"/>
  <c r="AT42" i="24"/>
  <c r="AQ47" i="2"/>
  <c r="BB46" i="21"/>
  <c r="BB22" i="21" s="1"/>
  <c r="BD22" i="21" s="1"/>
  <c r="BO22" i="21"/>
  <c r="BQ22" i="21" s="1"/>
  <c r="BQ46" i="21"/>
  <c r="BR45" i="24"/>
  <c r="AT45" i="24"/>
  <c r="BE27" i="21"/>
  <c r="BG27" i="21" s="1"/>
  <c r="BT27" i="21"/>
  <c r="BR35" i="2"/>
  <c r="AT35" i="2"/>
  <c r="BD89" i="9"/>
  <c r="BR34" i="27"/>
  <c r="AT34" i="27"/>
  <c r="BR29" i="24"/>
  <c r="AT29" i="24"/>
  <c r="AY36" i="26"/>
  <c r="BZ24" i="21"/>
  <c r="Z103" i="21" s="1"/>
  <c r="BT42" i="22"/>
  <c r="BB43" i="20"/>
  <c r="BD43" i="20" s="1"/>
  <c r="BT25" i="22"/>
  <c r="BT31" i="20"/>
  <c r="AT25" i="22"/>
  <c r="AY20" i="2"/>
  <c r="BY19" i="2"/>
  <c r="Y96" i="2" s="1"/>
  <c r="AL20" i="2"/>
  <c r="BL20" i="2"/>
  <c r="AT26" i="27"/>
  <c r="BR26" i="27"/>
  <c r="AO20" i="28"/>
  <c r="BZ19" i="28"/>
  <c r="Z96" i="28" s="1"/>
  <c r="BO20" i="28"/>
  <c r="BB20" i="28"/>
  <c r="AT42" i="25"/>
  <c r="BB28" i="22"/>
  <c r="BD28" i="22" s="1"/>
  <c r="BQ28" i="22"/>
  <c r="BF37" i="27"/>
  <c r="BB42" i="20"/>
  <c r="BD42" i="20" s="1"/>
  <c r="BQ42" i="20"/>
  <c r="BB27" i="20"/>
  <c r="BD27" i="20" s="1"/>
  <c r="BQ27" i="20"/>
  <c r="BS39" i="24"/>
  <c r="AT39" i="24"/>
  <c r="BB23" i="23"/>
  <c r="BQ23" i="23"/>
  <c r="BC41" i="25"/>
  <c r="BD41" i="25" s="1"/>
  <c r="BQ41" i="25"/>
  <c r="BB32" i="25"/>
  <c r="BD32" i="25" s="1"/>
  <c r="AS47" i="25"/>
  <c r="BT33" i="25"/>
  <c r="BE33" i="22"/>
  <c r="BG33" i="22" s="1"/>
  <c r="BT33" i="22"/>
  <c r="BR24" i="25"/>
  <c r="AT24" i="25"/>
  <c r="BT25" i="25"/>
  <c r="BE25" i="25"/>
  <c r="BG25" i="25" s="1"/>
  <c r="BB26" i="2"/>
  <c r="BD26" i="2" s="1"/>
  <c r="BQ26" i="2"/>
  <c r="BQ29" i="25"/>
  <c r="BB29" i="25"/>
  <c r="BD29" i="25" s="1"/>
  <c r="AM45" i="23"/>
  <c r="AL38" i="23"/>
  <c r="AL27" i="23"/>
  <c r="AL41" i="23"/>
  <c r="AL29" i="23"/>
  <c r="AM31" i="23"/>
  <c r="AM25" i="23"/>
  <c r="AL23" i="23"/>
  <c r="AM26" i="23"/>
  <c r="AN26" i="23" s="1"/>
  <c r="AM28" i="23"/>
  <c r="AM34" i="23"/>
  <c r="AM44" i="23"/>
  <c r="AL42" i="23"/>
  <c r="AL39" i="23"/>
  <c r="AL33" i="23"/>
  <c r="AL28" i="23"/>
  <c r="AM43" i="23"/>
  <c r="AL46" i="23"/>
  <c r="AL44" i="23"/>
  <c r="AL40" i="23"/>
  <c r="AL37" i="23"/>
  <c r="AM24" i="23"/>
  <c r="AM37" i="23"/>
  <c r="AM46" i="23"/>
  <c r="AL35" i="23"/>
  <c r="AL43" i="23"/>
  <c r="AM40" i="23"/>
  <c r="M32" i="23"/>
  <c r="AM29" i="23"/>
  <c r="AM27" i="23"/>
  <c r="AM38" i="23"/>
  <c r="AM35" i="23"/>
  <c r="AM36" i="23"/>
  <c r="AM23" i="23"/>
  <c r="AM30" i="23"/>
  <c r="AM39" i="23"/>
  <c r="AL24" i="23"/>
  <c r="AL32" i="23"/>
  <c r="AM41" i="23"/>
  <c r="AL36" i="23"/>
  <c r="AL25" i="23"/>
  <c r="AL45" i="23"/>
  <c r="AM33" i="23"/>
  <c r="AL30" i="23"/>
  <c r="AM32" i="23"/>
  <c r="AL34" i="23"/>
  <c r="BR27" i="27"/>
  <c r="AT27" i="27"/>
  <c r="AT29" i="20"/>
  <c r="AL24" i="28"/>
  <c r="AL37" i="28"/>
  <c r="AM40" i="28"/>
  <c r="AL42" i="28"/>
  <c r="AL39" i="28"/>
  <c r="AL31" i="28"/>
  <c r="AM46" i="28"/>
  <c r="AL25" i="28"/>
  <c r="AM41" i="28"/>
  <c r="AM27" i="28"/>
  <c r="AM36" i="28"/>
  <c r="AM26" i="28"/>
  <c r="AM23" i="28"/>
  <c r="AL34" i="28"/>
  <c r="AM44" i="28"/>
  <c r="AL41" i="28"/>
  <c r="AL29" i="28"/>
  <c r="AL46" i="28"/>
  <c r="AM45" i="28"/>
  <c r="AL36" i="28"/>
  <c r="AM43" i="28"/>
  <c r="AM31" i="28"/>
  <c r="AL44" i="28"/>
  <c r="AM33" i="28"/>
  <c r="AM24" i="28"/>
  <c r="AM25" i="28"/>
  <c r="AL28" i="28"/>
  <c r="M32" i="28"/>
  <c r="AM38" i="28"/>
  <c r="AL27" i="28"/>
  <c r="AM28" i="28"/>
  <c r="AM39" i="28"/>
  <c r="AL35" i="28"/>
  <c r="AM34" i="28"/>
  <c r="AM37" i="28"/>
  <c r="AM35" i="28"/>
  <c r="AL23" i="28"/>
  <c r="AM32" i="28"/>
  <c r="AM29" i="28"/>
  <c r="AL33" i="28"/>
  <c r="AL26" i="28"/>
  <c r="AM30" i="28"/>
  <c r="AL45" i="28"/>
  <c r="AM42" i="28"/>
  <c r="AL43" i="28"/>
  <c r="AL30" i="28"/>
  <c r="AL38" i="28"/>
  <c r="AL40" i="28"/>
  <c r="AL32" i="28"/>
  <c r="BR42" i="20"/>
  <c r="AT42" i="20"/>
  <c r="AM23" i="25"/>
  <c r="AM31" i="25"/>
  <c r="AL45" i="25"/>
  <c r="AM40" i="25"/>
  <c r="AM30" i="25"/>
  <c r="AM38" i="25"/>
  <c r="AM45" i="25"/>
  <c r="AL44" i="25"/>
  <c r="AM29" i="25"/>
  <c r="AL23" i="25"/>
  <c r="AL38" i="25"/>
  <c r="AM42" i="25"/>
  <c r="M32" i="25"/>
  <c r="AM32" i="25"/>
  <c r="AM34" i="25"/>
  <c r="AL37" i="25"/>
  <c r="AM41" i="25"/>
  <c r="AL29" i="25"/>
  <c r="AL24" i="25"/>
  <c r="AL31" i="25"/>
  <c r="AL42" i="25"/>
  <c r="AM36" i="25"/>
  <c r="AM35" i="25"/>
  <c r="AM43" i="25"/>
  <c r="AL46" i="25"/>
  <c r="AL26" i="25"/>
  <c r="AL33" i="25"/>
  <c r="AL32" i="25"/>
  <c r="AM33" i="25"/>
  <c r="AL30" i="25"/>
  <c r="AL43" i="25"/>
  <c r="AM44" i="25"/>
  <c r="AL25" i="25"/>
  <c r="AM24" i="25"/>
  <c r="AL34" i="25"/>
  <c r="AL41" i="25"/>
  <c r="AL28" i="25"/>
  <c r="AM28" i="25"/>
  <c r="AL36" i="25"/>
  <c r="AM46" i="25"/>
  <c r="AL27" i="25"/>
  <c r="AL40" i="25"/>
  <c r="AM26" i="25"/>
  <c r="AL39" i="25"/>
  <c r="AM27" i="25"/>
  <c r="AL35" i="25"/>
  <c r="AM25" i="25"/>
  <c r="AM37" i="25"/>
  <c r="AM39" i="25"/>
  <c r="BB23" i="26"/>
  <c r="BQ23" i="26"/>
  <c r="BS24" i="2"/>
  <c r="AT24" i="2"/>
  <c r="BQ46" i="27"/>
  <c r="BC46" i="27"/>
  <c r="BP22" i="27"/>
  <c r="BQ22" i="27" s="1"/>
  <c r="BB27" i="28"/>
  <c r="BD27" i="28" s="1"/>
  <c r="BQ27" i="28"/>
  <c r="AU26" i="2"/>
  <c r="Q26" i="2" s="1"/>
  <c r="BR30" i="25"/>
  <c r="AT30" i="25"/>
  <c r="BB25" i="2"/>
  <c r="BD25" i="2" s="1"/>
  <c r="BQ25" i="2"/>
  <c r="BR27" i="24"/>
  <c r="AT27" i="24"/>
  <c r="BB38" i="20"/>
  <c r="BD38" i="20" s="1"/>
  <c r="BQ38" i="20"/>
  <c r="BL20" i="21"/>
  <c r="AL20" i="21"/>
  <c r="BY19" i="21"/>
  <c r="Y96" i="21" s="1"/>
  <c r="AY20" i="21"/>
  <c r="BR43" i="20"/>
  <c r="AT43" i="20"/>
  <c r="BF46" i="21"/>
  <c r="BF22" i="21" s="1"/>
  <c r="BS22" i="21"/>
  <c r="BT22" i="21" s="1"/>
  <c r="AT31" i="24"/>
  <c r="BR31" i="24"/>
  <c r="BM36" i="22"/>
  <c r="BV36" i="22" s="1"/>
  <c r="Z36" i="22" s="1"/>
  <c r="AT39" i="25"/>
  <c r="BS43" i="27"/>
  <c r="AT43" i="27"/>
  <c r="I36" i="28"/>
  <c r="G36" i="28"/>
  <c r="G40" i="28" s="1"/>
  <c r="U19" i="28" s="1"/>
  <c r="AY19" i="28" s="1"/>
  <c r="BT38" i="28"/>
  <c r="BQ27" i="25"/>
  <c r="BC27" i="25"/>
  <c r="BD27" i="25" s="1"/>
  <c r="G37" i="27"/>
  <c r="I37" i="27"/>
  <c r="BR29" i="21"/>
  <c r="AT29" i="21"/>
  <c r="AX107" i="9"/>
  <c r="AX83" i="9" s="1"/>
  <c r="AX96" i="9"/>
  <c r="AX95" i="9"/>
  <c r="AX92" i="9"/>
  <c r="AX101" i="9"/>
  <c r="AX105" i="9"/>
  <c r="AX100" i="9"/>
  <c r="AX93" i="9"/>
  <c r="AX106" i="9"/>
  <c r="BE39" i="25"/>
  <c r="BG39" i="25" s="1"/>
  <c r="BT39" i="25"/>
  <c r="BB29" i="22"/>
  <c r="BD29" i="22" s="1"/>
  <c r="BQ29" i="22"/>
  <c r="D37" i="21"/>
  <c r="BQ44" i="25"/>
  <c r="BB44" i="25"/>
  <c r="BD44" i="25" s="1"/>
  <c r="BB33" i="28"/>
  <c r="BD33" i="28" s="1"/>
  <c r="BQ33" i="28"/>
  <c r="BR24" i="21"/>
  <c r="AT24" i="21"/>
  <c r="BB34" i="2"/>
  <c r="BD34" i="2" s="1"/>
  <c r="BQ34" i="2"/>
  <c r="AM29" i="21"/>
  <c r="AL27" i="21"/>
  <c r="AL30" i="21"/>
  <c r="AM34" i="21"/>
  <c r="AM37" i="21"/>
  <c r="AL46" i="21"/>
  <c r="AM40" i="21"/>
  <c r="AM26" i="21"/>
  <c r="AM25" i="21"/>
  <c r="AM42" i="21"/>
  <c r="AL29" i="21"/>
  <c r="AM30" i="21"/>
  <c r="AL31" i="21"/>
  <c r="AM28" i="21"/>
  <c r="AL24" i="21"/>
  <c r="AL43" i="21"/>
  <c r="AM23" i="21"/>
  <c r="AL44" i="21"/>
  <c r="AM38" i="21"/>
  <c r="AL40" i="21"/>
  <c r="M32" i="21"/>
  <c r="AL35" i="21"/>
  <c r="AM36" i="21"/>
  <c r="AL34" i="21"/>
  <c r="AM41" i="21"/>
  <c r="AL25" i="21"/>
  <c r="AM43" i="21"/>
  <c r="AM32" i="21"/>
  <c r="AL45" i="21"/>
  <c r="AL38" i="21"/>
  <c r="AL39" i="21"/>
  <c r="AM33" i="21"/>
  <c r="AL41" i="21"/>
  <c r="AL23" i="21"/>
  <c r="AL42" i="21"/>
  <c r="AM27" i="21"/>
  <c r="AM44" i="21"/>
  <c r="AM24" i="21"/>
  <c r="AM31" i="21"/>
  <c r="AM45" i="21"/>
  <c r="AM46" i="21"/>
  <c r="AL37" i="21"/>
  <c r="AL36" i="21"/>
  <c r="AM39" i="21"/>
  <c r="AL28" i="21"/>
  <c r="AL33" i="21"/>
  <c r="AL26" i="21"/>
  <c r="AL32" i="21"/>
  <c r="AM35" i="21"/>
  <c r="BB31" i="28"/>
  <c r="BD31" i="28" s="1"/>
  <c r="BQ31" i="28"/>
  <c r="BB34" i="23"/>
  <c r="BD34" i="23" s="1"/>
  <c r="BQ34" i="23"/>
  <c r="BR44" i="24"/>
  <c r="AT44" i="24"/>
  <c r="BC46" i="24"/>
  <c r="BC22" i="24" s="1"/>
  <c r="BP22" i="24"/>
  <c r="BR38" i="27"/>
  <c r="AT38" i="27"/>
  <c r="BB20" i="23"/>
  <c r="BZ19" i="23"/>
  <c r="Z96" i="23" s="1"/>
  <c r="BO20" i="23"/>
  <c r="AO20" i="23"/>
  <c r="BB24" i="24"/>
  <c r="BD24" i="24" s="1"/>
  <c r="BQ24" i="24"/>
  <c r="BQ45" i="23"/>
  <c r="BC45" i="23"/>
  <c r="BQ30" i="2"/>
  <c r="AT28" i="2"/>
  <c r="AT42" i="22"/>
  <c r="AS22" i="21"/>
  <c r="AT22" i="21" s="1"/>
  <c r="BS23" i="27"/>
  <c r="AS47" i="27"/>
  <c r="BB29" i="26"/>
  <c r="BD29" i="26" s="1"/>
  <c r="BQ29" i="26"/>
  <c r="AT38" i="28"/>
  <c r="AM28" i="22"/>
  <c r="AM38" i="22"/>
  <c r="AL38" i="22"/>
  <c r="BQ37" i="23"/>
  <c r="BB37" i="23"/>
  <c r="BD37" i="23" s="1"/>
  <c r="BR45" i="20"/>
  <c r="AT45" i="20"/>
  <c r="AT26" i="24"/>
  <c r="BR26" i="24"/>
  <c r="BB41" i="24"/>
  <c r="BD41" i="24" s="1"/>
  <c r="BQ41" i="24"/>
  <c r="BZ19" i="21"/>
  <c r="Z96" i="21" s="1"/>
  <c r="BO20" i="21"/>
  <c r="AO20" i="21"/>
  <c r="BB20" i="21"/>
  <c r="BS47" i="26"/>
  <c r="BE43" i="24"/>
  <c r="BG43" i="24" s="1"/>
  <c r="BT43" i="24"/>
  <c r="BR37" i="24"/>
  <c r="AT37" i="24"/>
  <c r="BC29" i="28"/>
  <c r="BD29" i="28" s="1"/>
  <c r="BQ29" i="28"/>
  <c r="AQ47" i="23"/>
  <c r="G38" i="21"/>
  <c r="I38" i="21"/>
  <c r="AS47" i="28"/>
  <c r="BB28" i="20"/>
  <c r="BD28" i="20" s="1"/>
  <c r="BQ28" i="20"/>
  <c r="BZ19" i="20"/>
  <c r="Z96" i="20" s="1"/>
  <c r="AO20" i="20"/>
  <c r="BB20" i="20"/>
  <c r="BO20" i="20"/>
  <c r="BR39" i="27"/>
  <c r="AT39" i="27"/>
  <c r="BE41" i="2"/>
  <c r="BG41" i="2" s="1"/>
  <c r="BT41" i="2"/>
  <c r="BR41" i="25"/>
  <c r="AT41" i="25"/>
  <c r="AR47" i="9"/>
  <c r="BB47" i="9" s="1"/>
  <c r="BD47" i="9" s="1"/>
  <c r="BB71" i="9"/>
  <c r="P35" i="9" s="1"/>
  <c r="BR38" i="20"/>
  <c r="AT38" i="20"/>
  <c r="BR45" i="25"/>
  <c r="AT45" i="25"/>
  <c r="BB30" i="20"/>
  <c r="BD30" i="20" s="1"/>
  <c r="BQ30" i="20"/>
  <c r="BB31" i="26"/>
  <c r="BD31" i="26" s="1"/>
  <c r="BQ31" i="26"/>
  <c r="BB27" i="23"/>
  <c r="BD27" i="23" s="1"/>
  <c r="BQ27" i="23"/>
  <c r="BB30" i="24"/>
  <c r="BD30" i="24" s="1"/>
  <c r="BQ30" i="24"/>
  <c r="BQ45" i="26"/>
  <c r="BB45" i="26"/>
  <c r="BD45" i="26" s="1"/>
  <c r="BQ24" i="25"/>
  <c r="BB23" i="28"/>
  <c r="BQ23" i="28"/>
  <c r="BD22" i="22"/>
  <c r="AV42" i="20"/>
  <c r="R42" i="20" s="1"/>
  <c r="S42" i="20" s="1"/>
  <c r="BT46" i="21"/>
  <c r="BM42" i="20"/>
  <c r="BV42" i="20" s="1"/>
  <c r="Z42" i="20" s="1"/>
  <c r="AU25" i="24"/>
  <c r="Q25" i="24" s="1"/>
  <c r="BT27" i="22"/>
  <c r="BL26" i="23"/>
  <c r="BU26" i="23" s="1"/>
  <c r="AY26" i="23"/>
  <c r="BG27" i="22"/>
  <c r="BL25" i="24"/>
  <c r="BD46" i="22"/>
  <c r="AY32" i="24"/>
  <c r="BD46" i="25"/>
  <c r="BE33" i="28"/>
  <c r="BT33" i="28"/>
  <c r="BT25" i="23"/>
  <c r="BE25" i="23"/>
  <c r="BG43" i="28"/>
  <c r="BE27" i="20"/>
  <c r="BG27" i="20" s="1"/>
  <c r="BT27" i="20"/>
  <c r="BF27" i="2"/>
  <c r="BT27" i="2"/>
  <c r="BT39" i="26"/>
  <c r="BE39" i="26"/>
  <c r="BF26" i="28"/>
  <c r="BG23" i="23"/>
  <c r="BE42" i="26"/>
  <c r="BG42" i="26" s="1"/>
  <c r="BE43" i="26"/>
  <c r="BT43" i="26"/>
  <c r="BB22" i="24"/>
  <c r="BE36" i="28"/>
  <c r="BG36" i="28" s="1"/>
  <c r="BT36" i="28"/>
  <c r="BF33" i="23"/>
  <c r="BT33" i="23"/>
  <c r="BL41" i="27"/>
  <c r="AY41" i="27"/>
  <c r="BE38" i="26"/>
  <c r="BG38" i="26" s="1"/>
  <c r="BT38" i="26"/>
  <c r="BE36" i="26"/>
  <c r="BG36" i="26" s="1"/>
  <c r="BT36" i="26"/>
  <c r="BE34" i="26"/>
  <c r="BG34" i="26" s="1"/>
  <c r="BT34" i="26"/>
  <c r="BF42" i="23"/>
  <c r="BT42" i="23"/>
  <c r="BF43" i="22"/>
  <c r="BG43" i="22" s="1"/>
  <c r="BT43" i="22"/>
  <c r="BT30" i="26"/>
  <c r="BE30" i="26"/>
  <c r="BZ23" i="27"/>
  <c r="Z102" i="27" s="1"/>
  <c r="BD23" i="27"/>
  <c r="BE34" i="21"/>
  <c r="BG34" i="21" s="1"/>
  <c r="BT34" i="21"/>
  <c r="BF33" i="21"/>
  <c r="BT33" i="21"/>
  <c r="BF32" i="28"/>
  <c r="BT32" i="28"/>
  <c r="BF44" i="26"/>
  <c r="BT44" i="26"/>
  <c r="BF36" i="20"/>
  <c r="BG36" i="20" s="1"/>
  <c r="BT36" i="20"/>
  <c r="BE39" i="20"/>
  <c r="BG39" i="20" s="1"/>
  <c r="BT39" i="20"/>
  <c r="BF29" i="26"/>
  <c r="BG29" i="26" s="1"/>
  <c r="BT29" i="26"/>
  <c r="BT26" i="21"/>
  <c r="BE26" i="21"/>
  <c r="BE35" i="22"/>
  <c r="BG35" i="22" s="1"/>
  <c r="BT35" i="22"/>
  <c r="BE32" i="23"/>
  <c r="BG32" i="23" s="1"/>
  <c r="BT32" i="23"/>
  <c r="BE43" i="2"/>
  <c r="BG43" i="2" s="1"/>
  <c r="BT43" i="2"/>
  <c r="BF39" i="28"/>
  <c r="BG39" i="28" s="1"/>
  <c r="BT39" i="28"/>
  <c r="BF30" i="20"/>
  <c r="BT30" i="20"/>
  <c r="BE42" i="25"/>
  <c r="BT42" i="25"/>
  <c r="BL27" i="22"/>
  <c r="BU27" i="22" s="1"/>
  <c r="Y27" i="22" s="1"/>
  <c r="BF45" i="2"/>
  <c r="BG45" i="2" s="1"/>
  <c r="BT45" i="2"/>
  <c r="BF35" i="26"/>
  <c r="BG35" i="26" s="1"/>
  <c r="BT35" i="26"/>
  <c r="BL28" i="22"/>
  <c r="AY28" i="22"/>
  <c r="BT30" i="28"/>
  <c r="BE30" i="28"/>
  <c r="BG30" i="28" s="1"/>
  <c r="BE29" i="28"/>
  <c r="BG29" i="28" s="1"/>
  <c r="BT29" i="28"/>
  <c r="BE26" i="23"/>
  <c r="BG26" i="23" s="1"/>
  <c r="BT26" i="23"/>
  <c r="BF39" i="2"/>
  <c r="BG39" i="2" s="1"/>
  <c r="BT39" i="2"/>
  <c r="BE31" i="28"/>
  <c r="BG31" i="28" s="1"/>
  <c r="BE23" i="25"/>
  <c r="BT23" i="25"/>
  <c r="AU41" i="27"/>
  <c r="Q41" i="27" s="1"/>
  <c r="BF40" i="25"/>
  <c r="BE27" i="23"/>
  <c r="BT27" i="23"/>
  <c r="BF41" i="26"/>
  <c r="BG41" i="26" s="1"/>
  <c r="BT41" i="26"/>
  <c r="AY34" i="22"/>
  <c r="AU34" i="22"/>
  <c r="Q34" i="22" s="1"/>
  <c r="BL34" i="22"/>
  <c r="BF34" i="2"/>
  <c r="BG34" i="2" s="1"/>
  <c r="BT34" i="2"/>
  <c r="BF30" i="22"/>
  <c r="BD25" i="23"/>
  <c r="BE25" i="26"/>
  <c r="BT25" i="26"/>
  <c r="BE30" i="21"/>
  <c r="BG30" i="21" s="1"/>
  <c r="BT30" i="21"/>
  <c r="BD24" i="27"/>
  <c r="CA23" i="23"/>
  <c r="AA102" i="23" s="1"/>
  <c r="BF25" i="28"/>
  <c r="BT25" i="28"/>
  <c r="BE43" i="21"/>
  <c r="BG43" i="21" s="1"/>
  <c r="BT43" i="21"/>
  <c r="AY24" i="22"/>
  <c r="BL24" i="22"/>
  <c r="AU24" i="22"/>
  <c r="Q24" i="22" s="1"/>
  <c r="AZ23" i="22"/>
  <c r="BM23" i="22"/>
  <c r="BE28" i="28"/>
  <c r="BG28" i="28" s="1"/>
  <c r="BT28" i="28"/>
  <c r="BE30" i="2"/>
  <c r="BT30" i="2"/>
  <c r="BF28" i="2"/>
  <c r="BG28" i="2" s="1"/>
  <c r="BT28" i="2"/>
  <c r="BF29" i="2"/>
  <c r="BE28" i="26"/>
  <c r="BG28" i="26" s="1"/>
  <c r="BT28" i="26"/>
  <c r="BE37" i="22"/>
  <c r="BG37" i="22" s="1"/>
  <c r="BT37" i="22"/>
  <c r="BE44" i="20"/>
  <c r="BE46" i="2"/>
  <c r="BR22" i="2"/>
  <c r="AY29" i="27"/>
  <c r="BH29" i="27" s="1"/>
  <c r="U29" i="27" s="1"/>
  <c r="BF31" i="25"/>
  <c r="BG31" i="25" s="1"/>
  <c r="BT31" i="25"/>
  <c r="BE38" i="2"/>
  <c r="BG38" i="2" s="1"/>
  <c r="BT38" i="2"/>
  <c r="BF23" i="26"/>
  <c r="BT23" i="26"/>
  <c r="BE45" i="28"/>
  <c r="BT45" i="28"/>
  <c r="R26" i="26"/>
  <c r="AW31" i="2"/>
  <c r="AW27" i="2"/>
  <c r="Z102" i="2"/>
  <c r="BG30" i="27"/>
  <c r="CL18" i="9"/>
  <c r="F89" i="9" s="1"/>
  <c r="CM20" i="9"/>
  <c r="G91" i="9" s="1"/>
  <c r="R36" i="9"/>
  <c r="CK15" i="9"/>
  <c r="CN15" i="9" s="1"/>
  <c r="C86" i="9" s="1"/>
  <c r="E85" i="9"/>
  <c r="CN14" i="9"/>
  <c r="C85" i="9" s="1"/>
  <c r="Y17" i="9"/>
  <c r="AA17" i="9" s="1"/>
  <c r="BD72" i="9"/>
  <c r="BD88" i="9"/>
  <c r="Y20" i="9"/>
  <c r="AA20" i="9" s="1"/>
  <c r="BD100" i="9"/>
  <c r="BD93" i="9"/>
  <c r="C57" i="3"/>
  <c r="BZ36" i="9"/>
  <c r="CA34" i="9"/>
  <c r="BY18" i="9"/>
  <c r="BH27" i="9"/>
  <c r="BG18" i="9"/>
  <c r="BI26" i="9"/>
  <c r="BR25" i="9"/>
  <c r="BP16" i="9"/>
  <c r="BQ27" i="9"/>
  <c r="BO23" i="9"/>
  <c r="BN19" i="9"/>
  <c r="BJ16" i="9"/>
  <c r="BW20" i="9"/>
  <c r="BT19" i="9"/>
  <c r="CC22" i="9"/>
  <c r="CD22" i="9"/>
  <c r="BU22" i="9"/>
  <c r="BK21" i="9"/>
  <c r="CB17" i="9"/>
  <c r="BV16" i="9"/>
  <c r="BL21" i="9"/>
  <c r="BM16" i="9"/>
  <c r="BS16" i="9"/>
  <c r="BX22" i="9"/>
  <c r="B57" i="3"/>
  <c r="AY26" i="27" l="1"/>
  <c r="AZ42" i="2"/>
  <c r="BI42" i="2" s="1"/>
  <c r="V42" i="2" s="1"/>
  <c r="BE46" i="23"/>
  <c r="BT22" i="23"/>
  <c r="AN43" i="26"/>
  <c r="BM31" i="2"/>
  <c r="BV31" i="2" s="1"/>
  <c r="Z31" i="2" s="1"/>
  <c r="AY27" i="24"/>
  <c r="BA27" i="24" s="1"/>
  <c r="BM29" i="27"/>
  <c r="BV29" i="27" s="1"/>
  <c r="Z29" i="27" s="1"/>
  <c r="AV35" i="2"/>
  <c r="R35" i="2" s="1"/>
  <c r="BF46" i="23"/>
  <c r="BG46" i="23" s="1"/>
  <c r="AU27" i="20"/>
  <c r="AZ25" i="2"/>
  <c r="BI25" i="2" s="1"/>
  <c r="V25" i="2" s="1"/>
  <c r="BD46" i="28"/>
  <c r="AU27" i="24"/>
  <c r="Q27" i="24" s="1"/>
  <c r="AY23" i="2"/>
  <c r="AY39" i="22"/>
  <c r="BH39" i="22" s="1"/>
  <c r="U39" i="22" s="1"/>
  <c r="AY29" i="24"/>
  <c r="AW36" i="26"/>
  <c r="AZ36" i="2"/>
  <c r="BA36" i="2" s="1"/>
  <c r="AZ29" i="27"/>
  <c r="BA29" i="27" s="1"/>
  <c r="AY42" i="22"/>
  <c r="BH42" i="22" s="1"/>
  <c r="AU41" i="22"/>
  <c r="BL42" i="22"/>
  <c r="BU42" i="22" s="1"/>
  <c r="BL25" i="22"/>
  <c r="BU25" i="22" s="1"/>
  <c r="Y25" i="22" s="1"/>
  <c r="BL23" i="2"/>
  <c r="BU23" i="2" s="1"/>
  <c r="BD46" i="20"/>
  <c r="AV46" i="22"/>
  <c r="R46" i="22" s="1"/>
  <c r="AZ38" i="24"/>
  <c r="BI38" i="24" s="1"/>
  <c r="V38" i="24" s="1"/>
  <c r="AZ37" i="27"/>
  <c r="BL40" i="2"/>
  <c r="BU40" i="2" s="1"/>
  <c r="AN25" i="24"/>
  <c r="BS47" i="23"/>
  <c r="BL32" i="24"/>
  <c r="BU32" i="24" s="1"/>
  <c r="Y32" i="24" s="1"/>
  <c r="AY34" i="26"/>
  <c r="AZ42" i="26"/>
  <c r="BI42" i="26" s="1"/>
  <c r="V42" i="26" s="1"/>
  <c r="BL37" i="2"/>
  <c r="BN37" i="2" s="1"/>
  <c r="BM29" i="2"/>
  <c r="BV29" i="2" s="1"/>
  <c r="Z29" i="2" s="1"/>
  <c r="S42" i="2"/>
  <c r="BH28" i="2"/>
  <c r="U28" i="2" s="1"/>
  <c r="AZ45" i="26"/>
  <c r="BI45" i="26" s="1"/>
  <c r="V45" i="26" s="1"/>
  <c r="BT29" i="2"/>
  <c r="BM39" i="22"/>
  <c r="BV39" i="22" s="1"/>
  <c r="Z39" i="22" s="1"/>
  <c r="AN38" i="27"/>
  <c r="BB84" i="9"/>
  <c r="Y12" i="9" s="1"/>
  <c r="AA12" i="9" s="1"/>
  <c r="BD103" i="9"/>
  <c r="CA23" i="28"/>
  <c r="AA102" i="28" s="1"/>
  <c r="AZ28" i="26"/>
  <c r="BI28" i="26" s="1"/>
  <c r="V28" i="26" s="1"/>
  <c r="AV34" i="26"/>
  <c r="R34" i="26" s="1"/>
  <c r="S34" i="26" s="1"/>
  <c r="AV39" i="22"/>
  <c r="AW39" i="22" s="1"/>
  <c r="AV28" i="26"/>
  <c r="R28" i="26" s="1"/>
  <c r="S28" i="26" s="1"/>
  <c r="AZ33" i="26"/>
  <c r="BI33" i="26" s="1"/>
  <c r="V33" i="26" s="1"/>
  <c r="AY27" i="27"/>
  <c r="BD48" i="9"/>
  <c r="AV36" i="22"/>
  <c r="R36" i="22" s="1"/>
  <c r="AV23" i="2"/>
  <c r="R23" i="2" s="1"/>
  <c r="AY35" i="26"/>
  <c r="BH35" i="26" s="1"/>
  <c r="U35" i="26" s="1"/>
  <c r="BM23" i="20"/>
  <c r="BV23" i="20" s="1"/>
  <c r="Z23" i="20" s="1"/>
  <c r="AY27" i="2"/>
  <c r="BH27" i="2" s="1"/>
  <c r="U27" i="2" s="1"/>
  <c r="BT38" i="23"/>
  <c r="AU43" i="27"/>
  <c r="Q43" i="27" s="1"/>
  <c r="S43" i="27" s="1"/>
  <c r="AY33" i="24"/>
  <c r="AY46" i="20"/>
  <c r="AY22" i="20" s="1"/>
  <c r="BL27" i="27"/>
  <c r="BT28" i="21"/>
  <c r="BM26" i="22"/>
  <c r="BV26" i="22" s="1"/>
  <c r="Z26" i="22" s="1"/>
  <c r="AZ39" i="2"/>
  <c r="BI39" i="2" s="1"/>
  <c r="V39" i="2" s="1"/>
  <c r="BL42" i="26"/>
  <c r="BU42" i="26" s="1"/>
  <c r="BW42" i="26" s="1"/>
  <c r="AT22" i="26"/>
  <c r="AZ46" i="20"/>
  <c r="AZ22" i="20" s="1"/>
  <c r="I35" i="24"/>
  <c r="AU45" i="22"/>
  <c r="Q45" i="22" s="1"/>
  <c r="AV32" i="22"/>
  <c r="AU29" i="24"/>
  <c r="Q29" i="24" s="1"/>
  <c r="AZ41" i="24"/>
  <c r="BI41" i="24" s="1"/>
  <c r="V41" i="24" s="1"/>
  <c r="BL31" i="2"/>
  <c r="BN31" i="2" s="1"/>
  <c r="BF45" i="22"/>
  <c r="BG45" i="22" s="1"/>
  <c r="BE46" i="21"/>
  <c r="BE22" i="21" s="1"/>
  <c r="BG22" i="21" s="1"/>
  <c r="BL28" i="20"/>
  <c r="BU28" i="20" s="1"/>
  <c r="Y28" i="20" s="1"/>
  <c r="AU23" i="26"/>
  <c r="Q23" i="26" s="1"/>
  <c r="S23" i="26" s="1"/>
  <c r="BM43" i="26"/>
  <c r="BV43" i="26" s="1"/>
  <c r="Z43" i="26" s="1"/>
  <c r="AA43" i="26" s="1"/>
  <c r="AZ25" i="26"/>
  <c r="BI25" i="26" s="1"/>
  <c r="V25" i="26" s="1"/>
  <c r="AV23" i="24"/>
  <c r="R23" i="24" s="1"/>
  <c r="S37" i="2"/>
  <c r="AV45" i="26"/>
  <c r="R45" i="26" s="1"/>
  <c r="AN27" i="27"/>
  <c r="BM37" i="20"/>
  <c r="BV37" i="20" s="1"/>
  <c r="Z37" i="20" s="1"/>
  <c r="AN44" i="22"/>
  <c r="BT46" i="23"/>
  <c r="AZ40" i="26"/>
  <c r="BI40" i="26" s="1"/>
  <c r="V40" i="26" s="1"/>
  <c r="BM38" i="2"/>
  <c r="BV38" i="2" s="1"/>
  <c r="Z38" i="2" s="1"/>
  <c r="AA38" i="2" s="1"/>
  <c r="S27" i="2"/>
  <c r="BL39" i="22"/>
  <c r="BU39" i="22" s="1"/>
  <c r="BW39" i="22" s="1"/>
  <c r="AZ37" i="22"/>
  <c r="BI37" i="22" s="1"/>
  <c r="V37" i="22" s="1"/>
  <c r="BM28" i="26"/>
  <c r="BV28" i="26" s="1"/>
  <c r="Z28" i="26" s="1"/>
  <c r="BM37" i="22"/>
  <c r="BV37" i="22" s="1"/>
  <c r="Z37" i="22" s="1"/>
  <c r="BM39" i="2"/>
  <c r="BV39" i="2" s="1"/>
  <c r="Z39" i="2" s="1"/>
  <c r="AN23" i="2"/>
  <c r="BL29" i="26"/>
  <c r="BU29" i="26" s="1"/>
  <c r="Y29" i="26" s="1"/>
  <c r="BM35" i="20"/>
  <c r="BV35" i="20" s="1"/>
  <c r="Z35" i="20" s="1"/>
  <c r="AY46" i="26"/>
  <c r="AY22" i="26" s="1"/>
  <c r="BL26" i="2"/>
  <c r="BU26" i="2" s="1"/>
  <c r="AZ29" i="2"/>
  <c r="BM43" i="2"/>
  <c r="BV43" i="2" s="1"/>
  <c r="Z43" i="2" s="1"/>
  <c r="BL33" i="24"/>
  <c r="BM37" i="27"/>
  <c r="BV37" i="27" s="1"/>
  <c r="Z37" i="27" s="1"/>
  <c r="BM44" i="2"/>
  <c r="BV44" i="2" s="1"/>
  <c r="Z44" i="2" s="1"/>
  <c r="AV38" i="2"/>
  <c r="R38" i="2" s="1"/>
  <c r="AZ26" i="26"/>
  <c r="BI26" i="26" s="1"/>
  <c r="V26" i="26" s="1"/>
  <c r="AN23" i="26"/>
  <c r="AZ43" i="2"/>
  <c r="BI43" i="2" s="1"/>
  <c r="V43" i="2" s="1"/>
  <c r="AZ27" i="2"/>
  <c r="BI27" i="2" s="1"/>
  <c r="AV31" i="26"/>
  <c r="R31" i="26" s="1"/>
  <c r="S31" i="26" s="1"/>
  <c r="AZ46" i="22"/>
  <c r="AZ22" i="22" s="1"/>
  <c r="BL23" i="26"/>
  <c r="BU23" i="26" s="1"/>
  <c r="AZ43" i="26"/>
  <c r="BI43" i="26" s="1"/>
  <c r="V43" i="26" s="1"/>
  <c r="BM42" i="2"/>
  <c r="BV42" i="2" s="1"/>
  <c r="Z42" i="2" s="1"/>
  <c r="BD22" i="20"/>
  <c r="AU35" i="26"/>
  <c r="AW35" i="26" s="1"/>
  <c r="AN27" i="22"/>
  <c r="AN39" i="22"/>
  <c r="AY36" i="24"/>
  <c r="G40" i="20"/>
  <c r="U19" i="20" s="1"/>
  <c r="AY19" i="20" s="1"/>
  <c r="S36" i="26"/>
  <c r="AN29" i="27"/>
  <c r="AV29" i="22"/>
  <c r="R29" i="22" s="1"/>
  <c r="BL34" i="20"/>
  <c r="BU34" i="20" s="1"/>
  <c r="Y34" i="20" s="1"/>
  <c r="AY41" i="2"/>
  <c r="BH41" i="2" s="1"/>
  <c r="AN24" i="26"/>
  <c r="D1" i="22"/>
  <c r="AY43" i="2"/>
  <c r="BH43" i="2" s="1"/>
  <c r="J35" i="20"/>
  <c r="AN43" i="2"/>
  <c r="BE35" i="25"/>
  <c r="BG35" i="25" s="1"/>
  <c r="AV27" i="22"/>
  <c r="R27" i="22" s="1"/>
  <c r="S27" i="22" s="1"/>
  <c r="AV38" i="20"/>
  <c r="R38" i="20" s="1"/>
  <c r="AU43" i="2"/>
  <c r="Q43" i="2" s="1"/>
  <c r="BM36" i="2"/>
  <c r="BV36" i="2" s="1"/>
  <c r="Z36" i="2" s="1"/>
  <c r="AA36" i="2" s="1"/>
  <c r="BL25" i="26"/>
  <c r="BU25" i="26" s="1"/>
  <c r="Y25" i="26" s="1"/>
  <c r="AT22" i="27"/>
  <c r="BM27" i="22"/>
  <c r="BV27" i="22" s="1"/>
  <c r="Z27" i="22" s="1"/>
  <c r="AA27" i="22" s="1"/>
  <c r="AZ33" i="24"/>
  <c r="BI33" i="24" s="1"/>
  <c r="V33" i="24" s="1"/>
  <c r="BD95" i="9"/>
  <c r="AZ44" i="22"/>
  <c r="BI27" i="22"/>
  <c r="AV44" i="22"/>
  <c r="R44" i="22" s="1"/>
  <c r="S44" i="22" s="1"/>
  <c r="J35" i="28"/>
  <c r="AY44" i="26"/>
  <c r="AT22" i="24"/>
  <c r="AZ46" i="2"/>
  <c r="AZ22" i="2" s="1"/>
  <c r="BL41" i="2"/>
  <c r="BU41" i="2" s="1"/>
  <c r="Y41" i="2" s="1"/>
  <c r="BM44" i="22"/>
  <c r="BV44" i="22" s="1"/>
  <c r="Z44" i="22" s="1"/>
  <c r="AN26" i="22"/>
  <c r="AN46" i="26"/>
  <c r="BM24" i="26"/>
  <c r="BV24" i="26" s="1"/>
  <c r="Z24" i="26" s="1"/>
  <c r="AZ37" i="2"/>
  <c r="BI37" i="2" s="1"/>
  <c r="V37" i="2" s="1"/>
  <c r="AZ26" i="22"/>
  <c r="BI26" i="22" s="1"/>
  <c r="V26" i="22" s="1"/>
  <c r="AZ24" i="26"/>
  <c r="BI24" i="26" s="1"/>
  <c r="V24" i="26" s="1"/>
  <c r="BM38" i="20"/>
  <c r="BV38" i="20" s="1"/>
  <c r="Z38" i="20" s="1"/>
  <c r="BE40" i="27"/>
  <c r="BG40" i="27" s="1"/>
  <c r="BL28" i="2"/>
  <c r="BU28" i="2" s="1"/>
  <c r="Y28" i="2" s="1"/>
  <c r="AA28" i="2" s="1"/>
  <c r="BA23" i="26"/>
  <c r="I44" i="20"/>
  <c r="I45" i="20" s="1"/>
  <c r="I46" i="20" s="1"/>
  <c r="AZ44" i="20"/>
  <c r="AU43" i="26"/>
  <c r="Q43" i="26" s="1"/>
  <c r="S43" i="26" s="1"/>
  <c r="Y30" i="9"/>
  <c r="AA30" i="9" s="1"/>
  <c r="BL26" i="22"/>
  <c r="BU26" i="22" s="1"/>
  <c r="AY46" i="22"/>
  <c r="AY22" i="22" s="1"/>
  <c r="Y33" i="9"/>
  <c r="AA33" i="9" s="1"/>
  <c r="AY32" i="2"/>
  <c r="BL36" i="2"/>
  <c r="BU36" i="2" s="1"/>
  <c r="Y36" i="2" s="1"/>
  <c r="AU25" i="26"/>
  <c r="Q25" i="26" s="1"/>
  <c r="AN42" i="22"/>
  <c r="BM42" i="22"/>
  <c r="BV42" i="22" s="1"/>
  <c r="Z42" i="22" s="1"/>
  <c r="AA37" i="22"/>
  <c r="AV42" i="23"/>
  <c r="R42" i="23" s="1"/>
  <c r="AU26" i="22"/>
  <c r="AW26" i="22" s="1"/>
  <c r="BM46" i="20"/>
  <c r="BM22" i="20" s="1"/>
  <c r="BN22" i="20" s="1"/>
  <c r="AZ40" i="24"/>
  <c r="BI40" i="24" s="1"/>
  <c r="V40" i="24" s="1"/>
  <c r="S31" i="2"/>
  <c r="AY43" i="26"/>
  <c r="BL31" i="23"/>
  <c r="AY29" i="2"/>
  <c r="BM33" i="20"/>
  <c r="BS22" i="27"/>
  <c r="AZ42" i="23"/>
  <c r="BL29" i="2"/>
  <c r="AU36" i="2"/>
  <c r="Q36" i="2" s="1"/>
  <c r="S36" i="2" s="1"/>
  <c r="BM46" i="2"/>
  <c r="BM22" i="2" s="1"/>
  <c r="BL39" i="24"/>
  <c r="BU39" i="24" s="1"/>
  <c r="Y39" i="24" s="1"/>
  <c r="BM46" i="26"/>
  <c r="BM22" i="26" s="1"/>
  <c r="BV22" i="26" s="1"/>
  <c r="AU31" i="24"/>
  <c r="Q31" i="24" s="1"/>
  <c r="AZ42" i="22"/>
  <c r="BI42" i="22" s="1"/>
  <c r="V42" i="22" s="1"/>
  <c r="BM29" i="22"/>
  <c r="BV29" i="22" s="1"/>
  <c r="Z29" i="22" s="1"/>
  <c r="S41" i="20"/>
  <c r="AN36" i="22"/>
  <c r="AN30" i="2"/>
  <c r="AY43" i="22"/>
  <c r="BH43" i="22" s="1"/>
  <c r="U43" i="22" s="1"/>
  <c r="AU43" i="22"/>
  <c r="Q43" i="22" s="1"/>
  <c r="BL43" i="22"/>
  <c r="BU43" i="22" s="1"/>
  <c r="AZ30" i="26"/>
  <c r="BI30" i="26" s="1"/>
  <c r="V30" i="26" s="1"/>
  <c r="AV30" i="26"/>
  <c r="R30" i="26" s="1"/>
  <c r="BM30" i="26"/>
  <c r="BV30" i="26" s="1"/>
  <c r="Z30" i="26" s="1"/>
  <c r="AV42" i="24"/>
  <c r="R42" i="24" s="1"/>
  <c r="AZ42" i="24"/>
  <c r="BI42" i="24" s="1"/>
  <c r="V42" i="24" s="1"/>
  <c r="BM42" i="24"/>
  <c r="BV42" i="24" s="1"/>
  <c r="Z42" i="24" s="1"/>
  <c r="AV44" i="26"/>
  <c r="R44" i="26" s="1"/>
  <c r="AZ44" i="26"/>
  <c r="BI44" i="26" s="1"/>
  <c r="BM44" i="26"/>
  <c r="BV44" i="26" s="1"/>
  <c r="Z44" i="26" s="1"/>
  <c r="BT44" i="21"/>
  <c r="BE44" i="21"/>
  <c r="BG44" i="21" s="1"/>
  <c r="S40" i="2"/>
  <c r="AV23" i="27"/>
  <c r="R23" i="27" s="1"/>
  <c r="AZ23" i="27"/>
  <c r="BM23" i="27"/>
  <c r="BV23" i="27" s="1"/>
  <c r="Z23" i="27" s="1"/>
  <c r="R29" i="26"/>
  <c r="S29" i="26" s="1"/>
  <c r="AW29" i="26"/>
  <c r="AZ43" i="27"/>
  <c r="AV43" i="27"/>
  <c r="R43" i="27" s="1"/>
  <c r="BM43" i="27"/>
  <c r="BV43" i="27" s="1"/>
  <c r="Z43" i="27" s="1"/>
  <c r="BM38" i="26"/>
  <c r="BV38" i="26" s="1"/>
  <c r="Z38" i="26" s="1"/>
  <c r="AZ38" i="26"/>
  <c r="BI38" i="26" s="1"/>
  <c r="V38" i="26" s="1"/>
  <c r="AU34" i="2"/>
  <c r="Q34" i="2" s="1"/>
  <c r="BL34" i="2"/>
  <c r="BU34" i="2" s="1"/>
  <c r="Y34" i="2" s="1"/>
  <c r="AY34" i="2"/>
  <c r="BA34" i="2" s="1"/>
  <c r="AU30" i="26"/>
  <c r="Q30" i="26" s="1"/>
  <c r="AN30" i="26"/>
  <c r="AY30" i="26"/>
  <c r="BH30" i="26" s="1"/>
  <c r="BL30" i="26"/>
  <c r="BU30" i="26" s="1"/>
  <c r="Y30" i="26" s="1"/>
  <c r="BT32" i="2"/>
  <c r="BE32" i="2"/>
  <c r="BG32" i="2" s="1"/>
  <c r="AZ26" i="27"/>
  <c r="BI26" i="27" s="1"/>
  <c r="V26" i="27" s="1"/>
  <c r="AV26" i="27"/>
  <c r="R26" i="27" s="1"/>
  <c r="BM26" i="27"/>
  <c r="BV26" i="27" s="1"/>
  <c r="Z26" i="27" s="1"/>
  <c r="AY40" i="26"/>
  <c r="BA40" i="26" s="1"/>
  <c r="AN40" i="26"/>
  <c r="BL40" i="26"/>
  <c r="BN40" i="26" s="1"/>
  <c r="AU40" i="26"/>
  <c r="Q40" i="26" s="1"/>
  <c r="S40" i="26" s="1"/>
  <c r="BE30" i="22"/>
  <c r="BT30" i="22"/>
  <c r="BM27" i="26"/>
  <c r="BV27" i="26" s="1"/>
  <c r="Z27" i="26" s="1"/>
  <c r="AA27" i="26" s="1"/>
  <c r="AZ27" i="26"/>
  <c r="BI27" i="26" s="1"/>
  <c r="V27" i="26" s="1"/>
  <c r="W27" i="26" s="1"/>
  <c r="AV27" i="26"/>
  <c r="R27" i="26" s="1"/>
  <c r="AU25" i="20"/>
  <c r="Q25" i="20" s="1"/>
  <c r="AN25" i="20"/>
  <c r="M35" i="23"/>
  <c r="BL33" i="20"/>
  <c r="BN33" i="20" s="1"/>
  <c r="AV32" i="26"/>
  <c r="R32" i="26" s="1"/>
  <c r="S32" i="26" s="1"/>
  <c r="AY38" i="24"/>
  <c r="BH38" i="24" s="1"/>
  <c r="U38" i="24" s="1"/>
  <c r="AN38" i="24"/>
  <c r="AU46" i="22"/>
  <c r="Q46" i="22" s="1"/>
  <c r="AL22" i="22"/>
  <c r="AN22" i="22" s="1"/>
  <c r="AV25" i="22"/>
  <c r="R25" i="22" s="1"/>
  <c r="BL38" i="24"/>
  <c r="BU38" i="24" s="1"/>
  <c r="BW38" i="24" s="1"/>
  <c r="AU35" i="22"/>
  <c r="Q35" i="22" s="1"/>
  <c r="BL35" i="22"/>
  <c r="BU35" i="22" s="1"/>
  <c r="Y35" i="22" s="1"/>
  <c r="AA35" i="22" s="1"/>
  <c r="BM41" i="22"/>
  <c r="BV41" i="22" s="1"/>
  <c r="Z41" i="22" s="1"/>
  <c r="AV41" i="22"/>
  <c r="R41" i="22" s="1"/>
  <c r="AN41" i="22"/>
  <c r="BM25" i="22"/>
  <c r="BV25" i="22" s="1"/>
  <c r="Z25" i="22" s="1"/>
  <c r="AA25" i="22" s="1"/>
  <c r="AU33" i="26"/>
  <c r="AY33" i="26"/>
  <c r="BH33" i="26" s="1"/>
  <c r="U33" i="26" s="1"/>
  <c r="BL33" i="26"/>
  <c r="BN33" i="26" s="1"/>
  <c r="AN33" i="26"/>
  <c r="BH34" i="22"/>
  <c r="U34" i="22" s="1"/>
  <c r="G40" i="23"/>
  <c r="U19" i="23" s="1"/>
  <c r="AY19" i="23" s="1"/>
  <c r="D1" i="23"/>
  <c r="BD24" i="2"/>
  <c r="BZ24" i="2"/>
  <c r="Z103" i="2" s="1"/>
  <c r="Y24" i="9"/>
  <c r="AA24" i="9" s="1"/>
  <c r="BD96" i="9"/>
  <c r="BE35" i="21"/>
  <c r="BG35" i="21" s="1"/>
  <c r="BT35" i="21"/>
  <c r="BD98" i="9"/>
  <c r="Y26" i="9"/>
  <c r="AA26" i="9" s="1"/>
  <c r="AU24" i="26"/>
  <c r="Q24" i="26" s="1"/>
  <c r="S24" i="26" s="1"/>
  <c r="BL24" i="26"/>
  <c r="BU24" i="26" s="1"/>
  <c r="Y24" i="26" s="1"/>
  <c r="AY24" i="26"/>
  <c r="BH24" i="26" s="1"/>
  <c r="U24" i="26" s="1"/>
  <c r="BL40" i="24"/>
  <c r="AU40" i="24"/>
  <c r="AW40" i="24" s="1"/>
  <c r="AN40" i="24"/>
  <c r="AV40" i="2"/>
  <c r="R40" i="2" s="1"/>
  <c r="BM40" i="2"/>
  <c r="BV40" i="2" s="1"/>
  <c r="Z40" i="2" s="1"/>
  <c r="AZ40" i="2"/>
  <c r="BI40" i="2" s="1"/>
  <c r="V40" i="2" s="1"/>
  <c r="AV38" i="26"/>
  <c r="R38" i="26" s="1"/>
  <c r="AU35" i="2"/>
  <c r="Q35" i="2" s="1"/>
  <c r="AN35" i="2"/>
  <c r="AY35" i="2"/>
  <c r="BL35" i="2"/>
  <c r="BN35" i="2" s="1"/>
  <c r="AV32" i="2"/>
  <c r="R32" i="2" s="1"/>
  <c r="S32" i="2" s="1"/>
  <c r="AZ32" i="2"/>
  <c r="BI32" i="2" s="1"/>
  <c r="V32" i="2" s="1"/>
  <c r="BL45" i="26"/>
  <c r="BU45" i="26" s="1"/>
  <c r="Y45" i="26" s="1"/>
  <c r="AA45" i="26" s="1"/>
  <c r="AY45" i="26"/>
  <c r="AN45" i="26"/>
  <c r="BM35" i="24"/>
  <c r="BV35" i="24" s="1"/>
  <c r="Z35" i="24" s="1"/>
  <c r="AZ35" i="24"/>
  <c r="BI35" i="24" s="1"/>
  <c r="V35" i="24" s="1"/>
  <c r="BT34" i="22"/>
  <c r="AU45" i="26"/>
  <c r="Q45" i="26" s="1"/>
  <c r="S45" i="26" s="1"/>
  <c r="AY25" i="20"/>
  <c r="BH25" i="20" s="1"/>
  <c r="U25" i="20" s="1"/>
  <c r="BE46" i="28"/>
  <c r="BE22" i="28" s="1"/>
  <c r="BR22" i="28"/>
  <c r="BT22" i="28" s="1"/>
  <c r="AY25" i="2"/>
  <c r="BL25" i="2"/>
  <c r="BM43" i="22"/>
  <c r="BV43" i="22" s="1"/>
  <c r="Z43" i="22" s="1"/>
  <c r="AV43" i="22"/>
  <c r="R43" i="22" s="1"/>
  <c r="AY42" i="2"/>
  <c r="BA42" i="2" s="1"/>
  <c r="BL42" i="2"/>
  <c r="BU42" i="2" s="1"/>
  <c r="AZ25" i="24"/>
  <c r="BA25" i="24" s="1"/>
  <c r="BM25" i="24"/>
  <c r="BN25" i="24" s="1"/>
  <c r="AV25" i="24"/>
  <c r="R25" i="24" s="1"/>
  <c r="S25" i="24" s="1"/>
  <c r="AZ29" i="26"/>
  <c r="BA29" i="26" s="1"/>
  <c r="BM29" i="26"/>
  <c r="BV29" i="26" s="1"/>
  <c r="Z29" i="26" s="1"/>
  <c r="AN29" i="26"/>
  <c r="AV35" i="24"/>
  <c r="R35" i="24" s="1"/>
  <c r="AU25" i="2"/>
  <c r="Q25" i="2" s="1"/>
  <c r="AV41" i="24"/>
  <c r="R41" i="24" s="1"/>
  <c r="BM27" i="24"/>
  <c r="BV27" i="24" s="1"/>
  <c r="Z27" i="24" s="1"/>
  <c r="AN27" i="24"/>
  <c r="AZ27" i="24"/>
  <c r="BI27" i="24" s="1"/>
  <c r="V27" i="24" s="1"/>
  <c r="AL47" i="2"/>
  <c r="Z102" i="20"/>
  <c r="BZ24" i="20"/>
  <c r="AZ40" i="22"/>
  <c r="BA40" i="22" s="1"/>
  <c r="AV40" i="22"/>
  <c r="R40" i="22" s="1"/>
  <c r="AY31" i="26"/>
  <c r="BA31" i="26" s="1"/>
  <c r="BL29" i="20"/>
  <c r="BU29" i="20" s="1"/>
  <c r="Y29" i="20" s="1"/>
  <c r="AU29" i="20"/>
  <c r="Q29" i="20" s="1"/>
  <c r="BE40" i="25"/>
  <c r="BG40" i="25" s="1"/>
  <c r="BT40" i="25"/>
  <c r="AZ33" i="22"/>
  <c r="BI33" i="22" s="1"/>
  <c r="V33" i="22" s="1"/>
  <c r="BM33" i="22"/>
  <c r="BV33" i="22" s="1"/>
  <c r="Z33" i="22" s="1"/>
  <c r="AV33" i="22"/>
  <c r="R33" i="22" s="1"/>
  <c r="S33" i="22" s="1"/>
  <c r="BL31" i="26"/>
  <c r="BU31" i="26" s="1"/>
  <c r="Y31" i="26" s="1"/>
  <c r="AY40" i="24"/>
  <c r="BL24" i="20"/>
  <c r="AU24" i="20"/>
  <c r="Q24" i="20" s="1"/>
  <c r="S24" i="20" s="1"/>
  <c r="AY24" i="20"/>
  <c r="BL30" i="22"/>
  <c r="BU30" i="22" s="1"/>
  <c r="Y30" i="22" s="1"/>
  <c r="AY30" i="22"/>
  <c r="AU30" i="22"/>
  <c r="Q30" i="22" s="1"/>
  <c r="BM34" i="20"/>
  <c r="AZ34" i="20"/>
  <c r="BA34" i="20" s="1"/>
  <c r="AU43" i="20"/>
  <c r="Q43" i="20" s="1"/>
  <c r="S43" i="20" s="1"/>
  <c r="AY43" i="20"/>
  <c r="BL43" i="20"/>
  <c r="BU43" i="20" s="1"/>
  <c r="AZ31" i="22"/>
  <c r="Y27" i="9"/>
  <c r="AA27" i="9" s="1"/>
  <c r="I35" i="20"/>
  <c r="AZ24" i="2"/>
  <c r="AU29" i="27"/>
  <c r="Q29" i="27" s="1"/>
  <c r="S29" i="27" s="1"/>
  <c r="BT28" i="22"/>
  <c r="BM27" i="27"/>
  <c r="BM39" i="26"/>
  <c r="BV39" i="26" s="1"/>
  <c r="Z39" i="26" s="1"/>
  <c r="BL26" i="26"/>
  <c r="BU26" i="26" s="1"/>
  <c r="Y26" i="26" s="1"/>
  <c r="AA26" i="26" s="1"/>
  <c r="AU38" i="26"/>
  <c r="Q38" i="26" s="1"/>
  <c r="AV44" i="24"/>
  <c r="R44" i="24" s="1"/>
  <c r="AY35" i="20"/>
  <c r="BA35" i="20" s="1"/>
  <c r="BM24" i="2"/>
  <c r="AU39" i="27"/>
  <c r="AV27" i="27"/>
  <c r="R27" i="27" s="1"/>
  <c r="S27" i="27" s="1"/>
  <c r="BM40" i="26"/>
  <c r="BV40" i="26" s="1"/>
  <c r="Z40" i="26" s="1"/>
  <c r="AY37" i="2"/>
  <c r="AM22" i="2"/>
  <c r="AV22" i="2" s="1"/>
  <c r="AZ44" i="24"/>
  <c r="BI44" i="24" s="1"/>
  <c r="V44" i="24" s="1"/>
  <c r="BM30" i="2"/>
  <c r="BV30" i="2" s="1"/>
  <c r="Z30" i="2" s="1"/>
  <c r="AZ44" i="2"/>
  <c r="AV42" i="26"/>
  <c r="R42" i="26" s="1"/>
  <c r="AM22" i="26"/>
  <c r="AN22" i="26" s="1"/>
  <c r="AN45" i="2"/>
  <c r="BH30" i="2"/>
  <c r="U30" i="2" s="1"/>
  <c r="W30" i="2" s="1"/>
  <c r="AY39" i="27"/>
  <c r="AN38" i="26"/>
  <c r="AN32" i="26"/>
  <c r="AM47" i="26"/>
  <c r="AZ35" i="2"/>
  <c r="BI35" i="2" s="1"/>
  <c r="V35" i="2" s="1"/>
  <c r="AN34" i="24"/>
  <c r="AZ41" i="2"/>
  <c r="BI41" i="2" s="1"/>
  <c r="V41" i="2" s="1"/>
  <c r="BU27" i="24"/>
  <c r="AV33" i="24"/>
  <c r="R33" i="24" s="1"/>
  <c r="S33" i="24" s="1"/>
  <c r="AN26" i="26"/>
  <c r="BM41" i="26"/>
  <c r="BV41" i="26" s="1"/>
  <c r="Z41" i="26" s="1"/>
  <c r="AU40" i="20"/>
  <c r="Q40" i="20" s="1"/>
  <c r="BL23" i="22"/>
  <c r="BU23" i="22" s="1"/>
  <c r="Y23" i="22" s="1"/>
  <c r="AN27" i="26"/>
  <c r="AN33" i="24"/>
  <c r="AN25" i="26"/>
  <c r="D1" i="20"/>
  <c r="BL30" i="2"/>
  <c r="BU30" i="2" s="1"/>
  <c r="Y30" i="2" s="1"/>
  <c r="AU30" i="2"/>
  <c r="Q30" i="2" s="1"/>
  <c r="S30" i="2" s="1"/>
  <c r="AN29" i="2"/>
  <c r="AY26" i="26"/>
  <c r="BH26" i="26" s="1"/>
  <c r="U26" i="26" s="1"/>
  <c r="AY23" i="22"/>
  <c r="BH23" i="22" s="1"/>
  <c r="U23" i="22" s="1"/>
  <c r="BL32" i="26"/>
  <c r="BU32" i="26" s="1"/>
  <c r="Y32" i="26" s="1"/>
  <c r="AA32" i="26" s="1"/>
  <c r="AU27" i="26"/>
  <c r="Q27" i="26" s="1"/>
  <c r="BM25" i="26"/>
  <c r="BV25" i="26" s="1"/>
  <c r="Z25" i="26" s="1"/>
  <c r="K35" i="28"/>
  <c r="AZ34" i="26"/>
  <c r="BI34" i="26" s="1"/>
  <c r="V34" i="26" s="1"/>
  <c r="AY42" i="20"/>
  <c r="BA42" i="20" s="1"/>
  <c r="BM45" i="2"/>
  <c r="BV45" i="2" s="1"/>
  <c r="Z45" i="2" s="1"/>
  <c r="AA45" i="2" s="1"/>
  <c r="AT22" i="28"/>
  <c r="BD106" i="9"/>
  <c r="AN23" i="22"/>
  <c r="AZ37" i="20"/>
  <c r="BI37" i="20" s="1"/>
  <c r="V37" i="20" s="1"/>
  <c r="AN39" i="24"/>
  <c r="AZ27" i="20"/>
  <c r="BI27" i="20" s="1"/>
  <c r="V27" i="20" s="1"/>
  <c r="D1" i="2"/>
  <c r="BM27" i="2"/>
  <c r="BV27" i="2" s="1"/>
  <c r="Z27" i="2" s="1"/>
  <c r="AA27" i="2" s="1"/>
  <c r="AN37" i="2"/>
  <c r="AN34" i="26"/>
  <c r="AZ41" i="26"/>
  <c r="BA41" i="26" s="1"/>
  <c r="BL37" i="20"/>
  <c r="BN37" i="20" s="1"/>
  <c r="AZ31" i="2"/>
  <c r="BI31" i="2" s="1"/>
  <c r="V31" i="2" s="1"/>
  <c r="AY40" i="2"/>
  <c r="BT23" i="28"/>
  <c r="BM40" i="24"/>
  <c r="BV40" i="24" s="1"/>
  <c r="Z40" i="24" s="1"/>
  <c r="AZ35" i="26"/>
  <c r="BI35" i="26" s="1"/>
  <c r="V35" i="26" s="1"/>
  <c r="AY38" i="26"/>
  <c r="BA38" i="26" s="1"/>
  <c r="AN36" i="24"/>
  <c r="AY45" i="2"/>
  <c r="BH45" i="2" s="1"/>
  <c r="U45" i="2" s="1"/>
  <c r="AN40" i="2"/>
  <c r="AN46" i="2"/>
  <c r="BM31" i="22"/>
  <c r="BV31" i="22" s="1"/>
  <c r="Z31" i="22" s="1"/>
  <c r="AZ32" i="22"/>
  <c r="BI32" i="22" s="1"/>
  <c r="V32" i="22" s="1"/>
  <c r="AZ39" i="26"/>
  <c r="BI39" i="26" s="1"/>
  <c r="V39" i="26" s="1"/>
  <c r="BM31" i="26"/>
  <c r="BV31" i="26" s="1"/>
  <c r="Z31" i="26" s="1"/>
  <c r="BB107" i="9"/>
  <c r="Y35" i="9" s="1"/>
  <c r="AA35" i="9" s="1"/>
  <c r="BL29" i="27"/>
  <c r="BU29" i="27" s="1"/>
  <c r="AZ46" i="26"/>
  <c r="AZ22" i="26" s="1"/>
  <c r="AU46" i="26"/>
  <c r="AW46" i="26" s="1"/>
  <c r="BL46" i="26"/>
  <c r="BL27" i="20"/>
  <c r="BU27" i="20" s="1"/>
  <c r="Y27" i="20" s="1"/>
  <c r="AZ45" i="2"/>
  <c r="BI45" i="2" s="1"/>
  <c r="V45" i="2" s="1"/>
  <c r="Q45" i="2"/>
  <c r="S45" i="2" s="1"/>
  <c r="AW45" i="2"/>
  <c r="AW41" i="20"/>
  <c r="AY37" i="22"/>
  <c r="AV24" i="24"/>
  <c r="R24" i="24" s="1"/>
  <c r="AV35" i="20"/>
  <c r="R35" i="20" s="1"/>
  <c r="AM47" i="2"/>
  <c r="BM25" i="20"/>
  <c r="BV25" i="20" s="1"/>
  <c r="Z25" i="20" s="1"/>
  <c r="AY46" i="2"/>
  <c r="AY22" i="2" s="1"/>
  <c r="S29" i="22"/>
  <c r="BL37" i="26"/>
  <c r="BU37" i="26" s="1"/>
  <c r="Y37" i="26" s="1"/>
  <c r="AA37" i="26" s="1"/>
  <c r="BR47" i="23"/>
  <c r="BD46" i="21"/>
  <c r="AN37" i="22"/>
  <c r="BT28" i="20"/>
  <c r="BS47" i="28"/>
  <c r="BE40" i="26"/>
  <c r="D1" i="25"/>
  <c r="BB47" i="23"/>
  <c r="BL41" i="22"/>
  <c r="BU41" i="22" s="1"/>
  <c r="AY33" i="22"/>
  <c r="D1" i="21"/>
  <c r="AV25" i="2"/>
  <c r="AV35" i="27"/>
  <c r="R35" i="27" s="1"/>
  <c r="G40" i="26"/>
  <c r="U19" i="26" s="1"/>
  <c r="AY19" i="26" s="1"/>
  <c r="AN43" i="22"/>
  <c r="AY31" i="23"/>
  <c r="BH31" i="23" s="1"/>
  <c r="AY39" i="2"/>
  <c r="BH39" i="2" s="1"/>
  <c r="U39" i="2" s="1"/>
  <c r="AZ35" i="27"/>
  <c r="BI35" i="27" s="1"/>
  <c r="V35" i="27" s="1"/>
  <c r="BQ22" i="24"/>
  <c r="AV39" i="20"/>
  <c r="R39" i="20" s="1"/>
  <c r="S23" i="20"/>
  <c r="AY45" i="22"/>
  <c r="BH45" i="22" s="1"/>
  <c r="BL32" i="22"/>
  <c r="BU32" i="22" s="1"/>
  <c r="Y32" i="22" s="1"/>
  <c r="AA32" i="22" s="1"/>
  <c r="BL32" i="27"/>
  <c r="BU32" i="27" s="1"/>
  <c r="Y32" i="27" s="1"/>
  <c r="BY23" i="2"/>
  <c r="Y102" i="2" s="1"/>
  <c r="BL29" i="22"/>
  <c r="BM31" i="20"/>
  <c r="BV31" i="20" s="1"/>
  <c r="Z31" i="20" s="1"/>
  <c r="I35" i="2"/>
  <c r="AZ26" i="2"/>
  <c r="BI26" i="2" s="1"/>
  <c r="V26" i="2" s="1"/>
  <c r="AV26" i="2"/>
  <c r="R26" i="2" s="1"/>
  <c r="S26" i="2" s="1"/>
  <c r="AU39" i="2"/>
  <c r="BF46" i="28"/>
  <c r="BF22" i="28" s="1"/>
  <c r="K35" i="22"/>
  <c r="BD86" i="9"/>
  <c r="BV46" i="26"/>
  <c r="Z46" i="26" s="1"/>
  <c r="AN31" i="22"/>
  <c r="AN33" i="22"/>
  <c r="AN45" i="22"/>
  <c r="AY44" i="2"/>
  <c r="BH44" i="2" s="1"/>
  <c r="U44" i="2" s="1"/>
  <c r="AN31" i="26"/>
  <c r="BE31" i="23"/>
  <c r="BL31" i="24"/>
  <c r="BU31" i="24" s="1"/>
  <c r="AY37" i="26"/>
  <c r="BA37" i="26" s="1"/>
  <c r="AA35" i="26"/>
  <c r="AN32" i="20"/>
  <c r="BM39" i="20"/>
  <c r="BV39" i="20" s="1"/>
  <c r="Z39" i="20" s="1"/>
  <c r="BM41" i="2"/>
  <c r="BV41" i="2" s="1"/>
  <c r="Z41" i="2" s="1"/>
  <c r="S33" i="2"/>
  <c r="AU37" i="22"/>
  <c r="Q37" i="22" s="1"/>
  <c r="S32" i="20"/>
  <c r="BU29" i="24"/>
  <c r="Y29" i="24" s="1"/>
  <c r="AU38" i="2"/>
  <c r="Q38" i="2" s="1"/>
  <c r="BL39" i="2"/>
  <c r="BU39" i="2" s="1"/>
  <c r="Y39" i="2" s="1"/>
  <c r="AZ36" i="27"/>
  <c r="BI36" i="27" s="1"/>
  <c r="AN29" i="22"/>
  <c r="AN23" i="20"/>
  <c r="BU24" i="27"/>
  <c r="Y24" i="27" s="1"/>
  <c r="AZ23" i="20"/>
  <c r="BI23" i="20" s="1"/>
  <c r="V23" i="20" s="1"/>
  <c r="BL46" i="2"/>
  <c r="AN25" i="2"/>
  <c r="AN38" i="2"/>
  <c r="AN42" i="2"/>
  <c r="AU24" i="2"/>
  <c r="AN24" i="2"/>
  <c r="AU28" i="2"/>
  <c r="AN28" i="2"/>
  <c r="AU44" i="26"/>
  <c r="AN44" i="26"/>
  <c r="AY29" i="22"/>
  <c r="BA29" i="22" s="1"/>
  <c r="BG32" i="25"/>
  <c r="AZ25" i="20"/>
  <c r="BI25" i="20" s="1"/>
  <c r="BL40" i="20"/>
  <c r="BU40" i="20" s="1"/>
  <c r="AU46" i="2"/>
  <c r="Q46" i="2" s="1"/>
  <c r="S46" i="2" s="1"/>
  <c r="AV22" i="22"/>
  <c r="AV27" i="24"/>
  <c r="R27" i="24" s="1"/>
  <c r="AN41" i="2"/>
  <c r="AN36" i="2"/>
  <c r="AT47" i="23"/>
  <c r="BL24" i="2"/>
  <c r="BU24" i="2" s="1"/>
  <c r="Y24" i="2" s="1"/>
  <c r="S41" i="2"/>
  <c r="AU44" i="2"/>
  <c r="AW31" i="20"/>
  <c r="AV45" i="22"/>
  <c r="R45" i="22" s="1"/>
  <c r="AZ33" i="2"/>
  <c r="BI33" i="2" s="1"/>
  <c r="V33" i="2" s="1"/>
  <c r="W33" i="2" s="1"/>
  <c r="AL22" i="2"/>
  <c r="AY32" i="22"/>
  <c r="BM41" i="20"/>
  <c r="BV41" i="20" s="1"/>
  <c r="Z41" i="20" s="1"/>
  <c r="BR47" i="26"/>
  <c r="AN40" i="22"/>
  <c r="BL44" i="2"/>
  <c r="BU44" i="2" s="1"/>
  <c r="AV44" i="27"/>
  <c r="R44" i="27" s="1"/>
  <c r="J35" i="22"/>
  <c r="I35" i="26"/>
  <c r="AA36" i="9"/>
  <c r="AZ31" i="20"/>
  <c r="BI31" i="20" s="1"/>
  <c r="V31" i="20" s="1"/>
  <c r="AY38" i="2"/>
  <c r="BA38" i="2" s="1"/>
  <c r="BD91" i="9"/>
  <c r="AN34" i="2"/>
  <c r="AV34" i="2"/>
  <c r="BT25" i="21"/>
  <c r="AW41" i="2"/>
  <c r="BM33" i="2"/>
  <c r="BV33" i="2" s="1"/>
  <c r="Z33" i="2" s="1"/>
  <c r="AA33" i="2" s="1"/>
  <c r="AN46" i="20"/>
  <c r="AN33" i="2"/>
  <c r="AN26" i="2"/>
  <c r="AL47" i="26"/>
  <c r="AN46" i="27"/>
  <c r="BT26" i="28"/>
  <c r="AN41" i="20"/>
  <c r="BR47" i="2"/>
  <c r="AY24" i="2"/>
  <c r="S31" i="20"/>
  <c r="BG41" i="20"/>
  <c r="BH41" i="20"/>
  <c r="AZ35" i="22"/>
  <c r="BI35" i="22" s="1"/>
  <c r="V35" i="22" s="1"/>
  <c r="BE26" i="20"/>
  <c r="BG26" i="20" s="1"/>
  <c r="BE44" i="28"/>
  <c r="BG44" i="28" s="1"/>
  <c r="BT44" i="28"/>
  <c r="BL39" i="27"/>
  <c r="BU39" i="27" s="1"/>
  <c r="AV35" i="22"/>
  <c r="R35" i="22" s="1"/>
  <c r="BE23" i="20"/>
  <c r="CA23" i="20" s="1"/>
  <c r="BM45" i="22"/>
  <c r="BN45" i="22" s="1"/>
  <c r="AV29" i="20"/>
  <c r="R29" i="20" s="1"/>
  <c r="AY44" i="22"/>
  <c r="BH44" i="22" s="1"/>
  <c r="AN43" i="20"/>
  <c r="AN27" i="20"/>
  <c r="AW34" i="26"/>
  <c r="BM27" i="20"/>
  <c r="BV27" i="20" s="1"/>
  <c r="Z27" i="20" s="1"/>
  <c r="AA27" i="20" s="1"/>
  <c r="BE26" i="22"/>
  <c r="BG26" i="22" s="1"/>
  <c r="BT26" i="22"/>
  <c r="BZ25" i="21"/>
  <c r="Z104" i="21" s="1"/>
  <c r="BL44" i="22"/>
  <c r="BU44" i="22" s="1"/>
  <c r="AV34" i="20"/>
  <c r="R34" i="20" s="1"/>
  <c r="AY39" i="24"/>
  <c r="BH39" i="24" s="1"/>
  <c r="BL36" i="20"/>
  <c r="BU36" i="20" s="1"/>
  <c r="Y36" i="20" s="1"/>
  <c r="AU33" i="27"/>
  <c r="Q33" i="27" s="1"/>
  <c r="K35" i="24"/>
  <c r="AV24" i="22"/>
  <c r="R24" i="22" s="1"/>
  <c r="S24" i="22" s="1"/>
  <c r="AY43" i="27"/>
  <c r="BH43" i="27" s="1"/>
  <c r="AN35" i="22"/>
  <c r="M35" i="20"/>
  <c r="AZ33" i="20"/>
  <c r="BI33" i="20" s="1"/>
  <c r="V33" i="20" s="1"/>
  <c r="BF44" i="22"/>
  <c r="BG44" i="22" s="1"/>
  <c r="BT44" i="22"/>
  <c r="BT41" i="20"/>
  <c r="BD97" i="9"/>
  <c r="AN31" i="20"/>
  <c r="BT46" i="22"/>
  <c r="BM29" i="20"/>
  <c r="BV29" i="20" s="1"/>
  <c r="Z29" i="20" s="1"/>
  <c r="BT28" i="23"/>
  <c r="BU32" i="2"/>
  <c r="Y32" i="2" s="1"/>
  <c r="BG26" i="28"/>
  <c r="AM47" i="24"/>
  <c r="BT37" i="20"/>
  <c r="BD87" i="9"/>
  <c r="AN36" i="27"/>
  <c r="BE28" i="23"/>
  <c r="BG28" i="23" s="1"/>
  <c r="BL31" i="22"/>
  <c r="BU31" i="22" s="1"/>
  <c r="J35" i="25"/>
  <c r="AU45" i="20"/>
  <c r="Q45" i="20" s="1"/>
  <c r="S45" i="20" s="1"/>
  <c r="BQ47" i="22"/>
  <c r="M44" i="22" s="1"/>
  <c r="AU41" i="26"/>
  <c r="AN41" i="26"/>
  <c r="AV36" i="27"/>
  <c r="R36" i="27" s="1"/>
  <c r="AZ34" i="22"/>
  <c r="BI34" i="22" s="1"/>
  <c r="V34" i="22" s="1"/>
  <c r="AZ44" i="27"/>
  <c r="BI44" i="27" s="1"/>
  <c r="V44" i="27" s="1"/>
  <c r="AY31" i="22"/>
  <c r="AN32" i="22"/>
  <c r="AU40" i="22"/>
  <c r="Q40" i="22" s="1"/>
  <c r="BD45" i="24"/>
  <c r="BL25" i="20"/>
  <c r="BU25" i="20" s="1"/>
  <c r="BQ22" i="20"/>
  <c r="BD94" i="9"/>
  <c r="BG29" i="2"/>
  <c r="AN46" i="22"/>
  <c r="BF34" i="20"/>
  <c r="BG34" i="20" s="1"/>
  <c r="AN25" i="22"/>
  <c r="AY35" i="22"/>
  <c r="BL26" i="20"/>
  <c r="BU26" i="20" s="1"/>
  <c r="Y26" i="20" s="1"/>
  <c r="BL32" i="20"/>
  <c r="BU32" i="20" s="1"/>
  <c r="Y32" i="20" s="1"/>
  <c r="BM44" i="20"/>
  <c r="BV44" i="20" s="1"/>
  <c r="AZ27" i="27"/>
  <c r="AN30" i="22"/>
  <c r="BG24" i="24"/>
  <c r="BE35" i="28"/>
  <c r="BG35" i="28" s="1"/>
  <c r="BT35" i="28"/>
  <c r="AN43" i="27"/>
  <c r="G40" i="2"/>
  <c r="U19" i="2" s="1"/>
  <c r="AY19" i="2" s="1"/>
  <c r="BE32" i="22"/>
  <c r="BG32" i="22" s="1"/>
  <c r="BT32" i="22"/>
  <c r="Y18" i="9"/>
  <c r="AA18" i="9" s="1"/>
  <c r="AY32" i="27"/>
  <c r="BH32" i="27" s="1"/>
  <c r="U32" i="27" s="1"/>
  <c r="AU35" i="27"/>
  <c r="BL36" i="22"/>
  <c r="BM24" i="27"/>
  <c r="BV24" i="27" s="1"/>
  <c r="Z24" i="27" s="1"/>
  <c r="AY45" i="20"/>
  <c r="Y32" i="9"/>
  <c r="AA32" i="9" s="1"/>
  <c r="AN24" i="22"/>
  <c r="AN35" i="27"/>
  <c r="BI25" i="22"/>
  <c r="V25" i="22" s="1"/>
  <c r="M35" i="25"/>
  <c r="G40" i="24"/>
  <c r="U19" i="24" s="1"/>
  <c r="AY19" i="24" s="1"/>
  <c r="AN30" i="27"/>
  <c r="AN37" i="26"/>
  <c r="I35" i="25"/>
  <c r="BT27" i="28"/>
  <c r="AU25" i="22"/>
  <c r="Q25" i="22" s="1"/>
  <c r="AN34" i="22"/>
  <c r="AV46" i="27"/>
  <c r="R46" i="27" s="1"/>
  <c r="BN25" i="22"/>
  <c r="BN36" i="26"/>
  <c r="BM46" i="22"/>
  <c r="BM22" i="22" s="1"/>
  <c r="BN22" i="22" s="1"/>
  <c r="BL35" i="27"/>
  <c r="BN35" i="27" s="1"/>
  <c r="BL46" i="27"/>
  <c r="BL22" i="27" s="1"/>
  <c r="BL40" i="22"/>
  <c r="BU40" i="22" s="1"/>
  <c r="Y40" i="22" s="1"/>
  <c r="AA40" i="22" s="1"/>
  <c r="BG37" i="27"/>
  <c r="AM22" i="20"/>
  <c r="AV22" i="20" s="1"/>
  <c r="BS47" i="25"/>
  <c r="BA28" i="2"/>
  <c r="BT46" i="28"/>
  <c r="AN29" i="20"/>
  <c r="BL41" i="26"/>
  <c r="AT47" i="26"/>
  <c r="BM24" i="22"/>
  <c r="BN24" i="22" s="1"/>
  <c r="AL47" i="22"/>
  <c r="BL33" i="27"/>
  <c r="BU33" i="27" s="1"/>
  <c r="Y33" i="27" s="1"/>
  <c r="K35" i="25"/>
  <c r="AU36" i="22"/>
  <c r="Q36" i="22" s="1"/>
  <c r="AL22" i="27"/>
  <c r="AU22" i="27" s="1"/>
  <c r="BH29" i="2"/>
  <c r="U29" i="2" s="1"/>
  <c r="BM32" i="20"/>
  <c r="BV32" i="20" s="1"/>
  <c r="Z32" i="20" s="1"/>
  <c r="Y13" i="9"/>
  <c r="AA13" i="9" s="1"/>
  <c r="AU46" i="27"/>
  <c r="Q46" i="27" s="1"/>
  <c r="BT37" i="27"/>
  <c r="BU29" i="2"/>
  <c r="Y29" i="2" s="1"/>
  <c r="S44" i="20"/>
  <c r="BD101" i="9"/>
  <c r="BL44" i="27"/>
  <c r="BU44" i="27" s="1"/>
  <c r="S34" i="22"/>
  <c r="BT37" i="21"/>
  <c r="BM34" i="22"/>
  <c r="BV34" i="22" s="1"/>
  <c r="Z34" i="22" s="1"/>
  <c r="D1" i="28"/>
  <c r="AT22" i="25"/>
  <c r="AZ32" i="20"/>
  <c r="BI32" i="20" s="1"/>
  <c r="V32" i="20" s="1"/>
  <c r="BM28" i="20"/>
  <c r="BV28" i="20" s="1"/>
  <c r="Z28" i="20" s="1"/>
  <c r="BL33" i="22"/>
  <c r="AN35" i="20"/>
  <c r="R25" i="20"/>
  <c r="S25" i="20" s="1"/>
  <c r="AW25" i="20"/>
  <c r="BV40" i="20"/>
  <c r="Z40" i="20" s="1"/>
  <c r="BI39" i="20"/>
  <c r="V39" i="20" s="1"/>
  <c r="BA39" i="20"/>
  <c r="AT47" i="25"/>
  <c r="BW35" i="26"/>
  <c r="BD47" i="25"/>
  <c r="L44" i="25" s="1"/>
  <c r="AW43" i="26"/>
  <c r="BN35" i="26"/>
  <c r="BH34" i="26"/>
  <c r="U34" i="26" s="1"/>
  <c r="AN30" i="20"/>
  <c r="AU30" i="20"/>
  <c r="AU34" i="20"/>
  <c r="Q34" i="20" s="1"/>
  <c r="AN34" i="20"/>
  <c r="AN28" i="20"/>
  <c r="BE46" i="26"/>
  <c r="BR22" i="26"/>
  <c r="BT22" i="26" s="1"/>
  <c r="AN38" i="20"/>
  <c r="AU38" i="20"/>
  <c r="AV30" i="22"/>
  <c r="R30" i="22" s="1"/>
  <c r="S30" i="22" s="1"/>
  <c r="BQ47" i="23"/>
  <c r="M44" i="23" s="1"/>
  <c r="BL38" i="20"/>
  <c r="BU38" i="20" s="1"/>
  <c r="AN39" i="20"/>
  <c r="AU39" i="20"/>
  <c r="BL42" i="20"/>
  <c r="BU42" i="20" s="1"/>
  <c r="Y42" i="20" s="1"/>
  <c r="AA42" i="20" s="1"/>
  <c r="BA36" i="26"/>
  <c r="BH28" i="20"/>
  <c r="U28" i="20" s="1"/>
  <c r="BQ47" i="26"/>
  <c r="M44" i="26" s="1"/>
  <c r="AN33" i="20"/>
  <c r="AU33" i="20"/>
  <c r="AZ24" i="20"/>
  <c r="BI24" i="20" s="1"/>
  <c r="V24" i="20" s="1"/>
  <c r="BS47" i="21"/>
  <c r="BE29" i="22"/>
  <c r="BG29" i="22" s="1"/>
  <c r="BT29" i="22"/>
  <c r="BE32" i="26"/>
  <c r="BG32" i="26" s="1"/>
  <c r="BT32" i="26"/>
  <c r="BT47" i="26" s="1"/>
  <c r="M46" i="26" s="1"/>
  <c r="AN42" i="27"/>
  <c r="BU46" i="22"/>
  <c r="Y46" i="22" s="1"/>
  <c r="AN40" i="20"/>
  <c r="AV40" i="20"/>
  <c r="R40" i="20" s="1"/>
  <c r="AW23" i="20"/>
  <c r="BQ47" i="2"/>
  <c r="M44" i="2" s="1"/>
  <c r="I44" i="2"/>
  <c r="I45" i="2" s="1"/>
  <c r="I46" i="2" s="1"/>
  <c r="AM47" i="23"/>
  <c r="AT22" i="22"/>
  <c r="BR47" i="20"/>
  <c r="BM45" i="20"/>
  <c r="BE40" i="2"/>
  <c r="BG40" i="2" s="1"/>
  <c r="BT40" i="2"/>
  <c r="BA30" i="2"/>
  <c r="AW29" i="22"/>
  <c r="BF47" i="26"/>
  <c r="AW30" i="2"/>
  <c r="AZ24" i="27"/>
  <c r="BI24" i="27" s="1"/>
  <c r="V24" i="27" s="1"/>
  <c r="AY44" i="20"/>
  <c r="BA44" i="20" s="1"/>
  <c r="AZ30" i="20"/>
  <c r="BI30" i="20" s="1"/>
  <c r="BL31" i="20"/>
  <c r="BU31" i="20" s="1"/>
  <c r="Y31" i="20" s="1"/>
  <c r="BN43" i="2"/>
  <c r="AN24" i="20"/>
  <c r="AM47" i="20"/>
  <c r="BZ23" i="22"/>
  <c r="BD23" i="22"/>
  <c r="AZ45" i="20"/>
  <c r="BI45" i="20" s="1"/>
  <c r="V45" i="20" s="1"/>
  <c r="AY31" i="20"/>
  <c r="AL47" i="24"/>
  <c r="BQ47" i="21"/>
  <c r="M44" i="21" s="1"/>
  <c r="BH37" i="20"/>
  <c r="BL23" i="20"/>
  <c r="BA31" i="2"/>
  <c r="AN42" i="20"/>
  <c r="BQ47" i="28"/>
  <c r="M44" i="28" s="1"/>
  <c r="D1" i="27"/>
  <c r="AN45" i="20"/>
  <c r="BM36" i="20"/>
  <c r="BV36" i="20" s="1"/>
  <c r="Z36" i="20" s="1"/>
  <c r="AU36" i="20"/>
  <c r="AN36" i="20"/>
  <c r="BT24" i="24"/>
  <c r="BT32" i="25"/>
  <c r="BD71" i="9"/>
  <c r="BU45" i="20"/>
  <c r="Y45" i="20" s="1"/>
  <c r="BM26" i="20"/>
  <c r="BV26" i="20" s="1"/>
  <c r="Z26" i="20" s="1"/>
  <c r="AZ28" i="20"/>
  <c r="BI28" i="20" s="1"/>
  <c r="V28" i="20" s="1"/>
  <c r="AA36" i="26"/>
  <c r="AT47" i="2"/>
  <c r="AL47" i="20"/>
  <c r="AY23" i="20"/>
  <c r="AY29" i="20"/>
  <c r="BH29" i="20" s="1"/>
  <c r="U29" i="20" s="1"/>
  <c r="BI46" i="26"/>
  <c r="V46" i="26" s="1"/>
  <c r="AW44" i="20"/>
  <c r="BM24" i="20"/>
  <c r="BV24" i="20" s="1"/>
  <c r="Z24" i="20" s="1"/>
  <c r="BT38" i="21"/>
  <c r="AU28" i="20"/>
  <c r="BR47" i="22"/>
  <c r="BQ47" i="20"/>
  <c r="M44" i="20" s="1"/>
  <c r="AN44" i="20"/>
  <c r="BL39" i="20"/>
  <c r="AV30" i="20"/>
  <c r="R30" i="20" s="1"/>
  <c r="AY38" i="20"/>
  <c r="BA38" i="20" s="1"/>
  <c r="AZ43" i="20"/>
  <c r="BI43" i="20" s="1"/>
  <c r="V43" i="20" s="1"/>
  <c r="AZ41" i="20"/>
  <c r="BI41" i="20" s="1"/>
  <c r="V41" i="20" s="1"/>
  <c r="BE41" i="24"/>
  <c r="BG41" i="24" s="1"/>
  <c r="BT41" i="24"/>
  <c r="AZ30" i="22"/>
  <c r="AZ26" i="20"/>
  <c r="BV22" i="27"/>
  <c r="AN24" i="27"/>
  <c r="BD83" i="9"/>
  <c r="BL37" i="27"/>
  <c r="BU37" i="27" s="1"/>
  <c r="G36" i="9"/>
  <c r="I36" i="9" s="1"/>
  <c r="S38" i="24"/>
  <c r="AT47" i="27"/>
  <c r="BA25" i="20"/>
  <c r="BU28" i="26"/>
  <c r="Y28" i="26" s="1"/>
  <c r="BR47" i="25"/>
  <c r="AY32" i="20"/>
  <c r="BH32" i="20" s="1"/>
  <c r="BM43" i="20"/>
  <c r="BL35" i="20"/>
  <c r="AL22" i="20"/>
  <c r="AU46" i="20"/>
  <c r="BQ47" i="24"/>
  <c r="M44" i="24" s="1"/>
  <c r="BF46" i="20"/>
  <c r="BF22" i="20" s="1"/>
  <c r="BS22" i="20"/>
  <c r="BM30" i="22"/>
  <c r="BV30" i="22" s="1"/>
  <c r="BN34" i="2"/>
  <c r="AZ40" i="20"/>
  <c r="BI40" i="20" s="1"/>
  <c r="V40" i="20" s="1"/>
  <c r="AZ36" i="20"/>
  <c r="BI36" i="20" s="1"/>
  <c r="V36" i="20" s="1"/>
  <c r="K35" i="2"/>
  <c r="G40" i="21"/>
  <c r="U19" i="21" s="1"/>
  <c r="AY19" i="21" s="1"/>
  <c r="AW24" i="27"/>
  <c r="AW33" i="2"/>
  <c r="AT47" i="28"/>
  <c r="AM47" i="27"/>
  <c r="BB47" i="27"/>
  <c r="S24" i="27"/>
  <c r="BL30" i="20"/>
  <c r="BL44" i="20"/>
  <c r="BU44" i="20" s="1"/>
  <c r="Y44" i="20" s="1"/>
  <c r="AN37" i="20"/>
  <c r="AU37" i="20"/>
  <c r="AN26" i="20"/>
  <c r="AU26" i="20"/>
  <c r="AU22" i="26"/>
  <c r="V29" i="20"/>
  <c r="R32" i="27"/>
  <c r="S32" i="27" s="1"/>
  <c r="AW32" i="27"/>
  <c r="BM37" i="28"/>
  <c r="BV37" i="28" s="1"/>
  <c r="Z37" i="28" s="1"/>
  <c r="AZ37" i="28"/>
  <c r="BI37" i="28" s="1"/>
  <c r="V37" i="28" s="1"/>
  <c r="AV37" i="28"/>
  <c r="R37" i="28" s="1"/>
  <c r="AN41" i="23"/>
  <c r="AU41" i="23"/>
  <c r="BL41" i="23"/>
  <c r="AY41" i="23"/>
  <c r="BL29" i="25"/>
  <c r="AN29" i="25"/>
  <c r="AY29" i="25"/>
  <c r="AU29" i="25"/>
  <c r="BL27" i="23"/>
  <c r="AN27" i="23"/>
  <c r="AU27" i="23"/>
  <c r="AY27" i="23"/>
  <c r="BH27" i="23" s="1"/>
  <c r="M35" i="26"/>
  <c r="J35" i="26"/>
  <c r="BM44" i="21"/>
  <c r="BV44" i="21" s="1"/>
  <c r="Z44" i="21" s="1"/>
  <c r="AV44" i="21"/>
  <c r="R44" i="21" s="1"/>
  <c r="AZ44" i="21"/>
  <c r="BI44" i="21" s="1"/>
  <c r="V44" i="21" s="1"/>
  <c r="BF44" i="20"/>
  <c r="BI44" i="20" s="1"/>
  <c r="V44" i="20" s="1"/>
  <c r="BS47" i="20"/>
  <c r="AZ27" i="21"/>
  <c r="BI27" i="21" s="1"/>
  <c r="V27" i="21" s="1"/>
  <c r="BM27" i="21"/>
  <c r="BV27" i="21" s="1"/>
  <c r="Z27" i="21" s="1"/>
  <c r="AV27" i="21"/>
  <c r="R27" i="21" s="1"/>
  <c r="AN37" i="25"/>
  <c r="AY37" i="25"/>
  <c r="AU37" i="25"/>
  <c r="BL37" i="25"/>
  <c r="AZ26" i="28"/>
  <c r="BI26" i="28" s="1"/>
  <c r="V26" i="28" s="1"/>
  <c r="BM26" i="28"/>
  <c r="BV26" i="28" s="1"/>
  <c r="Z26" i="28" s="1"/>
  <c r="AV26" i="28"/>
  <c r="R26" i="28" s="1"/>
  <c r="AZ28" i="28"/>
  <c r="BI28" i="28" s="1"/>
  <c r="V28" i="28" s="1"/>
  <c r="AV28" i="28"/>
  <c r="R28" i="28" s="1"/>
  <c r="BM28" i="28"/>
  <c r="BV28" i="28" s="1"/>
  <c r="Z28" i="28" s="1"/>
  <c r="R43" i="2"/>
  <c r="AU23" i="21"/>
  <c r="AL47" i="21"/>
  <c r="BL23" i="21"/>
  <c r="AN23" i="21"/>
  <c r="AY23" i="21"/>
  <c r="BD31" i="20"/>
  <c r="BD47" i="20" s="1"/>
  <c r="L44" i="20" s="1"/>
  <c r="BC47" i="20"/>
  <c r="AN41" i="21"/>
  <c r="AY41" i="21"/>
  <c r="AU41" i="21"/>
  <c r="BD29" i="27"/>
  <c r="BC47" i="27"/>
  <c r="U41" i="20"/>
  <c r="U42" i="22"/>
  <c r="BE31" i="24"/>
  <c r="BT31" i="24"/>
  <c r="AY41" i="28"/>
  <c r="BL41" i="28"/>
  <c r="AU41" i="28"/>
  <c r="AN41" i="28"/>
  <c r="Y34" i="26"/>
  <c r="AA34" i="26" s="1"/>
  <c r="BW34" i="26"/>
  <c r="AU36" i="25"/>
  <c r="AY36" i="25"/>
  <c r="AN36" i="25"/>
  <c r="BL36" i="25"/>
  <c r="BE33" i="24"/>
  <c r="BT33" i="24"/>
  <c r="AV28" i="25"/>
  <c r="R28" i="25" s="1"/>
  <c r="BM28" i="25"/>
  <c r="BV28" i="25" s="1"/>
  <c r="Z28" i="25" s="1"/>
  <c r="AZ28" i="25"/>
  <c r="BI28" i="25" s="1"/>
  <c r="V28" i="25" s="1"/>
  <c r="AV33" i="23"/>
  <c r="R33" i="23" s="1"/>
  <c r="AZ33" i="23"/>
  <c r="BI33" i="23" s="1"/>
  <c r="BM33" i="23"/>
  <c r="BV33" i="23" s="1"/>
  <c r="Z33" i="23" s="1"/>
  <c r="Q26" i="23"/>
  <c r="AN38" i="23"/>
  <c r="AY38" i="23"/>
  <c r="BL38" i="23"/>
  <c r="AU38" i="23"/>
  <c r="BB47" i="25"/>
  <c r="AU41" i="25"/>
  <c r="AN41" i="25"/>
  <c r="BL41" i="25"/>
  <c r="AY41" i="25"/>
  <c r="AY25" i="23"/>
  <c r="BH25" i="23" s="1"/>
  <c r="AU25" i="23"/>
  <c r="BL25" i="23"/>
  <c r="AN25" i="23"/>
  <c r="BE44" i="24"/>
  <c r="BG44" i="24" s="1"/>
  <c r="BT44" i="24"/>
  <c r="AY34" i="25"/>
  <c r="BL34" i="25"/>
  <c r="AU34" i="25"/>
  <c r="AN34" i="25"/>
  <c r="BV37" i="2"/>
  <c r="Z37" i="2" s="1"/>
  <c r="BE22" i="23"/>
  <c r="AZ28" i="21"/>
  <c r="BI28" i="21" s="1"/>
  <c r="V28" i="21" s="1"/>
  <c r="AV28" i="21"/>
  <c r="R28" i="21" s="1"/>
  <c r="BM28" i="21"/>
  <c r="BV28" i="21" s="1"/>
  <c r="Z28" i="21" s="1"/>
  <c r="AV32" i="25"/>
  <c r="R32" i="25" s="1"/>
  <c r="AZ32" i="25"/>
  <c r="BI32" i="25" s="1"/>
  <c r="V32" i="25" s="1"/>
  <c r="BM32" i="25"/>
  <c r="BV32" i="25" s="1"/>
  <c r="Z32" i="25" s="1"/>
  <c r="Y38" i="26"/>
  <c r="BD46" i="24"/>
  <c r="AN33" i="27"/>
  <c r="BC47" i="25"/>
  <c r="AV38" i="22"/>
  <c r="R38" i="22" s="1"/>
  <c r="AZ38" i="22"/>
  <c r="BI38" i="22" s="1"/>
  <c r="V38" i="22" s="1"/>
  <c r="BM38" i="22"/>
  <c r="BV38" i="22" s="1"/>
  <c r="Z38" i="22" s="1"/>
  <c r="AU31" i="21"/>
  <c r="AN31" i="21"/>
  <c r="BL31" i="21"/>
  <c r="AY31" i="21"/>
  <c r="BE43" i="20"/>
  <c r="BT43" i="20"/>
  <c r="Y25" i="20"/>
  <c r="BT44" i="20"/>
  <c r="AV45" i="27"/>
  <c r="R45" i="27" s="1"/>
  <c r="BM33" i="27"/>
  <c r="BV33" i="27" s="1"/>
  <c r="BD22" i="24"/>
  <c r="BT37" i="24"/>
  <c r="BE37" i="24"/>
  <c r="BG37" i="24" s="1"/>
  <c r="BM28" i="22"/>
  <c r="BV28" i="22" s="1"/>
  <c r="Z28" i="22" s="1"/>
  <c r="AV28" i="22"/>
  <c r="R28" i="22" s="1"/>
  <c r="AZ28" i="22"/>
  <c r="BA28" i="22" s="1"/>
  <c r="AM47" i="22"/>
  <c r="AN28" i="22"/>
  <c r="D1" i="24"/>
  <c r="AV33" i="21"/>
  <c r="R33" i="21" s="1"/>
  <c r="AZ33" i="21"/>
  <c r="BI33" i="21" s="1"/>
  <c r="BM33" i="21"/>
  <c r="BV33" i="21" s="1"/>
  <c r="Z33" i="21" s="1"/>
  <c r="AV30" i="21"/>
  <c r="R30" i="21" s="1"/>
  <c r="AZ30" i="21"/>
  <c r="BI30" i="21" s="1"/>
  <c r="V30" i="21" s="1"/>
  <c r="BM30" i="21"/>
  <c r="BV30" i="21" s="1"/>
  <c r="Z30" i="21" s="1"/>
  <c r="AU40" i="28"/>
  <c r="BL40" i="28"/>
  <c r="AY40" i="28"/>
  <c r="AN40" i="28"/>
  <c r="AY25" i="28"/>
  <c r="AN25" i="28"/>
  <c r="BL25" i="28"/>
  <c r="AU25" i="28"/>
  <c r="AU24" i="23"/>
  <c r="BL24" i="23"/>
  <c r="AY24" i="23"/>
  <c r="AN24" i="23"/>
  <c r="AZ43" i="23"/>
  <c r="BI43" i="23" s="1"/>
  <c r="V43" i="23" s="1"/>
  <c r="BM43" i="23"/>
  <c r="BV43" i="23" s="1"/>
  <c r="Z43" i="23" s="1"/>
  <c r="AV43" i="23"/>
  <c r="R43" i="23" s="1"/>
  <c r="AW26" i="26"/>
  <c r="BT34" i="28"/>
  <c r="BE34" i="28"/>
  <c r="BR47" i="28"/>
  <c r="AN46" i="24"/>
  <c r="AU46" i="24"/>
  <c r="AY46" i="24"/>
  <c r="AL22" i="24"/>
  <c r="BL46" i="24"/>
  <c r="BE42" i="21"/>
  <c r="BG42" i="21" s="1"/>
  <c r="BT42" i="21"/>
  <c r="BN23" i="2"/>
  <c r="BU41" i="20"/>
  <c r="AV33" i="27"/>
  <c r="J35" i="2"/>
  <c r="BU25" i="24"/>
  <c r="BD45" i="23"/>
  <c r="BC47" i="23"/>
  <c r="AN39" i="21"/>
  <c r="BL39" i="21"/>
  <c r="AY39" i="21"/>
  <c r="AU39" i="21"/>
  <c r="AN29" i="21"/>
  <c r="BL29" i="21"/>
  <c r="AY29" i="21"/>
  <c r="AU29" i="21"/>
  <c r="AU43" i="25"/>
  <c r="AN43" i="25"/>
  <c r="AY43" i="25"/>
  <c r="BL43" i="25"/>
  <c r="AU38" i="25"/>
  <c r="BL38" i="25"/>
  <c r="AN38" i="25"/>
  <c r="AY38" i="25"/>
  <c r="AU38" i="28"/>
  <c r="AY38" i="28"/>
  <c r="AN38" i="28"/>
  <c r="BL38" i="28"/>
  <c r="AY28" i="28"/>
  <c r="AU28" i="28"/>
  <c r="BL28" i="28"/>
  <c r="AN28" i="28"/>
  <c r="AM22" i="28"/>
  <c r="AV22" i="28" s="1"/>
  <c r="AZ46" i="28"/>
  <c r="AZ22" i="28" s="1"/>
  <c r="BM46" i="28"/>
  <c r="AV46" i="28"/>
  <c r="R46" i="28" s="1"/>
  <c r="AZ39" i="23"/>
  <c r="BI39" i="23" s="1"/>
  <c r="V39" i="23" s="1"/>
  <c r="BM39" i="23"/>
  <c r="BV39" i="23" s="1"/>
  <c r="Z39" i="23" s="1"/>
  <c r="AV39" i="23"/>
  <c r="R39" i="23" s="1"/>
  <c r="AN28" i="23"/>
  <c r="AY28" i="23"/>
  <c r="BL28" i="23"/>
  <c r="AU28" i="23"/>
  <c r="BF46" i="25"/>
  <c r="BF22" i="25" s="1"/>
  <c r="BS22" i="25"/>
  <c r="BT22" i="25" s="1"/>
  <c r="BF24" i="22"/>
  <c r="BI24" i="22" s="1"/>
  <c r="V24" i="22" s="1"/>
  <c r="BT24" i="22"/>
  <c r="BC22" i="2"/>
  <c r="BD22" i="2" s="1"/>
  <c r="BD46" i="2"/>
  <c r="BQ47" i="25"/>
  <c r="M44" i="25" s="1"/>
  <c r="AY45" i="24"/>
  <c r="AU45" i="24"/>
  <c r="BL45" i="24"/>
  <c r="AN45" i="24"/>
  <c r="BN33" i="24"/>
  <c r="BU33" i="24"/>
  <c r="BA29" i="2"/>
  <c r="BU43" i="2"/>
  <c r="Y43" i="2" s="1"/>
  <c r="AA43" i="2" s="1"/>
  <c r="AN32" i="27"/>
  <c r="BD23" i="26"/>
  <c r="BZ23" i="26"/>
  <c r="BB47" i="26"/>
  <c r="BH23" i="26"/>
  <c r="U23" i="26" s="1"/>
  <c r="AU30" i="25"/>
  <c r="BL30" i="25"/>
  <c r="AY30" i="25"/>
  <c r="AN23" i="25"/>
  <c r="AU23" i="25"/>
  <c r="AL47" i="25"/>
  <c r="AY23" i="25"/>
  <c r="BH23" i="25" s="1"/>
  <c r="BL23" i="25"/>
  <c r="AN30" i="28"/>
  <c r="BL30" i="28"/>
  <c r="AU30" i="28"/>
  <c r="AY30" i="28"/>
  <c r="AV25" i="28"/>
  <c r="R25" i="28" s="1"/>
  <c r="BM25" i="28"/>
  <c r="BV25" i="28" s="1"/>
  <c r="Z25" i="28" s="1"/>
  <c r="AZ25" i="28"/>
  <c r="BI25" i="28" s="1"/>
  <c r="BL31" i="28"/>
  <c r="AU31" i="28"/>
  <c r="AN31" i="28"/>
  <c r="AY31" i="28"/>
  <c r="AV30" i="23"/>
  <c r="R30" i="23" s="1"/>
  <c r="AZ30" i="23"/>
  <c r="BI30" i="23" s="1"/>
  <c r="V30" i="23" s="1"/>
  <c r="BM30" i="23"/>
  <c r="BV30" i="23" s="1"/>
  <c r="Z30" i="23" s="1"/>
  <c r="AU33" i="23"/>
  <c r="AN33" i="23"/>
  <c r="BL33" i="23"/>
  <c r="AY33" i="23"/>
  <c r="BF39" i="24"/>
  <c r="BG39" i="24" s="1"/>
  <c r="BT39" i="24"/>
  <c r="BE36" i="27"/>
  <c r="BG36" i="27" s="1"/>
  <c r="BT36" i="27"/>
  <c r="AU23" i="24"/>
  <c r="BL23" i="24"/>
  <c r="AN23" i="24"/>
  <c r="AY23" i="24"/>
  <c r="BE30" i="24"/>
  <c r="BG30" i="24" s="1"/>
  <c r="BT30" i="24"/>
  <c r="BS22" i="22"/>
  <c r="BF46" i="22"/>
  <c r="BE43" i="25"/>
  <c r="BG43" i="25" s="1"/>
  <c r="BT43" i="25"/>
  <c r="BL35" i="23"/>
  <c r="AN35" i="23"/>
  <c r="AU35" i="23"/>
  <c r="AY35" i="23"/>
  <c r="BT28" i="24"/>
  <c r="BE28" i="24"/>
  <c r="BG28" i="24" s="1"/>
  <c r="AZ37" i="24"/>
  <c r="BI37" i="24" s="1"/>
  <c r="V37" i="24" s="1"/>
  <c r="AV37" i="24"/>
  <c r="R37" i="24" s="1"/>
  <c r="BM37" i="24"/>
  <c r="BV37" i="24" s="1"/>
  <c r="Z37" i="24" s="1"/>
  <c r="BL24" i="25"/>
  <c r="AU24" i="25"/>
  <c r="AN24" i="25"/>
  <c r="AY24" i="25"/>
  <c r="BE44" i="25"/>
  <c r="BG44" i="25" s="1"/>
  <c r="BT44" i="25"/>
  <c r="BM31" i="24"/>
  <c r="AZ31" i="24"/>
  <c r="AV31" i="24"/>
  <c r="R31" i="24" s="1"/>
  <c r="AU34" i="28"/>
  <c r="BL34" i="28"/>
  <c r="AY34" i="28"/>
  <c r="AN34" i="28"/>
  <c r="D1" i="26"/>
  <c r="AW42" i="20"/>
  <c r="AY28" i="25"/>
  <c r="AN28" i="25"/>
  <c r="BL28" i="25"/>
  <c r="AU28" i="25"/>
  <c r="AV24" i="23"/>
  <c r="R24" i="23" s="1"/>
  <c r="AZ24" i="23"/>
  <c r="BI24" i="23" s="1"/>
  <c r="V24" i="23" s="1"/>
  <c r="BM24" i="23"/>
  <c r="BV24" i="23" s="1"/>
  <c r="Z24" i="23" s="1"/>
  <c r="BM34" i="27"/>
  <c r="BV34" i="27" s="1"/>
  <c r="Z34" i="27" s="1"/>
  <c r="AZ34" i="27"/>
  <c r="BI34" i="27" s="1"/>
  <c r="V34" i="27" s="1"/>
  <c r="AU43" i="21"/>
  <c r="AY43" i="21"/>
  <c r="BL43" i="21"/>
  <c r="AN43" i="21"/>
  <c r="AY37" i="27"/>
  <c r="AU24" i="21"/>
  <c r="AN24" i="21"/>
  <c r="AY24" i="21"/>
  <c r="BL24" i="21"/>
  <c r="AY40" i="23"/>
  <c r="AN40" i="23"/>
  <c r="AU40" i="23"/>
  <c r="BL40" i="23"/>
  <c r="BE42" i="20"/>
  <c r="BG42" i="20" s="1"/>
  <c r="BT42" i="20"/>
  <c r="AV29" i="25"/>
  <c r="R29" i="25" s="1"/>
  <c r="AZ29" i="25"/>
  <c r="BM29" i="25"/>
  <c r="BV29" i="25" s="1"/>
  <c r="Z29" i="25" s="1"/>
  <c r="BL39" i="28"/>
  <c r="AN39" i="28"/>
  <c r="AY39" i="28"/>
  <c r="AU39" i="28"/>
  <c r="AU39" i="23"/>
  <c r="BL39" i="23"/>
  <c r="AY39" i="23"/>
  <c r="AN39" i="23"/>
  <c r="AT47" i="21"/>
  <c r="BM37" i="25"/>
  <c r="BV37" i="25" s="1"/>
  <c r="Z37" i="25" s="1"/>
  <c r="AV37" i="25"/>
  <c r="R37" i="25" s="1"/>
  <c r="AZ37" i="25"/>
  <c r="BI37" i="25" s="1"/>
  <c r="V37" i="25" s="1"/>
  <c r="AN23" i="27"/>
  <c r="BL23" i="27"/>
  <c r="BU23" i="27" s="1"/>
  <c r="Y23" i="27" s="1"/>
  <c r="BF23" i="22"/>
  <c r="BT23" i="22"/>
  <c r="BE23" i="21"/>
  <c r="BT23" i="21"/>
  <c r="BR47" i="21"/>
  <c r="Q29" i="2"/>
  <c r="S29" i="2" s="1"/>
  <c r="AW29" i="2"/>
  <c r="BB47" i="2"/>
  <c r="AN26" i="21"/>
  <c r="AY26" i="21"/>
  <c r="BL26" i="21"/>
  <c r="AU26" i="21"/>
  <c r="G40" i="27"/>
  <c r="U19" i="27" s="1"/>
  <c r="AY19" i="27" s="1"/>
  <c r="AW32" i="20"/>
  <c r="AY23" i="27"/>
  <c r="AN25" i="21"/>
  <c r="AY25" i="21"/>
  <c r="BL25" i="21"/>
  <c r="AU25" i="21"/>
  <c r="BF43" i="27"/>
  <c r="BG43" i="27" s="1"/>
  <c r="BT43" i="27"/>
  <c r="AZ31" i="27"/>
  <c r="BI31" i="27" s="1"/>
  <c r="V31" i="27" s="1"/>
  <c r="BM31" i="27"/>
  <c r="BV31" i="27" s="1"/>
  <c r="Z31" i="27" s="1"/>
  <c r="AV31" i="27"/>
  <c r="R31" i="27" s="1"/>
  <c r="BZ24" i="24"/>
  <c r="AU23" i="27"/>
  <c r="Q23" i="27" s="1"/>
  <c r="BE38" i="22"/>
  <c r="BG38" i="22" s="1"/>
  <c r="BS47" i="22"/>
  <c r="BB47" i="28"/>
  <c r="BE38" i="20"/>
  <c r="BT38" i="20"/>
  <c r="BL28" i="21"/>
  <c r="AU28" i="21"/>
  <c r="AN28" i="21"/>
  <c r="AY28" i="21"/>
  <c r="BH28" i="21" s="1"/>
  <c r="AZ41" i="21"/>
  <c r="BM41" i="21"/>
  <c r="BV41" i="21" s="1"/>
  <c r="Z41" i="21" s="1"/>
  <c r="AV41" i="21"/>
  <c r="R41" i="21" s="1"/>
  <c r="AV37" i="21"/>
  <c r="R37" i="21" s="1"/>
  <c r="BM37" i="21"/>
  <c r="BV37" i="21" s="1"/>
  <c r="Z37" i="21" s="1"/>
  <c r="AZ37" i="21"/>
  <c r="BI37" i="21" s="1"/>
  <c r="V37" i="21" s="1"/>
  <c r="BS22" i="2"/>
  <c r="BT22" i="2" s="1"/>
  <c r="BF46" i="2"/>
  <c r="BD24" i="23"/>
  <c r="AN40" i="27"/>
  <c r="AY40" i="27"/>
  <c r="BL40" i="27"/>
  <c r="AU40" i="27"/>
  <c r="R35" i="9"/>
  <c r="BH41" i="26"/>
  <c r="U41" i="26" s="1"/>
  <c r="AU26" i="24"/>
  <c r="BL26" i="24"/>
  <c r="AN26" i="24"/>
  <c r="AY26" i="24"/>
  <c r="I44" i="27"/>
  <c r="I45" i="27" s="1"/>
  <c r="I46" i="27" s="1"/>
  <c r="J35" i="27"/>
  <c r="K35" i="27"/>
  <c r="M35" i="27"/>
  <c r="I35" i="27"/>
  <c r="R25" i="26"/>
  <c r="AW25" i="26"/>
  <c r="BE42" i="2"/>
  <c r="BG42" i="2" s="1"/>
  <c r="BT42" i="2"/>
  <c r="AU31" i="25"/>
  <c r="AN31" i="25"/>
  <c r="BL31" i="25"/>
  <c r="AY31" i="25"/>
  <c r="AZ32" i="23"/>
  <c r="BI32" i="23" s="1"/>
  <c r="V32" i="23" s="1"/>
  <c r="AV32" i="23"/>
  <c r="R32" i="23" s="1"/>
  <c r="BM32" i="23"/>
  <c r="BV32" i="23" s="1"/>
  <c r="Z32" i="23" s="1"/>
  <c r="BF36" i="2"/>
  <c r="BG36" i="2" s="1"/>
  <c r="BT36" i="2"/>
  <c r="AV38" i="21"/>
  <c r="R38" i="21" s="1"/>
  <c r="BM38" i="21"/>
  <c r="BV38" i="21" s="1"/>
  <c r="Z38" i="21" s="1"/>
  <c r="AZ38" i="21"/>
  <c r="BI38" i="21" s="1"/>
  <c r="V38" i="21" s="1"/>
  <c r="AN30" i="23"/>
  <c r="BL30" i="23"/>
  <c r="AY30" i="23"/>
  <c r="AU30" i="23"/>
  <c r="BR47" i="27"/>
  <c r="BE23" i="27"/>
  <c r="BT23" i="27"/>
  <c r="Y42" i="22"/>
  <c r="AU45" i="23"/>
  <c r="AY45" i="23"/>
  <c r="AN45" i="23"/>
  <c r="BL45" i="23"/>
  <c r="Y26" i="2"/>
  <c r="AA26" i="2" s="1"/>
  <c r="BW26" i="2"/>
  <c r="AU37" i="23"/>
  <c r="AY37" i="23"/>
  <c r="AN37" i="23"/>
  <c r="BL37" i="23"/>
  <c r="BU39" i="26"/>
  <c r="AV36" i="28"/>
  <c r="R36" i="28" s="1"/>
  <c r="BM36" i="28"/>
  <c r="BV36" i="28" s="1"/>
  <c r="Z36" i="28" s="1"/>
  <c r="AZ36" i="28"/>
  <c r="BI36" i="28" s="1"/>
  <c r="V36" i="28" s="1"/>
  <c r="BE22" i="25"/>
  <c r="AV24" i="25"/>
  <c r="R24" i="25" s="1"/>
  <c r="AZ24" i="25"/>
  <c r="BI24" i="25" s="1"/>
  <c r="V24" i="25" s="1"/>
  <c r="BM24" i="25"/>
  <c r="BV24" i="25" s="1"/>
  <c r="Z24" i="25" s="1"/>
  <c r="BM45" i="27"/>
  <c r="BV45" i="27" s="1"/>
  <c r="Z45" i="27" s="1"/>
  <c r="BM39" i="25"/>
  <c r="BV39" i="25" s="1"/>
  <c r="Z39" i="25" s="1"/>
  <c r="AZ39" i="25"/>
  <c r="BI39" i="25" s="1"/>
  <c r="V39" i="25" s="1"/>
  <c r="AV39" i="25"/>
  <c r="R39" i="25" s="1"/>
  <c r="BE25" i="24"/>
  <c r="BT25" i="24"/>
  <c r="Q35" i="20"/>
  <c r="BG39" i="22"/>
  <c r="BI39" i="22"/>
  <c r="AV39" i="24"/>
  <c r="BM39" i="24"/>
  <c r="AZ39" i="24"/>
  <c r="AT47" i="20"/>
  <c r="Q42" i="26"/>
  <c r="AZ32" i="21"/>
  <c r="BI32" i="21" s="1"/>
  <c r="V32" i="21" s="1"/>
  <c r="BM32" i="21"/>
  <c r="BV32" i="21" s="1"/>
  <c r="Z32" i="21" s="1"/>
  <c r="AV32" i="21"/>
  <c r="R32" i="21" s="1"/>
  <c r="AL47" i="27"/>
  <c r="AV30" i="27"/>
  <c r="R30" i="27" s="1"/>
  <c r="AZ30" i="27"/>
  <c r="BI30" i="27" s="1"/>
  <c r="V30" i="27" s="1"/>
  <c r="BM30" i="27"/>
  <c r="BV30" i="27" s="1"/>
  <c r="Z30" i="27" s="1"/>
  <c r="BV23" i="22"/>
  <c r="Z23" i="22" s="1"/>
  <c r="BD24" i="28"/>
  <c r="BC47" i="28"/>
  <c r="I35" i="22"/>
  <c r="I44" i="22"/>
  <c r="I45" i="22" s="1"/>
  <c r="I46" i="22" s="1"/>
  <c r="BD37" i="21"/>
  <c r="BC47" i="21"/>
  <c r="BN32" i="2"/>
  <c r="AW37" i="2"/>
  <c r="BH26" i="2"/>
  <c r="BW27" i="26"/>
  <c r="BB47" i="21"/>
  <c r="BU31" i="23"/>
  <c r="Y31" i="23" s="1"/>
  <c r="BE45" i="24"/>
  <c r="BG45" i="24" s="1"/>
  <c r="BT45" i="24"/>
  <c r="BF31" i="22"/>
  <c r="BG31" i="22" s="1"/>
  <c r="BT31" i="22"/>
  <c r="BI23" i="26"/>
  <c r="V23" i="26" s="1"/>
  <c r="BY23" i="26"/>
  <c r="BQ47" i="27"/>
  <c r="M44" i="27" s="1"/>
  <c r="AV42" i="27"/>
  <c r="R42" i="27" s="1"/>
  <c r="AZ42" i="27"/>
  <c r="AZ41" i="27"/>
  <c r="BA41" i="27" s="1"/>
  <c r="BM41" i="27"/>
  <c r="AV41" i="27"/>
  <c r="R41" i="27" s="1"/>
  <c r="S41" i="27" s="1"/>
  <c r="R37" i="26"/>
  <c r="S37" i="26" s="1"/>
  <c r="AW37" i="26"/>
  <c r="BT34" i="24"/>
  <c r="BE34" i="24"/>
  <c r="BG34" i="24" s="1"/>
  <c r="AZ43" i="24"/>
  <c r="BI43" i="24" s="1"/>
  <c r="V43" i="24" s="1"/>
  <c r="BM43" i="24"/>
  <c r="BV43" i="24" s="1"/>
  <c r="Z43" i="24" s="1"/>
  <c r="AV43" i="24"/>
  <c r="R43" i="24" s="1"/>
  <c r="BM34" i="24"/>
  <c r="BV34" i="24" s="1"/>
  <c r="Z34" i="24" s="1"/>
  <c r="AZ34" i="24"/>
  <c r="BI34" i="24" s="1"/>
  <c r="V34" i="24" s="1"/>
  <c r="Z30" i="20"/>
  <c r="AV23" i="28"/>
  <c r="AM47" i="28"/>
  <c r="AZ23" i="28"/>
  <c r="BM23" i="28"/>
  <c r="BV33" i="20"/>
  <c r="Z33" i="20" s="1"/>
  <c r="AU37" i="27"/>
  <c r="BN26" i="26"/>
  <c r="AY46" i="21"/>
  <c r="AL22" i="21"/>
  <c r="BL46" i="21"/>
  <c r="AU46" i="21"/>
  <c r="AN46" i="21"/>
  <c r="BM32" i="27"/>
  <c r="S26" i="26"/>
  <c r="R32" i="22"/>
  <c r="S32" i="22" s="1"/>
  <c r="AW32" i="22"/>
  <c r="AN31" i="24"/>
  <c r="AV29" i="28"/>
  <c r="R29" i="28" s="1"/>
  <c r="BM29" i="28"/>
  <c r="BV29" i="28" s="1"/>
  <c r="Z29" i="28" s="1"/>
  <c r="AZ29" i="28"/>
  <c r="BI29" i="28" s="1"/>
  <c r="V29" i="28" s="1"/>
  <c r="AZ45" i="28"/>
  <c r="BI45" i="28" s="1"/>
  <c r="V45" i="28" s="1"/>
  <c r="AV45" i="28"/>
  <c r="R45" i="28" s="1"/>
  <c r="BM45" i="28"/>
  <c r="BV45" i="28" s="1"/>
  <c r="Z45" i="28" s="1"/>
  <c r="AN23" i="23"/>
  <c r="AU23" i="23"/>
  <c r="AY23" i="23"/>
  <c r="BL23" i="23"/>
  <c r="AL47" i="23"/>
  <c r="BE36" i="25"/>
  <c r="BG36" i="25" s="1"/>
  <c r="BT36" i="25"/>
  <c r="BL41" i="21"/>
  <c r="BF41" i="27"/>
  <c r="BG41" i="27" s="1"/>
  <c r="BT41" i="27"/>
  <c r="AT22" i="20"/>
  <c r="AU22" i="20"/>
  <c r="BA32" i="26"/>
  <c r="AY45" i="27"/>
  <c r="AN45" i="27"/>
  <c r="AU45" i="27"/>
  <c r="AU34" i="27"/>
  <c r="Q34" i="27" s="1"/>
  <c r="AY34" i="27"/>
  <c r="BL34" i="27"/>
  <c r="BU34" i="27" s="1"/>
  <c r="Y34" i="27" s="1"/>
  <c r="AN34" i="27"/>
  <c r="BE34" i="25"/>
  <c r="BG34" i="25" s="1"/>
  <c r="BT34" i="25"/>
  <c r="BE30" i="25"/>
  <c r="BG30" i="25" s="1"/>
  <c r="BT30" i="25"/>
  <c r="BM35" i="28"/>
  <c r="BV35" i="28" s="1"/>
  <c r="Z35" i="28" s="1"/>
  <c r="AZ35" i="28"/>
  <c r="BI35" i="28" s="1"/>
  <c r="V35" i="28" s="1"/>
  <c r="AV35" i="28"/>
  <c r="R35" i="28" s="1"/>
  <c r="AY42" i="24"/>
  <c r="AN42" i="24"/>
  <c r="BL42" i="24"/>
  <c r="AU42" i="24"/>
  <c r="AM22" i="23"/>
  <c r="AV22" i="23" s="1"/>
  <c r="AV46" i="23"/>
  <c r="R46" i="23" s="1"/>
  <c r="BM46" i="23"/>
  <c r="AZ46" i="23"/>
  <c r="AZ22" i="23" s="1"/>
  <c r="AU44" i="21"/>
  <c r="BL44" i="21"/>
  <c r="AY44" i="21"/>
  <c r="AN44" i="21"/>
  <c r="AV34" i="28"/>
  <c r="R34" i="28" s="1"/>
  <c r="BM34" i="28"/>
  <c r="BV34" i="28" s="1"/>
  <c r="Z34" i="28" s="1"/>
  <c r="AZ34" i="28"/>
  <c r="BI34" i="28" s="1"/>
  <c r="V34" i="28" s="1"/>
  <c r="BM37" i="23"/>
  <c r="BV37" i="23" s="1"/>
  <c r="Z37" i="23" s="1"/>
  <c r="AV37" i="23"/>
  <c r="R37" i="23" s="1"/>
  <c r="AZ37" i="23"/>
  <c r="BI37" i="23" s="1"/>
  <c r="V37" i="23" s="1"/>
  <c r="BH30" i="20"/>
  <c r="U30" i="20" s="1"/>
  <c r="AZ41" i="25"/>
  <c r="BI41" i="25" s="1"/>
  <c r="V41" i="25" s="1"/>
  <c r="BM41" i="25"/>
  <c r="BV41" i="25" s="1"/>
  <c r="Z41" i="25" s="1"/>
  <c r="AV41" i="25"/>
  <c r="R41" i="25" s="1"/>
  <c r="BT40" i="24"/>
  <c r="BE40" i="24"/>
  <c r="BN34" i="26"/>
  <c r="BL42" i="21"/>
  <c r="AY42" i="21"/>
  <c r="AU42" i="21"/>
  <c r="AN42" i="21"/>
  <c r="BE24" i="21"/>
  <c r="BT24" i="21"/>
  <c r="BD46" i="27"/>
  <c r="BC22" i="27"/>
  <c r="BD22" i="27" s="1"/>
  <c r="BN24" i="2"/>
  <c r="AV33" i="25"/>
  <c r="R33" i="25" s="1"/>
  <c r="BM33" i="25"/>
  <c r="BV33" i="25" s="1"/>
  <c r="Z33" i="25" s="1"/>
  <c r="AZ33" i="25"/>
  <c r="BI33" i="25" s="1"/>
  <c r="V33" i="25" s="1"/>
  <c r="AV24" i="28"/>
  <c r="R24" i="28" s="1"/>
  <c r="BM24" i="28"/>
  <c r="BV24" i="28" s="1"/>
  <c r="Z24" i="28" s="1"/>
  <c r="AZ24" i="28"/>
  <c r="BI24" i="28" s="1"/>
  <c r="V24" i="28" s="1"/>
  <c r="BM23" i="23"/>
  <c r="AV23" i="23"/>
  <c r="AZ23" i="23"/>
  <c r="AT47" i="22"/>
  <c r="BE44" i="27"/>
  <c r="BG44" i="27" s="1"/>
  <c r="BT44" i="27"/>
  <c r="BA25" i="26"/>
  <c r="BI28" i="2"/>
  <c r="V28" i="2" s="1"/>
  <c r="AY32" i="21"/>
  <c r="BL32" i="21"/>
  <c r="AN32" i="21"/>
  <c r="AU32" i="21"/>
  <c r="AV26" i="21"/>
  <c r="R26" i="21" s="1"/>
  <c r="BM26" i="21"/>
  <c r="BV26" i="21" s="1"/>
  <c r="Z26" i="21" s="1"/>
  <c r="AZ26" i="21"/>
  <c r="BI26" i="21" s="1"/>
  <c r="V26" i="21" s="1"/>
  <c r="BL44" i="25"/>
  <c r="AY44" i="25"/>
  <c r="AN44" i="25"/>
  <c r="AU44" i="25"/>
  <c r="BE35" i="20"/>
  <c r="BG35" i="20" s="1"/>
  <c r="BT35" i="20"/>
  <c r="AV40" i="21"/>
  <c r="R40" i="21" s="1"/>
  <c r="BM40" i="21"/>
  <c r="BV40" i="21" s="1"/>
  <c r="Z40" i="21" s="1"/>
  <c r="AZ40" i="21"/>
  <c r="BI40" i="21" s="1"/>
  <c r="BF29" i="25"/>
  <c r="BT29" i="25"/>
  <c r="AU31" i="27"/>
  <c r="AN31" i="27"/>
  <c r="AY31" i="27"/>
  <c r="BL31" i="27"/>
  <c r="AV29" i="24"/>
  <c r="BM29" i="24"/>
  <c r="AZ29" i="24"/>
  <c r="AN29" i="24"/>
  <c r="AZ38" i="27"/>
  <c r="AZ32" i="27"/>
  <c r="BI32" i="27" s="1"/>
  <c r="V32" i="27" s="1"/>
  <c r="AU30" i="27"/>
  <c r="Q30" i="27" s="1"/>
  <c r="BL30" i="27"/>
  <c r="BU30" i="27" s="1"/>
  <c r="Y30" i="27" s="1"/>
  <c r="AY30" i="27"/>
  <c r="BH30" i="27" s="1"/>
  <c r="AV46" i="24"/>
  <c r="R46" i="24" s="1"/>
  <c r="AM22" i="24"/>
  <c r="AV22" i="24" s="1"/>
  <c r="AZ46" i="24"/>
  <c r="BM46" i="24"/>
  <c r="BE42" i="27"/>
  <c r="BG42" i="27" s="1"/>
  <c r="BT42" i="27"/>
  <c r="BW36" i="26"/>
  <c r="BZ23" i="25"/>
  <c r="BZ24" i="25" s="1"/>
  <c r="BZ24" i="27"/>
  <c r="Z103" i="27" s="1"/>
  <c r="AA32" i="2"/>
  <c r="AU40" i="25"/>
  <c r="AN40" i="25"/>
  <c r="BL40" i="25"/>
  <c r="BU40" i="25" s="1"/>
  <c r="AY40" i="25"/>
  <c r="AV36" i="25"/>
  <c r="R36" i="25" s="1"/>
  <c r="AZ36" i="25"/>
  <c r="BI36" i="25" s="1"/>
  <c r="V36" i="25" s="1"/>
  <c r="BM36" i="25"/>
  <c r="BV36" i="25" s="1"/>
  <c r="Z36" i="25" s="1"/>
  <c r="BM31" i="25"/>
  <c r="BV31" i="25" s="1"/>
  <c r="Z31" i="25" s="1"/>
  <c r="AZ31" i="25"/>
  <c r="BI31" i="25" s="1"/>
  <c r="V31" i="25" s="1"/>
  <c r="AV31" i="25"/>
  <c r="R31" i="25" s="1"/>
  <c r="AV32" i="28"/>
  <c r="R32" i="28" s="1"/>
  <c r="BM32" i="28"/>
  <c r="BV32" i="28" s="1"/>
  <c r="Z32" i="28" s="1"/>
  <c r="AZ32" i="28"/>
  <c r="BI32" i="28" s="1"/>
  <c r="AU46" i="28"/>
  <c r="AN46" i="28"/>
  <c r="AY46" i="28"/>
  <c r="BL46" i="28"/>
  <c r="AL22" i="28"/>
  <c r="BE27" i="27"/>
  <c r="BG27" i="27" s="1"/>
  <c r="BT27" i="27"/>
  <c r="BU27" i="27"/>
  <c r="Y27" i="27" s="1"/>
  <c r="AV40" i="23"/>
  <c r="R40" i="23" s="1"/>
  <c r="AZ40" i="23"/>
  <c r="BI40" i="23" s="1"/>
  <c r="V40" i="23" s="1"/>
  <c r="BM40" i="23"/>
  <c r="BV40" i="23" s="1"/>
  <c r="Z40" i="23" s="1"/>
  <c r="AZ25" i="23"/>
  <c r="BI25" i="23" s="1"/>
  <c r="V25" i="23" s="1"/>
  <c r="AV25" i="23"/>
  <c r="R25" i="23" s="1"/>
  <c r="BM25" i="23"/>
  <c r="BV25" i="23" s="1"/>
  <c r="Z25" i="23" s="1"/>
  <c r="BE31" i="2"/>
  <c r="BT31" i="2"/>
  <c r="BE46" i="20"/>
  <c r="BR22" i="20"/>
  <c r="BT46" i="20"/>
  <c r="BU46" i="20"/>
  <c r="Y46" i="20" s="1"/>
  <c r="AN44" i="27"/>
  <c r="AU44" i="27"/>
  <c r="Q44" i="27" s="1"/>
  <c r="AV40" i="27"/>
  <c r="R40" i="27" s="1"/>
  <c r="BM40" i="27"/>
  <c r="BV40" i="27" s="1"/>
  <c r="Z40" i="27" s="1"/>
  <c r="AZ40" i="27"/>
  <c r="BI40" i="27" s="1"/>
  <c r="V40" i="27" s="1"/>
  <c r="BR47" i="24"/>
  <c r="AV46" i="25"/>
  <c r="R46" i="25" s="1"/>
  <c r="AZ46" i="25"/>
  <c r="AM22" i="25"/>
  <c r="AV22" i="25" s="1"/>
  <c r="BM46" i="25"/>
  <c r="BL29" i="23"/>
  <c r="AU29" i="23"/>
  <c r="AN29" i="23"/>
  <c r="AY29" i="23"/>
  <c r="BU36" i="24"/>
  <c r="Y36" i="24" s="1"/>
  <c r="AZ31" i="21"/>
  <c r="BI31" i="21" s="1"/>
  <c r="V31" i="21" s="1"/>
  <c r="AV31" i="21"/>
  <c r="R31" i="21" s="1"/>
  <c r="BM31" i="21"/>
  <c r="BV31" i="21" s="1"/>
  <c r="Z31" i="21" s="1"/>
  <c r="AV44" i="28"/>
  <c r="R44" i="28" s="1"/>
  <c r="AZ44" i="28"/>
  <c r="BI44" i="28" s="1"/>
  <c r="V44" i="28" s="1"/>
  <c r="BM44" i="28"/>
  <c r="BV44" i="28" s="1"/>
  <c r="Z44" i="28" s="1"/>
  <c r="BL37" i="24"/>
  <c r="AU37" i="24"/>
  <c r="AN37" i="24"/>
  <c r="AY37" i="24"/>
  <c r="AZ24" i="21"/>
  <c r="BI24" i="21" s="1"/>
  <c r="V24" i="21" s="1"/>
  <c r="AV24" i="21"/>
  <c r="R24" i="21" s="1"/>
  <c r="BM24" i="21"/>
  <c r="BV24" i="21" s="1"/>
  <c r="Z24" i="21" s="1"/>
  <c r="AW26" i="2"/>
  <c r="AM47" i="21"/>
  <c r="AV23" i="21"/>
  <c r="BM23" i="21"/>
  <c r="AZ23" i="21"/>
  <c r="AU35" i="28"/>
  <c r="BL35" i="28"/>
  <c r="AN35" i="28"/>
  <c r="AY35" i="28"/>
  <c r="BE29" i="24"/>
  <c r="BT29" i="24"/>
  <c r="BE40" i="20"/>
  <c r="AV39" i="28"/>
  <c r="R39" i="28" s="1"/>
  <c r="BM39" i="28"/>
  <c r="BV39" i="28" s="1"/>
  <c r="Z39" i="28" s="1"/>
  <c r="AZ39" i="28"/>
  <c r="AV45" i="23"/>
  <c r="R45" i="23" s="1"/>
  <c r="BM45" i="23"/>
  <c r="BV45" i="23" s="1"/>
  <c r="Z45" i="23" s="1"/>
  <c r="AZ45" i="23"/>
  <c r="BI45" i="23" s="1"/>
  <c r="V45" i="23" s="1"/>
  <c r="BE29" i="21"/>
  <c r="BG29" i="21" s="1"/>
  <c r="BT29" i="21"/>
  <c r="BM34" i="25"/>
  <c r="BV34" i="25" s="1"/>
  <c r="Z34" i="25" s="1"/>
  <c r="AZ34" i="25"/>
  <c r="BI34" i="25" s="1"/>
  <c r="V34" i="25" s="1"/>
  <c r="AV34" i="25"/>
  <c r="R34" i="25" s="1"/>
  <c r="AY36" i="23"/>
  <c r="AU36" i="23"/>
  <c r="AN36" i="23"/>
  <c r="BL36" i="23"/>
  <c r="BT26" i="27"/>
  <c r="BE26" i="27"/>
  <c r="AN38" i="22"/>
  <c r="AU38" i="22"/>
  <c r="AY38" i="22"/>
  <c r="BL38" i="22"/>
  <c r="AY43" i="28"/>
  <c r="AU43" i="28"/>
  <c r="AN43" i="28"/>
  <c r="BL43" i="28"/>
  <c r="AV25" i="27"/>
  <c r="R25" i="27" s="1"/>
  <c r="AZ25" i="27"/>
  <c r="BM25" i="27"/>
  <c r="AU25" i="27"/>
  <c r="AY25" i="27"/>
  <c r="AN25" i="27"/>
  <c r="BL25" i="27"/>
  <c r="U36" i="2"/>
  <c r="I44" i="28"/>
  <c r="I45" i="28" s="1"/>
  <c r="I46" i="28" s="1"/>
  <c r="I35" i="28"/>
  <c r="M35" i="28"/>
  <c r="AN32" i="25"/>
  <c r="AU32" i="25"/>
  <c r="BL32" i="25"/>
  <c r="AY32" i="25"/>
  <c r="AV28" i="27"/>
  <c r="R28" i="27" s="1"/>
  <c r="BM28" i="27"/>
  <c r="BV28" i="27" s="1"/>
  <c r="Z28" i="27" s="1"/>
  <c r="AZ28" i="27"/>
  <c r="BI28" i="27" s="1"/>
  <c r="V28" i="27" s="1"/>
  <c r="Q23" i="2"/>
  <c r="AY28" i="24"/>
  <c r="AU28" i="24"/>
  <c r="Q28" i="24" s="1"/>
  <c r="AN28" i="24"/>
  <c r="BL28" i="24"/>
  <c r="BC47" i="2"/>
  <c r="BH36" i="20"/>
  <c r="U36" i="20" s="1"/>
  <c r="BA23" i="2"/>
  <c r="BM38" i="27"/>
  <c r="BV38" i="27" s="1"/>
  <c r="Z38" i="27" s="1"/>
  <c r="BS47" i="2"/>
  <c r="AV43" i="21"/>
  <c r="R43" i="21" s="1"/>
  <c r="BM43" i="21"/>
  <c r="BV43" i="21" s="1"/>
  <c r="Z43" i="21" s="1"/>
  <c r="AZ43" i="21"/>
  <c r="BI43" i="21" s="1"/>
  <c r="V43" i="21" s="1"/>
  <c r="AU33" i="21"/>
  <c r="AY33" i="21"/>
  <c r="BL33" i="21"/>
  <c r="AN33" i="21"/>
  <c r="BH44" i="26"/>
  <c r="U44" i="26" s="1"/>
  <c r="AW38" i="24"/>
  <c r="BN26" i="2"/>
  <c r="BD84" i="9"/>
  <c r="BW25" i="22"/>
  <c r="BN25" i="2"/>
  <c r="BN36" i="2"/>
  <c r="BA43" i="2"/>
  <c r="AW42" i="2"/>
  <c r="BB47" i="24"/>
  <c r="AU27" i="25"/>
  <c r="BL27" i="25"/>
  <c r="AN27" i="25"/>
  <c r="AY27" i="25"/>
  <c r="AN42" i="25"/>
  <c r="AY42" i="25"/>
  <c r="BH42" i="25" s="1"/>
  <c r="AU42" i="25"/>
  <c r="BL42" i="25"/>
  <c r="AZ23" i="25"/>
  <c r="AV23" i="25"/>
  <c r="BM23" i="25"/>
  <c r="AM47" i="25"/>
  <c r="BL23" i="28"/>
  <c r="AL47" i="28"/>
  <c r="AU23" i="28"/>
  <c r="AY23" i="28"/>
  <c r="AN23" i="28"/>
  <c r="AU29" i="28"/>
  <c r="AY29" i="28"/>
  <c r="BH29" i="28" s="1"/>
  <c r="AN29" i="28"/>
  <c r="BL29" i="28"/>
  <c r="AN34" i="23"/>
  <c r="AU34" i="23"/>
  <c r="AY34" i="23"/>
  <c r="BL34" i="23"/>
  <c r="AN43" i="23"/>
  <c r="BL43" i="23"/>
  <c r="AY43" i="23"/>
  <c r="AU43" i="23"/>
  <c r="BM31" i="23"/>
  <c r="AZ31" i="23"/>
  <c r="BI31" i="23" s="1"/>
  <c r="V31" i="23" s="1"/>
  <c r="AV31" i="23"/>
  <c r="AN31" i="23"/>
  <c r="K35" i="26"/>
  <c r="BA33" i="26"/>
  <c r="BL22" i="26"/>
  <c r="BU46" i="26"/>
  <c r="Y46" i="26" s="1"/>
  <c r="BE46" i="27"/>
  <c r="BH46" i="27" s="1"/>
  <c r="BT46" i="27"/>
  <c r="BR22" i="27"/>
  <c r="BF46" i="24"/>
  <c r="BS22" i="24"/>
  <c r="BT22" i="24" s="1"/>
  <c r="BT46" i="24"/>
  <c r="BE33" i="20"/>
  <c r="BG33" i="20" s="1"/>
  <c r="BT33" i="20"/>
  <c r="BM28" i="24"/>
  <c r="AZ28" i="24"/>
  <c r="AV28" i="24"/>
  <c r="AN30" i="24"/>
  <c r="BL30" i="24"/>
  <c r="AU30" i="24"/>
  <c r="AY30" i="24"/>
  <c r="CA23" i="24"/>
  <c r="BG23" i="24"/>
  <c r="BE45" i="25"/>
  <c r="BG45" i="25" s="1"/>
  <c r="BT45" i="25"/>
  <c r="BF23" i="27"/>
  <c r="BI23" i="27" s="1"/>
  <c r="V23" i="27" s="1"/>
  <c r="BS47" i="27"/>
  <c r="BL38" i="21"/>
  <c r="AY38" i="21"/>
  <c r="BH38" i="21" s="1"/>
  <c r="U38" i="21" s="1"/>
  <c r="AU38" i="21"/>
  <c r="AN38" i="21"/>
  <c r="AZ42" i="21"/>
  <c r="BI42" i="21" s="1"/>
  <c r="V42" i="21" s="1"/>
  <c r="BM42" i="21"/>
  <c r="BV42" i="21" s="1"/>
  <c r="Z42" i="21" s="1"/>
  <c r="AV42" i="21"/>
  <c r="R42" i="21" s="1"/>
  <c r="BL25" i="25"/>
  <c r="AN25" i="25"/>
  <c r="AY25" i="25"/>
  <c r="AU25" i="25"/>
  <c r="BL27" i="28"/>
  <c r="AY27" i="28"/>
  <c r="AU27" i="28"/>
  <c r="AN27" i="28"/>
  <c r="BM27" i="28"/>
  <c r="BV27" i="28" s="1"/>
  <c r="Z27" i="28" s="1"/>
  <c r="AZ27" i="28"/>
  <c r="BI27" i="28" s="1"/>
  <c r="V27" i="28" s="1"/>
  <c r="AV27" i="28"/>
  <c r="R27" i="28" s="1"/>
  <c r="AZ41" i="23"/>
  <c r="BI41" i="23" s="1"/>
  <c r="V41" i="23" s="1"/>
  <c r="BM41" i="23"/>
  <c r="BV41" i="23" s="1"/>
  <c r="Z41" i="23" s="1"/>
  <c r="AV41" i="23"/>
  <c r="R41" i="23" s="1"/>
  <c r="AU44" i="23"/>
  <c r="AN44" i="23"/>
  <c r="AY44" i="23"/>
  <c r="BL44" i="23"/>
  <c r="BH29" i="26"/>
  <c r="U29" i="26" s="1"/>
  <c r="BB22" i="23"/>
  <c r="BD22" i="23" s="1"/>
  <c r="BD46" i="23"/>
  <c r="Q27" i="20"/>
  <c r="AW27" i="20"/>
  <c r="AZ32" i="24"/>
  <c r="BI32" i="24" s="1"/>
  <c r="V32" i="24" s="1"/>
  <c r="BM32" i="24"/>
  <c r="AV32" i="24"/>
  <c r="AN44" i="24"/>
  <c r="BL44" i="24"/>
  <c r="AU44" i="24"/>
  <c r="AY44" i="24"/>
  <c r="BV45" i="22"/>
  <c r="BB47" i="20"/>
  <c r="AZ35" i="21"/>
  <c r="BI35" i="21" s="1"/>
  <c r="V35" i="21" s="1"/>
  <c r="AV35" i="21"/>
  <c r="R35" i="21" s="1"/>
  <c r="BM35" i="21"/>
  <c r="BV35" i="21" s="1"/>
  <c r="Z35" i="21" s="1"/>
  <c r="AN45" i="21"/>
  <c r="BL45" i="21"/>
  <c r="AU45" i="21"/>
  <c r="AY45" i="21"/>
  <c r="AV25" i="21"/>
  <c r="R25" i="21" s="1"/>
  <c r="AZ25" i="21"/>
  <c r="BI25" i="21" s="1"/>
  <c r="V25" i="21" s="1"/>
  <c r="BM25" i="21"/>
  <c r="BV25" i="21" s="1"/>
  <c r="Z25" i="21" s="1"/>
  <c r="BF24" i="2"/>
  <c r="BT24" i="2"/>
  <c r="AV44" i="25"/>
  <c r="R44" i="25" s="1"/>
  <c r="BM44" i="25"/>
  <c r="BV44" i="25" s="1"/>
  <c r="Z44" i="25" s="1"/>
  <c r="AZ44" i="25"/>
  <c r="BI44" i="25" s="1"/>
  <c r="V44" i="25" s="1"/>
  <c r="AV42" i="25"/>
  <c r="R42" i="25" s="1"/>
  <c r="BM42" i="25"/>
  <c r="BV42" i="25" s="1"/>
  <c r="Z42" i="25" s="1"/>
  <c r="AZ42" i="25"/>
  <c r="BI42" i="25" s="1"/>
  <c r="V42" i="25" s="1"/>
  <c r="AU32" i="28"/>
  <c r="BL32" i="28"/>
  <c r="AY32" i="28"/>
  <c r="AN32" i="28"/>
  <c r="AV38" i="28"/>
  <c r="R38" i="28" s="1"/>
  <c r="AZ38" i="28"/>
  <c r="BI38" i="28" s="1"/>
  <c r="V38" i="28" s="1"/>
  <c r="BM38" i="28"/>
  <c r="BV38" i="28" s="1"/>
  <c r="Z38" i="28" s="1"/>
  <c r="AV41" i="28"/>
  <c r="R41" i="28" s="1"/>
  <c r="AZ41" i="28"/>
  <c r="BI41" i="28" s="1"/>
  <c r="V41" i="28" s="1"/>
  <c r="BM41" i="28"/>
  <c r="BV41" i="28" s="1"/>
  <c r="Z41" i="28" s="1"/>
  <c r="AU32" i="23"/>
  <c r="BL32" i="23"/>
  <c r="AY32" i="23"/>
  <c r="AN32" i="23"/>
  <c r="AU46" i="23"/>
  <c r="AL22" i="23"/>
  <c r="AN46" i="23"/>
  <c r="AY46" i="23"/>
  <c r="BL46" i="23"/>
  <c r="BD23" i="23"/>
  <c r="BZ23" i="23"/>
  <c r="Z102" i="23" s="1"/>
  <c r="BT34" i="27"/>
  <c r="BE34" i="27"/>
  <c r="BG34" i="27" s="1"/>
  <c r="BE42" i="24"/>
  <c r="BG42" i="24" s="1"/>
  <c r="BT42" i="24"/>
  <c r="BT36" i="21"/>
  <c r="BE36" i="21"/>
  <c r="BG36" i="21" s="1"/>
  <c r="AU36" i="27"/>
  <c r="Q36" i="27" s="1"/>
  <c r="BL36" i="27"/>
  <c r="BU36" i="27" s="1"/>
  <c r="Y36" i="27" s="1"/>
  <c r="AY36" i="27"/>
  <c r="AN41" i="24"/>
  <c r="BL41" i="24"/>
  <c r="AY41" i="24"/>
  <c r="AU41" i="24"/>
  <c r="AZ36" i="24"/>
  <c r="BI36" i="24" s="1"/>
  <c r="V36" i="24" s="1"/>
  <c r="BM36" i="24"/>
  <c r="BV36" i="24" s="1"/>
  <c r="Z36" i="24" s="1"/>
  <c r="AV36" i="24"/>
  <c r="R36" i="24" s="1"/>
  <c r="S36" i="24" s="1"/>
  <c r="BD27" i="22"/>
  <c r="BB47" i="22"/>
  <c r="BM45" i="24"/>
  <c r="BV45" i="24" s="1"/>
  <c r="Z45" i="24" s="1"/>
  <c r="AZ45" i="24"/>
  <c r="BI45" i="24" s="1"/>
  <c r="V45" i="24" s="1"/>
  <c r="AV45" i="24"/>
  <c r="R45" i="24" s="1"/>
  <c r="I35" i="23"/>
  <c r="AY34" i="21"/>
  <c r="BH34" i="21" s="1"/>
  <c r="BL34" i="21"/>
  <c r="AN34" i="21"/>
  <c r="AU34" i="21"/>
  <c r="AU33" i="25"/>
  <c r="AN33" i="25"/>
  <c r="BL33" i="25"/>
  <c r="AY33" i="25"/>
  <c r="AV42" i="28"/>
  <c r="R42" i="28" s="1"/>
  <c r="AZ42" i="28"/>
  <c r="BI42" i="28" s="1"/>
  <c r="V42" i="28" s="1"/>
  <c r="BM42" i="28"/>
  <c r="BV42" i="28" s="1"/>
  <c r="Z42" i="28" s="1"/>
  <c r="BT23" i="2"/>
  <c r="BE23" i="2"/>
  <c r="AU26" i="27"/>
  <c r="BL26" i="27"/>
  <c r="AZ30" i="24"/>
  <c r="BI30" i="24" s="1"/>
  <c r="V30" i="24" s="1"/>
  <c r="BM30" i="24"/>
  <c r="BV30" i="24" s="1"/>
  <c r="Z30" i="24" s="1"/>
  <c r="AV30" i="24"/>
  <c r="R30" i="24" s="1"/>
  <c r="BE32" i="24"/>
  <c r="BT32" i="24"/>
  <c r="BI37" i="27"/>
  <c r="V37" i="27" s="1"/>
  <c r="BR22" i="22"/>
  <c r="BU22" i="22" s="1"/>
  <c r="BE46" i="22"/>
  <c r="BE22" i="22" s="1"/>
  <c r="BE41" i="25"/>
  <c r="BG41" i="25" s="1"/>
  <c r="BT41" i="25"/>
  <c r="AV39" i="21"/>
  <c r="R39" i="21" s="1"/>
  <c r="AZ39" i="21"/>
  <c r="BI39" i="21" s="1"/>
  <c r="V39" i="21" s="1"/>
  <c r="BM39" i="21"/>
  <c r="BV39" i="21" s="1"/>
  <c r="Z39" i="21" s="1"/>
  <c r="AV34" i="21"/>
  <c r="R34" i="21" s="1"/>
  <c r="AZ34" i="21"/>
  <c r="BI34" i="21" s="1"/>
  <c r="V34" i="21" s="1"/>
  <c r="BM34" i="21"/>
  <c r="BV34" i="21" s="1"/>
  <c r="Z34" i="21" s="1"/>
  <c r="AV25" i="25"/>
  <c r="R25" i="25" s="1"/>
  <c r="AZ25" i="25"/>
  <c r="BI25" i="25" s="1"/>
  <c r="V25" i="25" s="1"/>
  <c r="BM25" i="25"/>
  <c r="BV25" i="25" s="1"/>
  <c r="Z25" i="25" s="1"/>
  <c r="AV45" i="25"/>
  <c r="R45" i="25" s="1"/>
  <c r="AZ45" i="25"/>
  <c r="BI45" i="25" s="1"/>
  <c r="V45" i="25" s="1"/>
  <c r="BM45" i="25"/>
  <c r="BV45" i="25" s="1"/>
  <c r="Z45" i="25" s="1"/>
  <c r="BM33" i="28"/>
  <c r="BV33" i="28" s="1"/>
  <c r="Z33" i="28" s="1"/>
  <c r="AZ33" i="28"/>
  <c r="BI33" i="28" s="1"/>
  <c r="V33" i="28" s="1"/>
  <c r="AV33" i="28"/>
  <c r="R33" i="28" s="1"/>
  <c r="AN42" i="28"/>
  <c r="AY42" i="28"/>
  <c r="BL42" i="28"/>
  <c r="AU42" i="28"/>
  <c r="BM36" i="23"/>
  <c r="BV36" i="23" s="1"/>
  <c r="Z36" i="23" s="1"/>
  <c r="AZ36" i="23"/>
  <c r="BI36" i="23" s="1"/>
  <c r="V36" i="23" s="1"/>
  <c r="AV36" i="23"/>
  <c r="R36" i="23" s="1"/>
  <c r="BL42" i="23"/>
  <c r="BU42" i="23" s="1"/>
  <c r="AU42" i="23"/>
  <c r="Q42" i="23" s="1"/>
  <c r="AY42" i="23"/>
  <c r="BH42" i="23" s="1"/>
  <c r="U42" i="23" s="1"/>
  <c r="AN42" i="23"/>
  <c r="K35" i="23"/>
  <c r="BZ23" i="28"/>
  <c r="Z102" i="28" s="1"/>
  <c r="BD23" i="28"/>
  <c r="BE26" i="24"/>
  <c r="BG26" i="24" s="1"/>
  <c r="BT26" i="24"/>
  <c r="AU36" i="21"/>
  <c r="AN36" i="21"/>
  <c r="AY36" i="21"/>
  <c r="BL36" i="21"/>
  <c r="AV36" i="21"/>
  <c r="R36" i="21" s="1"/>
  <c r="BM36" i="21"/>
  <c r="BV36" i="21" s="1"/>
  <c r="Z36" i="21" s="1"/>
  <c r="AZ36" i="21"/>
  <c r="BI36" i="21" s="1"/>
  <c r="V36" i="21" s="1"/>
  <c r="AU30" i="21"/>
  <c r="AN30" i="21"/>
  <c r="BL30" i="21"/>
  <c r="AY30" i="21"/>
  <c r="AN35" i="25"/>
  <c r="BL35" i="25"/>
  <c r="AY35" i="25"/>
  <c r="AU35" i="25"/>
  <c r="AU26" i="25"/>
  <c r="AN26" i="25"/>
  <c r="AY26" i="25"/>
  <c r="BL26" i="25"/>
  <c r="AV38" i="25"/>
  <c r="R38" i="25" s="1"/>
  <c r="AZ38" i="25"/>
  <c r="BI38" i="25" s="1"/>
  <c r="V38" i="25" s="1"/>
  <c r="BM38" i="25"/>
  <c r="BV38" i="25" s="1"/>
  <c r="Z38" i="25" s="1"/>
  <c r="AN45" i="28"/>
  <c r="AY45" i="28"/>
  <c r="BH45" i="28" s="1"/>
  <c r="U45" i="28" s="1"/>
  <c r="BL45" i="28"/>
  <c r="AU45" i="28"/>
  <c r="BL44" i="28"/>
  <c r="AN44" i="28"/>
  <c r="AU44" i="28"/>
  <c r="AY44" i="28"/>
  <c r="BM40" i="28"/>
  <c r="BV40" i="28" s="1"/>
  <c r="Z40" i="28" s="1"/>
  <c r="AV40" i="28"/>
  <c r="R40" i="28" s="1"/>
  <c r="AZ40" i="28"/>
  <c r="BI40" i="28" s="1"/>
  <c r="V40" i="28" s="1"/>
  <c r="AV35" i="23"/>
  <c r="R35" i="23" s="1"/>
  <c r="AZ35" i="23"/>
  <c r="BI35" i="23" s="1"/>
  <c r="V35" i="23" s="1"/>
  <c r="BM35" i="23"/>
  <c r="BV35" i="23" s="1"/>
  <c r="Z35" i="23" s="1"/>
  <c r="AV44" i="23"/>
  <c r="R44" i="23" s="1"/>
  <c r="AZ44" i="23"/>
  <c r="BI44" i="23" s="1"/>
  <c r="V44" i="23" s="1"/>
  <c r="BM44" i="23"/>
  <c r="BV44" i="23" s="1"/>
  <c r="Z44" i="23" s="1"/>
  <c r="BE36" i="24"/>
  <c r="BG36" i="24" s="1"/>
  <c r="BT36" i="24"/>
  <c r="BU44" i="26"/>
  <c r="BB22" i="26"/>
  <c r="BD22" i="26" s="1"/>
  <c r="BD46" i="26"/>
  <c r="BF41" i="21"/>
  <c r="BG41" i="21" s="1"/>
  <c r="BT41" i="21"/>
  <c r="AU28" i="27"/>
  <c r="BL28" i="27"/>
  <c r="AN28" i="27"/>
  <c r="AY28" i="27"/>
  <c r="BL24" i="24"/>
  <c r="AY24" i="24"/>
  <c r="AN24" i="24"/>
  <c r="AU24" i="24"/>
  <c r="BD34" i="26"/>
  <c r="BC47" i="26"/>
  <c r="BF25" i="24"/>
  <c r="BS47" i="24"/>
  <c r="BE24" i="20"/>
  <c r="BG24" i="20" s="1"/>
  <c r="BT24" i="20"/>
  <c r="BU37" i="2"/>
  <c r="AU35" i="21"/>
  <c r="BL35" i="21"/>
  <c r="AN35" i="21"/>
  <c r="AY35" i="21"/>
  <c r="AN30" i="25"/>
  <c r="AZ30" i="25"/>
  <c r="BI30" i="25" s="1"/>
  <c r="V30" i="25" s="1"/>
  <c r="AV30" i="25"/>
  <c r="R30" i="25" s="1"/>
  <c r="BM30" i="25"/>
  <c r="BV30" i="25" s="1"/>
  <c r="Z30" i="25" s="1"/>
  <c r="BM38" i="23"/>
  <c r="BV38" i="23" s="1"/>
  <c r="Z38" i="23" s="1"/>
  <c r="AZ38" i="23"/>
  <c r="BI38" i="23" s="1"/>
  <c r="AV38" i="23"/>
  <c r="R38" i="23" s="1"/>
  <c r="BE24" i="25"/>
  <c r="BG24" i="25" s="1"/>
  <c r="BT24" i="25"/>
  <c r="AU38" i="27"/>
  <c r="BL38" i="27"/>
  <c r="BU38" i="27" s="1"/>
  <c r="AY38" i="27"/>
  <c r="BE38" i="25"/>
  <c r="BG38" i="25" s="1"/>
  <c r="BT38" i="25"/>
  <c r="BE25" i="27"/>
  <c r="BG25" i="27" s="1"/>
  <c r="BT25" i="27"/>
  <c r="BM46" i="21"/>
  <c r="AZ46" i="21"/>
  <c r="AM22" i="21"/>
  <c r="AV22" i="21" s="1"/>
  <c r="AV46" i="21"/>
  <c r="R46" i="21" s="1"/>
  <c r="AV29" i="21"/>
  <c r="R29" i="21" s="1"/>
  <c r="BM29" i="21"/>
  <c r="BV29" i="21" s="1"/>
  <c r="Z29" i="21" s="1"/>
  <c r="AZ29" i="21"/>
  <c r="BI29" i="21" s="1"/>
  <c r="V29" i="21" s="1"/>
  <c r="BL39" i="25"/>
  <c r="AU39" i="25"/>
  <c r="AY39" i="25"/>
  <c r="AN39" i="25"/>
  <c r="AV43" i="25"/>
  <c r="R43" i="25" s="1"/>
  <c r="BM43" i="25"/>
  <c r="BV43" i="25" s="1"/>
  <c r="Z43" i="25" s="1"/>
  <c r="AZ43" i="25"/>
  <c r="BI43" i="25" s="1"/>
  <c r="V43" i="25" s="1"/>
  <c r="BM40" i="25"/>
  <c r="AZ40" i="25"/>
  <c r="BI40" i="25" s="1"/>
  <c r="AV40" i="25"/>
  <c r="R40" i="25" s="1"/>
  <c r="AU26" i="28"/>
  <c r="AY26" i="28"/>
  <c r="AN26" i="28"/>
  <c r="BL26" i="28"/>
  <c r="AZ43" i="28"/>
  <c r="BI43" i="28" s="1"/>
  <c r="V43" i="28" s="1"/>
  <c r="AV43" i="28"/>
  <c r="R43" i="28" s="1"/>
  <c r="BM43" i="28"/>
  <c r="BV43" i="28" s="1"/>
  <c r="Z43" i="28" s="1"/>
  <c r="AU24" i="28"/>
  <c r="AN24" i="28"/>
  <c r="BL24" i="28"/>
  <c r="AY24" i="28"/>
  <c r="AZ27" i="23"/>
  <c r="BI27" i="23" s="1"/>
  <c r="V27" i="23" s="1"/>
  <c r="AV27" i="23"/>
  <c r="R27" i="23" s="1"/>
  <c r="BM27" i="23"/>
  <c r="BV27" i="23" s="1"/>
  <c r="Z27" i="23" s="1"/>
  <c r="AZ28" i="23"/>
  <c r="BI28" i="23" s="1"/>
  <c r="V28" i="23" s="1"/>
  <c r="BM28" i="23"/>
  <c r="BV28" i="23" s="1"/>
  <c r="Z28" i="23" s="1"/>
  <c r="AV28" i="23"/>
  <c r="R28" i="23" s="1"/>
  <c r="BQ22" i="26"/>
  <c r="BM39" i="27"/>
  <c r="BV39" i="27" s="1"/>
  <c r="Z39" i="27" s="1"/>
  <c r="AV39" i="27"/>
  <c r="R39" i="27" s="1"/>
  <c r="AZ39" i="27"/>
  <c r="BI39" i="27" s="1"/>
  <c r="V39" i="27" s="1"/>
  <c r="BT37" i="25"/>
  <c r="BE37" i="25"/>
  <c r="BL43" i="24"/>
  <c r="AU43" i="24"/>
  <c r="AY43" i="24"/>
  <c r="AN43" i="24"/>
  <c r="BE35" i="24"/>
  <c r="BG35" i="24" s="1"/>
  <c r="BT35" i="24"/>
  <c r="BE28" i="25"/>
  <c r="BG28" i="25" s="1"/>
  <c r="BT28" i="25"/>
  <c r="M35" i="2"/>
  <c r="BH27" i="22"/>
  <c r="U27" i="22" s="1"/>
  <c r="AN37" i="21"/>
  <c r="AY37" i="21"/>
  <c r="BL37" i="21"/>
  <c r="AU37" i="21"/>
  <c r="AY27" i="21"/>
  <c r="BL27" i="21"/>
  <c r="AU27" i="21"/>
  <c r="AN27" i="21"/>
  <c r="BE27" i="24"/>
  <c r="BT27" i="24"/>
  <c r="AV27" i="25"/>
  <c r="R27" i="25" s="1"/>
  <c r="AZ27" i="25"/>
  <c r="BI27" i="25" s="1"/>
  <c r="V27" i="25" s="1"/>
  <c r="BM27" i="25"/>
  <c r="BV27" i="25" s="1"/>
  <c r="Z27" i="25" s="1"/>
  <c r="AL22" i="25"/>
  <c r="AN46" i="25"/>
  <c r="AU46" i="25"/>
  <c r="BL46" i="25"/>
  <c r="AY46" i="25"/>
  <c r="BM30" i="28"/>
  <c r="BV30" i="28" s="1"/>
  <c r="Z30" i="28" s="1"/>
  <c r="AV30" i="28"/>
  <c r="R30" i="28" s="1"/>
  <c r="AZ30" i="28"/>
  <c r="BI30" i="28" s="1"/>
  <c r="V30" i="28" s="1"/>
  <c r="BM31" i="28"/>
  <c r="BV31" i="28" s="1"/>
  <c r="Z31" i="28" s="1"/>
  <c r="AV31" i="28"/>
  <c r="R31" i="28" s="1"/>
  <c r="AZ31" i="28"/>
  <c r="BI31" i="28" s="1"/>
  <c r="V31" i="28" s="1"/>
  <c r="AN37" i="28"/>
  <c r="AY37" i="28"/>
  <c r="BL37" i="28"/>
  <c r="AU37" i="28"/>
  <c r="AV34" i="23"/>
  <c r="R34" i="23" s="1"/>
  <c r="AZ34" i="23"/>
  <c r="BI34" i="23" s="1"/>
  <c r="V34" i="23" s="1"/>
  <c r="BM34" i="23"/>
  <c r="BV34" i="23" s="1"/>
  <c r="Z34" i="23" s="1"/>
  <c r="BE35" i="2"/>
  <c r="BT35" i="2"/>
  <c r="AM22" i="27"/>
  <c r="AV22" i="27" s="1"/>
  <c r="AZ46" i="27"/>
  <c r="BA46" i="27" s="1"/>
  <c r="BA22" i="27" s="1"/>
  <c r="BE24" i="27"/>
  <c r="BT24" i="27"/>
  <c r="J35" i="21"/>
  <c r="I35" i="21"/>
  <c r="K35" i="21"/>
  <c r="M35" i="21"/>
  <c r="I44" i="21"/>
  <c r="I45" i="21" s="1"/>
  <c r="I46" i="21" s="1"/>
  <c r="AU35" i="24"/>
  <c r="AN35" i="24"/>
  <c r="BL35" i="24"/>
  <c r="AY35" i="24"/>
  <c r="BE37" i="2"/>
  <c r="BT37" i="2"/>
  <c r="BE45" i="27"/>
  <c r="BG45" i="27" s="1"/>
  <c r="BT45" i="27"/>
  <c r="J35" i="23"/>
  <c r="AW39" i="26"/>
  <c r="BD13" i="9"/>
  <c r="AN32" i="24"/>
  <c r="BE39" i="27"/>
  <c r="BG39" i="27" s="1"/>
  <c r="BT39" i="27"/>
  <c r="BE45" i="20"/>
  <c r="BT45" i="20"/>
  <c r="BE38" i="27"/>
  <c r="BG38" i="27" s="1"/>
  <c r="BT38" i="27"/>
  <c r="AZ45" i="21"/>
  <c r="BI45" i="21" s="1"/>
  <c r="V45" i="21" s="1"/>
  <c r="BM45" i="21"/>
  <c r="BV45" i="21" s="1"/>
  <c r="Z45" i="21" s="1"/>
  <c r="AV45" i="21"/>
  <c r="R45" i="21" s="1"/>
  <c r="AU40" i="21"/>
  <c r="AN40" i="21"/>
  <c r="BL40" i="21"/>
  <c r="AY40" i="21"/>
  <c r="BM26" i="25"/>
  <c r="BV26" i="25" s="1"/>
  <c r="Z26" i="25" s="1"/>
  <c r="AV26" i="25"/>
  <c r="R26" i="25" s="1"/>
  <c r="AZ26" i="25"/>
  <c r="BI26" i="25" s="1"/>
  <c r="V26" i="25" s="1"/>
  <c r="BM35" i="25"/>
  <c r="BV35" i="25" s="1"/>
  <c r="Z35" i="25" s="1"/>
  <c r="AZ35" i="25"/>
  <c r="BI35" i="25" s="1"/>
  <c r="V35" i="25" s="1"/>
  <c r="AV35" i="25"/>
  <c r="R35" i="25" s="1"/>
  <c r="AY45" i="25"/>
  <c r="AN45" i="25"/>
  <c r="AU45" i="25"/>
  <c r="BL45" i="25"/>
  <c r="AN33" i="28"/>
  <c r="AU33" i="28"/>
  <c r="BL33" i="28"/>
  <c r="AY33" i="28"/>
  <c r="AU36" i="28"/>
  <c r="BL36" i="28"/>
  <c r="AY36" i="28"/>
  <c r="BH36" i="28" s="1"/>
  <c r="AN36" i="28"/>
  <c r="AZ29" i="23"/>
  <c r="BI29" i="23" s="1"/>
  <c r="V29" i="23" s="1"/>
  <c r="AV29" i="23"/>
  <c r="R29" i="23" s="1"/>
  <c r="BM29" i="23"/>
  <c r="BV29" i="23" s="1"/>
  <c r="Z29" i="23" s="1"/>
  <c r="AV26" i="23"/>
  <c r="R26" i="23" s="1"/>
  <c r="AZ26" i="23"/>
  <c r="BI26" i="23" s="1"/>
  <c r="V26" i="23" s="1"/>
  <c r="BM26" i="23"/>
  <c r="BE25" i="2"/>
  <c r="BT25" i="2"/>
  <c r="AT47" i="24"/>
  <c r="BL42" i="27"/>
  <c r="BU42" i="27" s="1"/>
  <c r="AU42" i="27"/>
  <c r="AY42" i="27"/>
  <c r="BE40" i="28"/>
  <c r="BG40" i="28" s="1"/>
  <c r="BT40" i="28"/>
  <c r="AU34" i="24"/>
  <c r="BL34" i="24"/>
  <c r="AY34" i="24"/>
  <c r="BC47" i="22"/>
  <c r="BD25" i="22"/>
  <c r="BV34" i="20"/>
  <c r="Z34" i="20" s="1"/>
  <c r="AA34" i="20" s="1"/>
  <c r="BU25" i="2"/>
  <c r="BV24" i="2"/>
  <c r="W36" i="22"/>
  <c r="BI43" i="22"/>
  <c r="Y26" i="23"/>
  <c r="BH28" i="26"/>
  <c r="BA36" i="22"/>
  <c r="BV46" i="27"/>
  <c r="Z46" i="27" s="1"/>
  <c r="BH41" i="22"/>
  <c r="BA41" i="22"/>
  <c r="BG30" i="20"/>
  <c r="BG25" i="23"/>
  <c r="Q41" i="22"/>
  <c r="BH35" i="27"/>
  <c r="BG31" i="23"/>
  <c r="BG33" i="21"/>
  <c r="BI33" i="27"/>
  <c r="BA33" i="27"/>
  <c r="BG25" i="28"/>
  <c r="R34" i="27"/>
  <c r="BG42" i="23"/>
  <c r="BI42" i="23"/>
  <c r="V42" i="23" s="1"/>
  <c r="BG40" i="26"/>
  <c r="Q39" i="27"/>
  <c r="BG25" i="26"/>
  <c r="BH25" i="26"/>
  <c r="BA25" i="22"/>
  <c r="BH25" i="22"/>
  <c r="BG27" i="2"/>
  <c r="BU45" i="22"/>
  <c r="BA24" i="22"/>
  <c r="BH24" i="22"/>
  <c r="BH42" i="26"/>
  <c r="BG45" i="28"/>
  <c r="Q28" i="22"/>
  <c r="AW24" i="22"/>
  <c r="BH39" i="20"/>
  <c r="BH26" i="23"/>
  <c r="BH28" i="22"/>
  <c r="BI41" i="26"/>
  <c r="BU41" i="27"/>
  <c r="BG42" i="25"/>
  <c r="BU34" i="22"/>
  <c r="R37" i="22"/>
  <c r="BI34" i="2"/>
  <c r="BG44" i="26"/>
  <c r="BH41" i="27"/>
  <c r="U40" i="22"/>
  <c r="CA24" i="23"/>
  <c r="CA25" i="23" s="1"/>
  <c r="AA104" i="23" s="1"/>
  <c r="BU43" i="27"/>
  <c r="BU28" i="22"/>
  <c r="BI29" i="2"/>
  <c r="BF22" i="23"/>
  <c r="BU46" i="27"/>
  <c r="BG38" i="23"/>
  <c r="BV27" i="27"/>
  <c r="BN27" i="27"/>
  <c r="BI40" i="22"/>
  <c r="V40" i="22" s="1"/>
  <c r="S23" i="22"/>
  <c r="BG30" i="26"/>
  <c r="CA23" i="26"/>
  <c r="BG23" i="26"/>
  <c r="AY22" i="27"/>
  <c r="BE22" i="2"/>
  <c r="BG26" i="21"/>
  <c r="Q42" i="22"/>
  <c r="S42" i="22" s="1"/>
  <c r="AW42" i="22"/>
  <c r="BG27" i="23"/>
  <c r="BG30" i="2"/>
  <c r="BU45" i="27"/>
  <c r="CA23" i="25"/>
  <c r="BG23" i="25"/>
  <c r="BG33" i="23"/>
  <c r="BG39" i="26"/>
  <c r="BH39" i="26"/>
  <c r="BU24" i="22"/>
  <c r="BH36" i="26"/>
  <c r="AW23" i="22"/>
  <c r="BG33" i="28"/>
  <c r="AA34" i="2"/>
  <c r="BV36" i="27"/>
  <c r="BH27" i="20"/>
  <c r="Q31" i="22"/>
  <c r="S31" i="22" s="1"/>
  <c r="AW31" i="22"/>
  <c r="BG32" i="28"/>
  <c r="BG43" i="26"/>
  <c r="BI39" i="28"/>
  <c r="BH35" i="22"/>
  <c r="U35" i="22" s="1"/>
  <c r="W35" i="22" s="1"/>
  <c r="BW34" i="2"/>
  <c r="AW34" i="22"/>
  <c r="BJ36" i="22"/>
  <c r="V27" i="22"/>
  <c r="V23" i="24"/>
  <c r="Z23" i="24"/>
  <c r="BZ25" i="20"/>
  <c r="Z103" i="20"/>
  <c r="Y27" i="24"/>
  <c r="U39" i="24"/>
  <c r="Y31" i="24"/>
  <c r="CL19" i="9"/>
  <c r="F90" i="9" s="1"/>
  <c r="CM21" i="9"/>
  <c r="G92" i="9" s="1"/>
  <c r="BZ12" i="9"/>
  <c r="BZ2" i="9" s="1"/>
  <c r="CK16" i="9"/>
  <c r="E86" i="9"/>
  <c r="BD108" i="9"/>
  <c r="BY19" i="9"/>
  <c r="CA35" i="9"/>
  <c r="BZ37" i="9"/>
  <c r="BI27" i="9"/>
  <c r="BG19" i="9"/>
  <c r="BH28" i="9"/>
  <c r="BR26" i="9"/>
  <c r="BQ28" i="9"/>
  <c r="BP17" i="9"/>
  <c r="BS17" i="9"/>
  <c r="CB18" i="9"/>
  <c r="BM17" i="9"/>
  <c r="BL22" i="9"/>
  <c r="BT20" i="9"/>
  <c r="BK22" i="9"/>
  <c r="BW21" i="9"/>
  <c r="CC23" i="9"/>
  <c r="BJ17" i="9"/>
  <c r="BO24" i="9"/>
  <c r="BU23" i="9"/>
  <c r="CD23" i="9"/>
  <c r="BN20" i="9"/>
  <c r="BV17" i="9"/>
  <c r="BX23" i="9"/>
  <c r="Y23" i="2" l="1"/>
  <c r="AA23" i="2" s="1"/>
  <c r="BW23" i="2"/>
  <c r="BW43" i="26"/>
  <c r="AA25" i="26"/>
  <c r="BA24" i="26"/>
  <c r="BN27" i="24"/>
  <c r="BA26" i="26"/>
  <c r="AA29" i="26"/>
  <c r="BW38" i="2"/>
  <c r="BF47" i="23"/>
  <c r="BN32" i="26"/>
  <c r="AW36" i="2"/>
  <c r="W28" i="2"/>
  <c r="BJ26" i="26"/>
  <c r="BI29" i="27"/>
  <c r="V29" i="27" s="1"/>
  <c r="W29" i="27" s="1"/>
  <c r="BN43" i="26"/>
  <c r="S35" i="22"/>
  <c r="AW28" i="26"/>
  <c r="BN39" i="22"/>
  <c r="S46" i="22"/>
  <c r="AW24" i="20"/>
  <c r="BA45" i="26"/>
  <c r="Q46" i="26"/>
  <c r="S46" i="26" s="1"/>
  <c r="BV46" i="2"/>
  <c r="Z46" i="2" s="1"/>
  <c r="BW32" i="26"/>
  <c r="BA25" i="2"/>
  <c r="BW27" i="24"/>
  <c r="BN43" i="22"/>
  <c r="BN29" i="27"/>
  <c r="BA46" i="26"/>
  <c r="BA22" i="26" s="1"/>
  <c r="S38" i="2"/>
  <c r="BN34" i="20"/>
  <c r="BA35" i="2"/>
  <c r="AA29" i="2"/>
  <c r="AA27" i="24"/>
  <c r="BW35" i="22"/>
  <c r="BN46" i="27"/>
  <c r="BA42" i="26"/>
  <c r="AA28" i="26"/>
  <c r="AW31" i="26"/>
  <c r="BT47" i="23"/>
  <c r="M46" i="23" s="1"/>
  <c r="BA39" i="22"/>
  <c r="BY23" i="22"/>
  <c r="AW22" i="20"/>
  <c r="BA23" i="22"/>
  <c r="S35" i="2"/>
  <c r="S38" i="26"/>
  <c r="BN29" i="2"/>
  <c r="S27" i="24"/>
  <c r="AW45" i="26"/>
  <c r="BU37" i="20"/>
  <c r="Y37" i="20" s="1"/>
  <c r="AA37" i="20" s="1"/>
  <c r="AW27" i="26"/>
  <c r="CA24" i="28"/>
  <c r="AA103" i="28" s="1"/>
  <c r="BA37" i="20"/>
  <c r="BW44" i="2"/>
  <c r="Y23" i="26"/>
  <c r="AA23" i="26" s="1"/>
  <c r="BW23" i="26"/>
  <c r="BA44" i="2"/>
  <c r="AW27" i="24"/>
  <c r="BN37" i="22"/>
  <c r="BG46" i="21"/>
  <c r="BW27" i="2"/>
  <c r="AW23" i="2"/>
  <c r="BA37" i="22"/>
  <c r="BA46" i="22"/>
  <c r="BA22" i="22" s="1"/>
  <c r="BA44" i="26"/>
  <c r="BU33" i="20"/>
  <c r="AW35" i="27"/>
  <c r="AW40" i="2"/>
  <c r="BM47" i="2"/>
  <c r="S36" i="22"/>
  <c r="AW33" i="24"/>
  <c r="Y42" i="26"/>
  <c r="AA42" i="26" s="1"/>
  <c r="BJ33" i="2"/>
  <c r="BU33" i="26"/>
  <c r="Y33" i="26" s="1"/>
  <c r="AA33" i="26" s="1"/>
  <c r="R39" i="22"/>
  <c r="S39" i="22" s="1"/>
  <c r="BA26" i="22"/>
  <c r="BJ42" i="22"/>
  <c r="CA25" i="28"/>
  <c r="CA26" i="28" s="1"/>
  <c r="AA105" i="28" s="1"/>
  <c r="BW40" i="22"/>
  <c r="Q26" i="22"/>
  <c r="S26" i="22" s="1"/>
  <c r="BJ33" i="26"/>
  <c r="Y39" i="22"/>
  <c r="AA39" i="22" s="1"/>
  <c r="BA28" i="26"/>
  <c r="BW37" i="22"/>
  <c r="W38" i="21"/>
  <c r="BT22" i="27"/>
  <c r="BU35" i="2"/>
  <c r="Y35" i="2" s="1"/>
  <c r="AA35" i="2" s="1"/>
  <c r="BI45" i="22"/>
  <c r="V45" i="22" s="1"/>
  <c r="BN42" i="26"/>
  <c r="BN38" i="2"/>
  <c r="BN28" i="26"/>
  <c r="Q35" i="26"/>
  <c r="S35" i="26" s="1"/>
  <c r="BA43" i="26"/>
  <c r="BN27" i="2"/>
  <c r="AW23" i="26"/>
  <c r="AA39" i="2"/>
  <c r="S39" i="27"/>
  <c r="BH40" i="26"/>
  <c r="U40" i="26" s="1"/>
  <c r="W40" i="26" s="1"/>
  <c r="BA37" i="2"/>
  <c r="BD47" i="21"/>
  <c r="L44" i="21" s="1"/>
  <c r="BA27" i="2"/>
  <c r="W33" i="26"/>
  <c r="AA41" i="2"/>
  <c r="BN23" i="26"/>
  <c r="BI22" i="26"/>
  <c r="BU31" i="2"/>
  <c r="Y31" i="2" s="1"/>
  <c r="AA31" i="2" s="1"/>
  <c r="BW43" i="2"/>
  <c r="AW43" i="2"/>
  <c r="BN26" i="22"/>
  <c r="BA46" i="2"/>
  <c r="BA22" i="2" s="1"/>
  <c r="BA46" i="20"/>
  <c r="BA22" i="20" s="1"/>
  <c r="BY24" i="26"/>
  <c r="BY25" i="26" s="1"/>
  <c r="W42" i="22"/>
  <c r="BA30" i="22"/>
  <c r="BN42" i="22"/>
  <c r="BH34" i="2"/>
  <c r="U34" i="2" s="1"/>
  <c r="BW26" i="26"/>
  <c r="W26" i="26"/>
  <c r="BH30" i="22"/>
  <c r="U30" i="22" s="1"/>
  <c r="AW44" i="22"/>
  <c r="BA42" i="22"/>
  <c r="AW27" i="27"/>
  <c r="BN35" i="20"/>
  <c r="BN41" i="20"/>
  <c r="Q40" i="24"/>
  <c r="S40" i="24" s="1"/>
  <c r="BW28" i="2"/>
  <c r="BD47" i="28"/>
  <c r="L44" i="28" s="1"/>
  <c r="AW43" i="27"/>
  <c r="AA31" i="26"/>
  <c r="BW43" i="22"/>
  <c r="BA23" i="27"/>
  <c r="BW37" i="20"/>
  <c r="BA38" i="24"/>
  <c r="S25" i="22"/>
  <c r="BI44" i="2"/>
  <c r="V44" i="2" s="1"/>
  <c r="W44" i="2" s="1"/>
  <c r="S43" i="22"/>
  <c r="BN37" i="26"/>
  <c r="BW25" i="26"/>
  <c r="S42" i="23"/>
  <c r="AY47" i="26"/>
  <c r="BW42" i="22"/>
  <c r="BA40" i="2"/>
  <c r="BA27" i="20"/>
  <c r="BN46" i="20"/>
  <c r="AW36" i="22"/>
  <c r="AW35" i="22"/>
  <c r="BW27" i="22"/>
  <c r="W24" i="26"/>
  <c r="AA42" i="22"/>
  <c r="BV22" i="20"/>
  <c r="BN29" i="22"/>
  <c r="BV46" i="20"/>
  <c r="Z46" i="20" s="1"/>
  <c r="AA46" i="20" s="1"/>
  <c r="BA33" i="24"/>
  <c r="BA33" i="22"/>
  <c r="Z47" i="26"/>
  <c r="BW29" i="26"/>
  <c r="BN40" i="20"/>
  <c r="W45" i="2"/>
  <c r="BH43" i="26"/>
  <c r="U43" i="26" s="1"/>
  <c r="W43" i="26" s="1"/>
  <c r="AW38" i="26"/>
  <c r="BN42" i="2"/>
  <c r="BZ25" i="2"/>
  <c r="S37" i="22"/>
  <c r="BN25" i="26"/>
  <c r="BN46" i="26"/>
  <c r="AW27" i="22"/>
  <c r="BN28" i="2"/>
  <c r="BD47" i="2"/>
  <c r="L44" i="2" s="1"/>
  <c r="BJ38" i="24"/>
  <c r="W39" i="2"/>
  <c r="AU22" i="22"/>
  <c r="AW22" i="22" s="1"/>
  <c r="AW32" i="26"/>
  <c r="S36" i="27"/>
  <c r="AA24" i="26"/>
  <c r="AA30" i="26"/>
  <c r="BN39" i="2"/>
  <c r="AW37" i="22"/>
  <c r="BA41" i="2"/>
  <c r="AW25" i="24"/>
  <c r="BN24" i="20"/>
  <c r="S30" i="26"/>
  <c r="BA30" i="21"/>
  <c r="BH36" i="27"/>
  <c r="U36" i="27" s="1"/>
  <c r="BW37" i="26"/>
  <c r="BV46" i="22"/>
  <c r="Z46" i="22" s="1"/>
  <c r="AA46" i="22" s="1"/>
  <c r="BA26" i="27"/>
  <c r="S25" i="26"/>
  <c r="BN27" i="22"/>
  <c r="BH38" i="26"/>
  <c r="BJ38" i="26" s="1"/>
  <c r="BA34" i="26"/>
  <c r="BN38" i="24"/>
  <c r="BA40" i="24"/>
  <c r="AY47" i="2"/>
  <c r="AU47" i="26"/>
  <c r="AW29" i="27"/>
  <c r="BN29" i="26"/>
  <c r="AW42" i="26"/>
  <c r="BA30" i="26"/>
  <c r="BL47" i="2"/>
  <c r="BW30" i="26"/>
  <c r="Y43" i="22"/>
  <c r="AA43" i="22" s="1"/>
  <c r="AW28" i="22"/>
  <c r="AW41" i="22"/>
  <c r="BH45" i="26"/>
  <c r="U45" i="26" s="1"/>
  <c r="W45" i="26" s="1"/>
  <c r="BV25" i="24"/>
  <c r="Z25" i="24" s="1"/>
  <c r="BG30" i="22"/>
  <c r="BN41" i="22"/>
  <c r="BN44" i="2"/>
  <c r="BW45" i="2"/>
  <c r="BA31" i="20"/>
  <c r="AW30" i="22"/>
  <c r="AZ47" i="26"/>
  <c r="Y44" i="2"/>
  <c r="AA44" i="2" s="1"/>
  <c r="AA26" i="20"/>
  <c r="BW25" i="20"/>
  <c r="BW32" i="22"/>
  <c r="BH37" i="22"/>
  <c r="BJ37" i="22" s="1"/>
  <c r="AW24" i="26"/>
  <c r="BN31" i="22"/>
  <c r="BN32" i="22"/>
  <c r="BH38" i="2"/>
  <c r="U38" i="2" s="1"/>
  <c r="W38" i="2" s="1"/>
  <c r="AW46" i="2"/>
  <c r="BN45" i="2"/>
  <c r="AV22" i="26"/>
  <c r="AW22" i="26" s="1"/>
  <c r="Y38" i="24"/>
  <c r="AA38" i="24" s="1"/>
  <c r="BN38" i="26"/>
  <c r="BN27" i="26"/>
  <c r="BU40" i="26"/>
  <c r="Y40" i="26" s="1"/>
  <c r="AA40" i="26" s="1"/>
  <c r="BU29" i="22"/>
  <c r="BW29" i="22" s="1"/>
  <c r="BN43" i="27"/>
  <c r="BH31" i="26"/>
  <c r="U31" i="26" s="1"/>
  <c r="W31" i="26" s="1"/>
  <c r="BA27" i="26"/>
  <c r="S44" i="27"/>
  <c r="AA23" i="22"/>
  <c r="AW25" i="22"/>
  <c r="BW39" i="2"/>
  <c r="AW36" i="27"/>
  <c r="BA45" i="22"/>
  <c r="Q35" i="27"/>
  <c r="S35" i="27" s="1"/>
  <c r="W36" i="20"/>
  <c r="AW35" i="20"/>
  <c r="AA23" i="27"/>
  <c r="AW38" i="2"/>
  <c r="AA31" i="20"/>
  <c r="S40" i="20"/>
  <c r="BA43" i="22"/>
  <c r="AU47" i="2"/>
  <c r="BG22" i="28"/>
  <c r="BA35" i="26"/>
  <c r="Q33" i="26"/>
  <c r="S33" i="26" s="1"/>
  <c r="AW33" i="26"/>
  <c r="W35" i="26"/>
  <c r="BJ27" i="26"/>
  <c r="BJ44" i="2"/>
  <c r="BW38" i="26"/>
  <c r="W38" i="24"/>
  <c r="BW45" i="26"/>
  <c r="AA24" i="27"/>
  <c r="BA45" i="2"/>
  <c r="S41" i="22"/>
  <c r="BN31" i="26"/>
  <c r="BH38" i="22"/>
  <c r="U38" i="22" s="1"/>
  <c r="W38" i="22" s="1"/>
  <c r="BU24" i="20"/>
  <c r="Y24" i="20" s="1"/>
  <c r="AA24" i="20" s="1"/>
  <c r="BA32" i="22"/>
  <c r="AW40" i="26"/>
  <c r="BI29" i="26"/>
  <c r="BJ29" i="26" s="1"/>
  <c r="BG23" i="20"/>
  <c r="BV47" i="26"/>
  <c r="BW31" i="26"/>
  <c r="BH33" i="22"/>
  <c r="U33" i="22" s="1"/>
  <c r="W33" i="22" s="1"/>
  <c r="BN23" i="22"/>
  <c r="BH32" i="2"/>
  <c r="U32" i="2" s="1"/>
  <c r="W32" i="2" s="1"/>
  <c r="BN33" i="2"/>
  <c r="S40" i="22"/>
  <c r="AW35" i="2"/>
  <c r="BN24" i="26"/>
  <c r="AW33" i="22"/>
  <c r="AW46" i="22"/>
  <c r="BN44" i="26"/>
  <c r="AW28" i="24"/>
  <c r="BN41" i="2"/>
  <c r="BW41" i="2"/>
  <c r="S35" i="20"/>
  <c r="AW30" i="26"/>
  <c r="BA31" i="22"/>
  <c r="AN47" i="2"/>
  <c r="BW27" i="20"/>
  <c r="AA38" i="26"/>
  <c r="BN45" i="26"/>
  <c r="BH46" i="2"/>
  <c r="BH22" i="2" s="1"/>
  <c r="BN30" i="26"/>
  <c r="BA26" i="2"/>
  <c r="BW24" i="26"/>
  <c r="BN26" i="20"/>
  <c r="S42" i="26"/>
  <c r="BL47" i="26"/>
  <c r="BH37" i="26"/>
  <c r="U37" i="26" s="1"/>
  <c r="W37" i="26" s="1"/>
  <c r="BI46" i="23"/>
  <c r="BI22" i="23" s="1"/>
  <c r="AA25" i="20"/>
  <c r="W27" i="22"/>
  <c r="BM47" i="26"/>
  <c r="BH32" i="26"/>
  <c r="BJ32" i="26" s="1"/>
  <c r="AA30" i="2"/>
  <c r="S34" i="27"/>
  <c r="BW28" i="26"/>
  <c r="BN30" i="27"/>
  <c r="BJ30" i="2"/>
  <c r="AW43" i="22"/>
  <c r="BW33" i="2"/>
  <c r="AW43" i="20"/>
  <c r="BA39" i="26"/>
  <c r="BN30" i="2"/>
  <c r="BU40" i="24"/>
  <c r="BN40" i="24"/>
  <c r="BD107" i="9"/>
  <c r="BN40" i="2"/>
  <c r="AV47" i="26"/>
  <c r="BN46" i="2"/>
  <c r="BN35" i="22"/>
  <c r="BY23" i="27"/>
  <c r="BY24" i="27" s="1"/>
  <c r="BY23" i="20"/>
  <c r="Y102" i="20" s="1"/>
  <c r="BN39" i="26"/>
  <c r="AW32" i="2"/>
  <c r="BA32" i="2"/>
  <c r="W34" i="22"/>
  <c r="Y25" i="24"/>
  <c r="AA25" i="24" s="1"/>
  <c r="BA38" i="27"/>
  <c r="AU22" i="2"/>
  <c r="AW22" i="2" s="1"/>
  <c r="AN22" i="2"/>
  <c r="BV24" i="22"/>
  <c r="Z24" i="22" s="1"/>
  <c r="BD47" i="24"/>
  <c r="L44" i="24" s="1"/>
  <c r="Q44" i="26"/>
  <c r="S44" i="26" s="1"/>
  <c r="AW44" i="26"/>
  <c r="R34" i="2"/>
  <c r="S34" i="2" s="1"/>
  <c r="AW34" i="2"/>
  <c r="Q39" i="2"/>
  <c r="S39" i="2" s="1"/>
  <c r="AW39" i="2"/>
  <c r="BL47" i="22"/>
  <c r="Q24" i="2"/>
  <c r="S24" i="2" s="1"/>
  <c r="AW24" i="2"/>
  <c r="BA39" i="2"/>
  <c r="AA34" i="27"/>
  <c r="Q44" i="2"/>
  <c r="S44" i="2" s="1"/>
  <c r="AW44" i="2"/>
  <c r="Q28" i="2"/>
  <c r="S28" i="2" s="1"/>
  <c r="AW28" i="2"/>
  <c r="AW46" i="27"/>
  <c r="BG46" i="22"/>
  <c r="AA32" i="20"/>
  <c r="AY47" i="22"/>
  <c r="BA33" i="2"/>
  <c r="BJ27" i="22"/>
  <c r="BJ45" i="2"/>
  <c r="BN34" i="22"/>
  <c r="BW32" i="2"/>
  <c r="BN40" i="22"/>
  <c r="BF47" i="28"/>
  <c r="BL47" i="20"/>
  <c r="R25" i="2"/>
  <c r="S25" i="2" s="1"/>
  <c r="AW25" i="2"/>
  <c r="BG46" i="28"/>
  <c r="BH27" i="27"/>
  <c r="AV47" i="2"/>
  <c r="BE47" i="26"/>
  <c r="BH26" i="20"/>
  <c r="U26" i="20" s="1"/>
  <c r="BN37" i="27"/>
  <c r="AW45" i="20"/>
  <c r="AZ47" i="2"/>
  <c r="BN28" i="20"/>
  <c r="BI44" i="22"/>
  <c r="V44" i="22" s="1"/>
  <c r="BY24" i="2"/>
  <c r="AA46" i="26"/>
  <c r="BA35" i="27"/>
  <c r="BL22" i="2"/>
  <c r="BU22" i="2" s="1"/>
  <c r="BU46" i="2"/>
  <c r="Y46" i="2" s="1"/>
  <c r="AA46" i="2" s="1"/>
  <c r="BJ24" i="26"/>
  <c r="S34" i="20"/>
  <c r="BH24" i="2"/>
  <c r="U24" i="2" s="1"/>
  <c r="BA24" i="2"/>
  <c r="AW40" i="22"/>
  <c r="BA44" i="22"/>
  <c r="S45" i="22"/>
  <c r="BW28" i="20"/>
  <c r="AW45" i="22"/>
  <c r="BN44" i="27"/>
  <c r="AU47" i="22"/>
  <c r="S26" i="23"/>
  <c r="AN47" i="26"/>
  <c r="BI46" i="20"/>
  <c r="BI22" i="20" s="1"/>
  <c r="AW26" i="23"/>
  <c r="AA28" i="20"/>
  <c r="BH23" i="20"/>
  <c r="U23" i="20" s="1"/>
  <c r="W23" i="20" s="1"/>
  <c r="BN44" i="20"/>
  <c r="BD47" i="26"/>
  <c r="L44" i="26" s="1"/>
  <c r="BZ26" i="21"/>
  <c r="BZ27" i="21" s="1"/>
  <c r="BU35" i="27"/>
  <c r="Y35" i="27" s="1"/>
  <c r="AA35" i="27" s="1"/>
  <c r="BN32" i="20"/>
  <c r="BN44" i="22"/>
  <c r="BN42" i="20"/>
  <c r="BH29" i="22"/>
  <c r="BJ29" i="22" s="1"/>
  <c r="BG46" i="25"/>
  <c r="BJ28" i="20"/>
  <c r="AA103" i="23"/>
  <c r="BA43" i="27"/>
  <c r="BA30" i="20"/>
  <c r="BA33" i="20"/>
  <c r="W29" i="20"/>
  <c r="AW39" i="27"/>
  <c r="BF47" i="20"/>
  <c r="BA35" i="22"/>
  <c r="BH42" i="27"/>
  <c r="U42" i="27" s="1"/>
  <c r="BZ24" i="23"/>
  <c r="Z103" i="23" s="1"/>
  <c r="BA32" i="24"/>
  <c r="BI34" i="20"/>
  <c r="V34" i="20" s="1"/>
  <c r="W34" i="20" s="1"/>
  <c r="AN47" i="20"/>
  <c r="S46" i="27"/>
  <c r="BU41" i="26"/>
  <c r="BN41" i="26"/>
  <c r="W32" i="27"/>
  <c r="BA32" i="20"/>
  <c r="BJ35" i="26"/>
  <c r="AN47" i="22"/>
  <c r="BN25" i="20"/>
  <c r="BA36" i="27"/>
  <c r="BN36" i="27"/>
  <c r="BW23" i="22"/>
  <c r="BE47" i="23"/>
  <c r="AW29" i="20"/>
  <c r="S29" i="20"/>
  <c r="BU33" i="22"/>
  <c r="BN33" i="22"/>
  <c r="W34" i="26"/>
  <c r="BU35" i="20"/>
  <c r="BN24" i="27"/>
  <c r="AN22" i="27"/>
  <c r="BN29" i="20"/>
  <c r="AW22" i="27"/>
  <c r="BH44" i="20"/>
  <c r="BJ44" i="20" s="1"/>
  <c r="BW36" i="20"/>
  <c r="AW40" i="20"/>
  <c r="BW29" i="2"/>
  <c r="AW34" i="27"/>
  <c r="BN38" i="20"/>
  <c r="BA36" i="20"/>
  <c r="BN36" i="20"/>
  <c r="BW32" i="20"/>
  <c r="AN22" i="20"/>
  <c r="BN27" i="20"/>
  <c r="BH32" i="22"/>
  <c r="BI27" i="27"/>
  <c r="V27" i="27" s="1"/>
  <c r="BA27" i="27"/>
  <c r="BA44" i="27"/>
  <c r="BI43" i="27"/>
  <c r="V43" i="27" s="1"/>
  <c r="BN31" i="20"/>
  <c r="BT47" i="22"/>
  <c r="M46" i="22" s="1"/>
  <c r="R47" i="20"/>
  <c r="BN30" i="22"/>
  <c r="BA23" i="20"/>
  <c r="BF47" i="22"/>
  <c r="BU36" i="22"/>
  <c r="BN36" i="22"/>
  <c r="BH26" i="22"/>
  <c r="BW29" i="20"/>
  <c r="BH31" i="22"/>
  <c r="U31" i="22" s="1"/>
  <c r="BJ34" i="22"/>
  <c r="BA34" i="22"/>
  <c r="AU47" i="20"/>
  <c r="BH46" i="26"/>
  <c r="BJ46" i="26" s="1"/>
  <c r="BN46" i="22"/>
  <c r="AA29" i="20"/>
  <c r="BE47" i="22"/>
  <c r="BW31" i="20"/>
  <c r="BW24" i="27"/>
  <c r="Q41" i="26"/>
  <c r="S41" i="26" s="1"/>
  <c r="AW41" i="26"/>
  <c r="U29" i="28"/>
  <c r="W29" i="28" s="1"/>
  <c r="BJ29" i="28"/>
  <c r="U34" i="21"/>
  <c r="W34" i="21" s="1"/>
  <c r="BJ34" i="21"/>
  <c r="AZ47" i="20"/>
  <c r="BF47" i="21"/>
  <c r="BT47" i="25"/>
  <c r="M46" i="25" s="1"/>
  <c r="BA28" i="20"/>
  <c r="BI26" i="20"/>
  <c r="V26" i="20" s="1"/>
  <c r="BA26" i="20"/>
  <c r="U37" i="20"/>
  <c r="W37" i="20" s="1"/>
  <c r="BJ37" i="20"/>
  <c r="BJ36" i="20"/>
  <c r="BG22" i="25"/>
  <c r="Y40" i="2"/>
  <c r="AA40" i="2" s="1"/>
  <c r="BW40" i="2"/>
  <c r="BH33" i="20"/>
  <c r="U33" i="20" s="1"/>
  <c r="W33" i="20" s="1"/>
  <c r="BW30" i="2"/>
  <c r="BN39" i="27"/>
  <c r="BN23" i="27"/>
  <c r="Z102" i="22"/>
  <c r="BZ24" i="22"/>
  <c r="BA43" i="20"/>
  <c r="Z30" i="22"/>
  <c r="AA30" i="22" s="1"/>
  <c r="BW30" i="22"/>
  <c r="Q30" i="20"/>
  <c r="S30" i="20" s="1"/>
  <c r="AW30" i="20"/>
  <c r="BT22" i="20"/>
  <c r="BN33" i="27"/>
  <c r="BA40" i="20"/>
  <c r="BU39" i="20"/>
  <c r="BN39" i="20"/>
  <c r="AV47" i="22"/>
  <c r="AN47" i="27"/>
  <c r="BG46" i="26"/>
  <c r="BG47" i="26" s="1"/>
  <c r="L46" i="26" s="1"/>
  <c r="BE22" i="26"/>
  <c r="BG22" i="26" s="1"/>
  <c r="W28" i="20"/>
  <c r="BM47" i="22"/>
  <c r="BW34" i="27"/>
  <c r="BW46" i="26"/>
  <c r="BN42" i="23"/>
  <c r="BJ23" i="26"/>
  <c r="BI30" i="22"/>
  <c r="V30" i="22" s="1"/>
  <c r="BF47" i="24"/>
  <c r="AA36" i="24"/>
  <c r="S27" i="26"/>
  <c r="Q36" i="20"/>
  <c r="S36" i="20" s="1"/>
  <c r="AW36" i="20"/>
  <c r="BT47" i="20"/>
  <c r="M46" i="20" s="1"/>
  <c r="Q39" i="20"/>
  <c r="S39" i="20" s="1"/>
  <c r="AW39" i="20"/>
  <c r="Q26" i="20"/>
  <c r="S26" i="20" s="1"/>
  <c r="AW26" i="20"/>
  <c r="Q33" i="20"/>
  <c r="S33" i="20" s="1"/>
  <c r="AW33" i="20"/>
  <c r="BW26" i="20"/>
  <c r="AA36" i="20"/>
  <c r="BA25" i="23"/>
  <c r="Q28" i="20"/>
  <c r="S28" i="20" s="1"/>
  <c r="AW28" i="20"/>
  <c r="BH46" i="22"/>
  <c r="U46" i="22" s="1"/>
  <c r="BA41" i="20"/>
  <c r="BM47" i="20"/>
  <c r="BJ41" i="20"/>
  <c r="BH36" i="24"/>
  <c r="Y43" i="20"/>
  <c r="BA24" i="27"/>
  <c r="BV45" i="20"/>
  <c r="Z45" i="20" s="1"/>
  <c r="AA45" i="20" s="1"/>
  <c r="BN45" i="20"/>
  <c r="BU30" i="20"/>
  <c r="BN30" i="20"/>
  <c r="CB23" i="26"/>
  <c r="W102" i="26" s="1"/>
  <c r="BA34" i="27"/>
  <c r="BG22" i="23"/>
  <c r="BA30" i="27"/>
  <c r="BI25" i="24"/>
  <c r="V25" i="24" s="1"/>
  <c r="BI31" i="22"/>
  <c r="V31" i="22" s="1"/>
  <c r="W41" i="20"/>
  <c r="Q46" i="20"/>
  <c r="S46" i="20" s="1"/>
  <c r="AW46" i="20"/>
  <c r="Q38" i="20"/>
  <c r="S38" i="20" s="1"/>
  <c r="AW38" i="20"/>
  <c r="Q37" i="20"/>
  <c r="S37" i="20" s="1"/>
  <c r="AW37" i="20"/>
  <c r="Y102" i="26"/>
  <c r="BN38" i="27"/>
  <c r="BJ34" i="26"/>
  <c r="BI36" i="2"/>
  <c r="V36" i="2" s="1"/>
  <c r="W36" i="2" s="1"/>
  <c r="BA35" i="25"/>
  <c r="BA31" i="23"/>
  <c r="BA38" i="22"/>
  <c r="BA29" i="20"/>
  <c r="AY47" i="20"/>
  <c r="BH24" i="20"/>
  <c r="BE47" i="24"/>
  <c r="AN47" i="24"/>
  <c r="AV47" i="27"/>
  <c r="BA36" i="24"/>
  <c r="BJ35" i="22"/>
  <c r="BN45" i="27"/>
  <c r="AW34" i="20"/>
  <c r="BN28" i="22"/>
  <c r="BW23" i="27"/>
  <c r="BI38" i="27"/>
  <c r="V38" i="27" s="1"/>
  <c r="BH31" i="20"/>
  <c r="BJ31" i="20" s="1"/>
  <c r="AV47" i="20"/>
  <c r="S30" i="27"/>
  <c r="W23" i="26"/>
  <c r="BA24" i="20"/>
  <c r="BD47" i="27"/>
  <c r="L44" i="27" s="1"/>
  <c r="BJ29" i="20"/>
  <c r="BV43" i="20"/>
  <c r="Z43" i="20" s="1"/>
  <c r="BN43" i="20"/>
  <c r="BU23" i="20"/>
  <c r="BN23" i="20"/>
  <c r="BA45" i="20"/>
  <c r="BH40" i="2"/>
  <c r="BH24" i="24"/>
  <c r="BA24" i="24"/>
  <c r="BU35" i="25"/>
  <c r="BN35" i="25"/>
  <c r="Q30" i="23"/>
  <c r="S30" i="23" s="1"/>
  <c r="AW30" i="23"/>
  <c r="BH28" i="27"/>
  <c r="BA28" i="27"/>
  <c r="BH35" i="21"/>
  <c r="BA35" i="21"/>
  <c r="S23" i="27"/>
  <c r="BA34" i="25"/>
  <c r="BH34" i="25"/>
  <c r="Q45" i="25"/>
  <c r="S45" i="25" s="1"/>
  <c r="AW45" i="25"/>
  <c r="BV46" i="24"/>
  <c r="Z46" i="24" s="1"/>
  <c r="BM22" i="24"/>
  <c r="BV22" i="24" s="1"/>
  <c r="Q41" i="23"/>
  <c r="S41" i="23" s="1"/>
  <c r="AW41" i="23"/>
  <c r="BG40" i="20"/>
  <c r="BH40" i="20"/>
  <c r="BJ40" i="20" s="1"/>
  <c r="BA28" i="23"/>
  <c r="BH28" i="23"/>
  <c r="BH41" i="28"/>
  <c r="BA41" i="28"/>
  <c r="BU34" i="28"/>
  <c r="BN34" i="28"/>
  <c r="BU40" i="28"/>
  <c r="BN40" i="28"/>
  <c r="BH42" i="2"/>
  <c r="Q37" i="27"/>
  <c r="S37" i="27" s="1"/>
  <c r="AW37" i="27"/>
  <c r="Q34" i="28"/>
  <c r="S34" i="28" s="1"/>
  <c r="AW34" i="28"/>
  <c r="Q23" i="21"/>
  <c r="AU47" i="21"/>
  <c r="AW23" i="21"/>
  <c r="BG26" i="27"/>
  <c r="BH26" i="27"/>
  <c r="U30" i="27"/>
  <c r="W30" i="27" s="1"/>
  <c r="BJ30" i="27"/>
  <c r="BU39" i="28"/>
  <c r="BN39" i="28"/>
  <c r="BG44" i="20"/>
  <c r="BT47" i="28"/>
  <c r="M46" i="28" s="1"/>
  <c r="Q25" i="23"/>
  <c r="S25" i="23" s="1"/>
  <c r="AW25" i="23"/>
  <c r="S43" i="2"/>
  <c r="BN22" i="26"/>
  <c r="BU22" i="26"/>
  <c r="BW22" i="26" s="1"/>
  <c r="BH23" i="28"/>
  <c r="BA23" i="28"/>
  <c r="AY47" i="28"/>
  <c r="BY23" i="28"/>
  <c r="BH25" i="27"/>
  <c r="BA25" i="27"/>
  <c r="AU22" i="28"/>
  <c r="AW22" i="28" s="1"/>
  <c r="AN22" i="28"/>
  <c r="Q25" i="21"/>
  <c r="S25" i="21" s="1"/>
  <c r="AW25" i="21"/>
  <c r="BI31" i="24"/>
  <c r="V31" i="24" s="1"/>
  <c r="BA31" i="24"/>
  <c r="Q30" i="25"/>
  <c r="S30" i="25" s="1"/>
  <c r="AW30" i="25"/>
  <c r="AW43" i="25"/>
  <c r="Q43" i="25"/>
  <c r="S43" i="25" s="1"/>
  <c r="BU39" i="25"/>
  <c r="BN39" i="25"/>
  <c r="Y38" i="20"/>
  <c r="AA38" i="20" s="1"/>
  <c r="BW38" i="20"/>
  <c r="BH44" i="28"/>
  <c r="BA44" i="28"/>
  <c r="Q25" i="27"/>
  <c r="S25" i="27" s="1"/>
  <c r="AW25" i="27"/>
  <c r="BI29" i="25"/>
  <c r="V29" i="25" s="1"/>
  <c r="Q29" i="21"/>
  <c r="S29" i="21" s="1"/>
  <c r="AW29" i="21"/>
  <c r="BU25" i="25"/>
  <c r="BN25" i="25"/>
  <c r="BA24" i="28"/>
  <c r="BH24" i="28"/>
  <c r="BU32" i="28"/>
  <c r="BN32" i="28"/>
  <c r="BV39" i="24"/>
  <c r="BN39" i="24"/>
  <c r="Q36" i="28"/>
  <c r="S36" i="28" s="1"/>
  <c r="AW36" i="28"/>
  <c r="BU24" i="28"/>
  <c r="BN24" i="28"/>
  <c r="Z45" i="22"/>
  <c r="Q43" i="24"/>
  <c r="S43" i="24" s="1"/>
  <c r="AW43" i="24"/>
  <c r="Q31" i="27"/>
  <c r="S31" i="27" s="1"/>
  <c r="AW31" i="27"/>
  <c r="BN34" i="25"/>
  <c r="BU34" i="25"/>
  <c r="BG37" i="25"/>
  <c r="BE47" i="25"/>
  <c r="BH25" i="28"/>
  <c r="U25" i="28" s="1"/>
  <c r="BU41" i="28"/>
  <c r="BN41" i="28"/>
  <c r="Q38" i="25"/>
  <c r="S38" i="25" s="1"/>
  <c r="AW38" i="25"/>
  <c r="BU43" i="25"/>
  <c r="BN43" i="25"/>
  <c r="W45" i="28"/>
  <c r="BU25" i="27"/>
  <c r="BN25" i="27"/>
  <c r="BG29" i="24"/>
  <c r="BH29" i="24"/>
  <c r="Q37" i="24"/>
  <c r="S37" i="24" s="1"/>
  <c r="AW37" i="24"/>
  <c r="BA43" i="25"/>
  <c r="BH43" i="25"/>
  <c r="BG34" i="28"/>
  <c r="BE47" i="28"/>
  <c r="Q40" i="28"/>
  <c r="S40" i="28" s="1"/>
  <c r="AW40" i="28"/>
  <c r="BU37" i="24"/>
  <c r="BN37" i="24"/>
  <c r="BU33" i="21"/>
  <c r="BN33" i="21"/>
  <c r="BV31" i="24"/>
  <c r="BN31" i="24"/>
  <c r="BH27" i="28"/>
  <c r="BA27" i="28"/>
  <c r="BH33" i="21"/>
  <c r="U33" i="21" s="1"/>
  <c r="BA33" i="21"/>
  <c r="BA28" i="24"/>
  <c r="BH28" i="24"/>
  <c r="BV25" i="27"/>
  <c r="BM47" i="27"/>
  <c r="BH25" i="21"/>
  <c r="BA25" i="21"/>
  <c r="BT47" i="21"/>
  <c r="M46" i="21" s="1"/>
  <c r="BA43" i="21"/>
  <c r="BH43" i="21"/>
  <c r="BT22" i="22"/>
  <c r="BV22" i="22"/>
  <c r="BW22" i="22" s="1"/>
  <c r="BH31" i="28"/>
  <c r="BA31" i="28"/>
  <c r="BU45" i="24"/>
  <c r="BN45" i="24"/>
  <c r="BM22" i="28"/>
  <c r="BV22" i="28" s="1"/>
  <c r="BV46" i="28"/>
  <c r="Z46" i="28" s="1"/>
  <c r="BA29" i="21"/>
  <c r="BH29" i="21"/>
  <c r="BG23" i="27"/>
  <c r="CA23" i="27"/>
  <c r="BE47" i="27"/>
  <c r="BU26" i="27"/>
  <c r="BN26" i="27"/>
  <c r="BH35" i="25"/>
  <c r="U35" i="25" s="1"/>
  <c r="W35" i="25" s="1"/>
  <c r="BG35" i="2"/>
  <c r="BH35" i="2"/>
  <c r="BG37" i="2"/>
  <c r="BH37" i="2"/>
  <c r="BU32" i="21"/>
  <c r="BN32" i="21"/>
  <c r="U32" i="20"/>
  <c r="W32" i="20" s="1"/>
  <c r="BJ32" i="20"/>
  <c r="BA35" i="24"/>
  <c r="BH35" i="24"/>
  <c r="AZ22" i="21"/>
  <c r="BI46" i="21"/>
  <c r="BU41" i="23"/>
  <c r="BN41" i="23"/>
  <c r="Q42" i="27"/>
  <c r="S42" i="27" s="1"/>
  <c r="AW42" i="27"/>
  <c r="AW42" i="24"/>
  <c r="Q42" i="24"/>
  <c r="S42" i="24" s="1"/>
  <c r="BI46" i="24"/>
  <c r="AZ22" i="24"/>
  <c r="R33" i="27"/>
  <c r="S33" i="27" s="1"/>
  <c r="AW33" i="27"/>
  <c r="BU23" i="21"/>
  <c r="BN23" i="21"/>
  <c r="BL47" i="21"/>
  <c r="BG31" i="24"/>
  <c r="BH31" i="24"/>
  <c r="BH35" i="28"/>
  <c r="BA35" i="28"/>
  <c r="BU35" i="28"/>
  <c r="BN35" i="28"/>
  <c r="BF22" i="22"/>
  <c r="BG22" i="22" s="1"/>
  <c r="BI46" i="22"/>
  <c r="V46" i="22" s="1"/>
  <c r="BU27" i="28"/>
  <c r="BN27" i="28"/>
  <c r="AA102" i="24"/>
  <c r="CA24" i="24"/>
  <c r="AA103" i="24" s="1"/>
  <c r="AN47" i="23"/>
  <c r="BU23" i="28"/>
  <c r="BL47" i="28"/>
  <c r="BN23" i="28"/>
  <c r="Q33" i="21"/>
  <c r="S33" i="21" s="1"/>
  <c r="AW33" i="21"/>
  <c r="S23" i="2"/>
  <c r="BI25" i="27"/>
  <c r="V25" i="27" s="1"/>
  <c r="AZ47" i="27"/>
  <c r="BH31" i="25"/>
  <c r="U31" i="25" s="1"/>
  <c r="W31" i="25" s="1"/>
  <c r="BA31" i="25"/>
  <c r="Q40" i="27"/>
  <c r="S40" i="27" s="1"/>
  <c r="AW40" i="27"/>
  <c r="BN28" i="21"/>
  <c r="BU28" i="21"/>
  <c r="CA23" i="21"/>
  <c r="AA102" i="21" s="1"/>
  <c r="BG23" i="21"/>
  <c r="BE47" i="21"/>
  <c r="Q43" i="21"/>
  <c r="S43" i="21" s="1"/>
  <c r="AW43" i="21"/>
  <c r="Z102" i="26"/>
  <c r="BZ24" i="26"/>
  <c r="AU22" i="25"/>
  <c r="AW22" i="25" s="1"/>
  <c r="AN22" i="25"/>
  <c r="BF22" i="2"/>
  <c r="BG22" i="2" s="1"/>
  <c r="BG46" i="2"/>
  <c r="BF47" i="2"/>
  <c r="BD47" i="23"/>
  <c r="L44" i="23" s="1"/>
  <c r="Y39" i="26"/>
  <c r="AA39" i="26" s="1"/>
  <c r="BW39" i="26"/>
  <c r="BN30" i="21"/>
  <c r="BU30" i="21"/>
  <c r="BH45" i="27"/>
  <c r="BA45" i="27"/>
  <c r="BN43" i="24"/>
  <c r="BU43" i="24"/>
  <c r="BU45" i="25"/>
  <c r="BN45" i="25"/>
  <c r="Q37" i="28"/>
  <c r="S37" i="28" s="1"/>
  <c r="AW37" i="28"/>
  <c r="BH32" i="21"/>
  <c r="BA32" i="21"/>
  <c r="AN47" i="21"/>
  <c r="BA40" i="28"/>
  <c r="BH40" i="28"/>
  <c r="V40" i="21"/>
  <c r="BV41" i="27"/>
  <c r="Z41" i="27" s="1"/>
  <c r="BN41" i="27"/>
  <c r="BH37" i="27"/>
  <c r="BA37" i="27"/>
  <c r="Y41" i="20"/>
  <c r="AA41" i="20" s="1"/>
  <c r="BW41" i="20"/>
  <c r="Y33" i="24"/>
  <c r="AA33" i="24" s="1"/>
  <c r="BW33" i="24"/>
  <c r="BU36" i="23"/>
  <c r="BN36" i="23"/>
  <c r="BU25" i="21"/>
  <c r="BN25" i="21"/>
  <c r="BJ28" i="2"/>
  <c r="Q25" i="25"/>
  <c r="S25" i="25" s="1"/>
  <c r="AW25" i="25"/>
  <c r="BA30" i="24"/>
  <c r="BH30" i="24"/>
  <c r="R31" i="23"/>
  <c r="S31" i="23" s="1"/>
  <c r="AW31" i="23"/>
  <c r="BI46" i="2"/>
  <c r="BN31" i="25"/>
  <c r="BU31" i="25"/>
  <c r="BU40" i="27"/>
  <c r="BN40" i="27"/>
  <c r="BA42" i="23"/>
  <c r="AW35" i="25"/>
  <c r="Q35" i="25"/>
  <c r="S35" i="25" s="1"/>
  <c r="BA32" i="28"/>
  <c r="BH32" i="28"/>
  <c r="U32" i="28" s="1"/>
  <c r="BU24" i="24"/>
  <c r="BN24" i="24"/>
  <c r="Q32" i="28"/>
  <c r="S32" i="28" s="1"/>
  <c r="AW32" i="28"/>
  <c r="BA33" i="28"/>
  <c r="BH33" i="28"/>
  <c r="U33" i="28" s="1"/>
  <c r="W33" i="28" s="1"/>
  <c r="V39" i="22"/>
  <c r="W39" i="22" s="1"/>
  <c r="BJ39" i="22"/>
  <c r="BA43" i="24"/>
  <c r="BH43" i="24"/>
  <c r="BN29" i="25"/>
  <c r="BU29" i="25"/>
  <c r="Q33" i="28"/>
  <c r="S33" i="28" s="1"/>
  <c r="AW33" i="28"/>
  <c r="BG27" i="24"/>
  <c r="BH27" i="24"/>
  <c r="U26" i="2"/>
  <c r="W26" i="2" s="1"/>
  <c r="BJ26" i="2"/>
  <c r="BG45" i="20"/>
  <c r="BH45" i="20"/>
  <c r="BU35" i="21"/>
  <c r="BN35" i="21"/>
  <c r="Q46" i="24"/>
  <c r="S46" i="24" s="1"/>
  <c r="AW46" i="24"/>
  <c r="Q41" i="28"/>
  <c r="S41" i="28" s="1"/>
  <c r="AW41" i="28"/>
  <c r="BA37" i="24"/>
  <c r="BH37" i="24"/>
  <c r="BG29" i="25"/>
  <c r="BF47" i="25"/>
  <c r="BU42" i="24"/>
  <c r="BN42" i="24"/>
  <c r="BT47" i="24"/>
  <c r="M46" i="24" s="1"/>
  <c r="BH42" i="24"/>
  <c r="BA42" i="24"/>
  <c r="BA30" i="25"/>
  <c r="BH30" i="25"/>
  <c r="BH30" i="21"/>
  <c r="BJ30" i="21" s="1"/>
  <c r="BU30" i="25"/>
  <c r="BN30" i="25"/>
  <c r="U36" i="28"/>
  <c r="W36" i="28" s="1"/>
  <c r="BJ36" i="28"/>
  <c r="Q23" i="28"/>
  <c r="AU47" i="28"/>
  <c r="AW23" i="28"/>
  <c r="AW41" i="27"/>
  <c r="BJ28" i="26"/>
  <c r="U28" i="26"/>
  <c r="W28" i="26" s="1"/>
  <c r="BG32" i="24"/>
  <c r="BH32" i="24"/>
  <c r="BH25" i="25"/>
  <c r="BA25" i="25"/>
  <c r="Q30" i="24"/>
  <c r="S30" i="24" s="1"/>
  <c r="AW30" i="24"/>
  <c r="BN23" i="25"/>
  <c r="BM47" i="25"/>
  <c r="BV23" i="25"/>
  <c r="V27" i="2"/>
  <c r="W27" i="2" s="1"/>
  <c r="BJ27" i="2"/>
  <c r="BA40" i="27"/>
  <c r="BH40" i="27"/>
  <c r="BG38" i="20"/>
  <c r="BH38" i="20"/>
  <c r="S31" i="24"/>
  <c r="BG23" i="22"/>
  <c r="CA23" i="22"/>
  <c r="AA102" i="22" s="1"/>
  <c r="BI23" i="22"/>
  <c r="BJ23" i="22" s="1"/>
  <c r="BJ45" i="26"/>
  <c r="R39" i="24"/>
  <c r="S39" i="24" s="1"/>
  <c r="AW39" i="24"/>
  <c r="AW26" i="27"/>
  <c r="Q26" i="27"/>
  <c r="S26" i="27" s="1"/>
  <c r="BN33" i="28"/>
  <c r="BU33" i="28"/>
  <c r="Q24" i="28"/>
  <c r="S24" i="28" s="1"/>
  <c r="AW24" i="28"/>
  <c r="BG23" i="2"/>
  <c r="CA23" i="2"/>
  <c r="BH23" i="2"/>
  <c r="BE47" i="2"/>
  <c r="BU28" i="27"/>
  <c r="BN28" i="27"/>
  <c r="BT47" i="2"/>
  <c r="M46" i="2" s="1"/>
  <c r="BA41" i="23"/>
  <c r="BH41" i="23"/>
  <c r="BH40" i="25"/>
  <c r="U40" i="25" s="1"/>
  <c r="BA40" i="25"/>
  <c r="BY23" i="21"/>
  <c r="AY47" i="21"/>
  <c r="BH23" i="21"/>
  <c r="BA23" i="21"/>
  <c r="AU47" i="27"/>
  <c r="Y40" i="25"/>
  <c r="Z33" i="27"/>
  <c r="AA33" i="27" s="1"/>
  <c r="BW33" i="27"/>
  <c r="Q40" i="25"/>
  <c r="S40" i="25" s="1"/>
  <c r="AW40" i="25"/>
  <c r="AN47" i="25"/>
  <c r="Q33" i="23"/>
  <c r="S33" i="23" s="1"/>
  <c r="AW33" i="23"/>
  <c r="BN25" i="23"/>
  <c r="BU25" i="23"/>
  <c r="BU43" i="21"/>
  <c r="BN43" i="21"/>
  <c r="BE47" i="20"/>
  <c r="Q26" i="25"/>
  <c r="S26" i="25" s="1"/>
  <c r="AW26" i="25"/>
  <c r="S27" i="20"/>
  <c r="BU30" i="24"/>
  <c r="BN30" i="24"/>
  <c r="BV31" i="23"/>
  <c r="BN31" i="23"/>
  <c r="R23" i="25"/>
  <c r="R47" i="25" s="1"/>
  <c r="AV47" i="25"/>
  <c r="BT47" i="27"/>
  <c r="M46" i="27" s="1"/>
  <c r="Q31" i="25"/>
  <c r="S31" i="25" s="1"/>
  <c r="AW31" i="25"/>
  <c r="AW31" i="24"/>
  <c r="BU37" i="28"/>
  <c r="BN37" i="28"/>
  <c r="Q27" i="21"/>
  <c r="S27" i="21" s="1"/>
  <c r="AW27" i="21"/>
  <c r="Q35" i="21"/>
  <c r="S35" i="21" s="1"/>
  <c r="AW35" i="21"/>
  <c r="Q44" i="28"/>
  <c r="S44" i="28" s="1"/>
  <c r="AW44" i="28"/>
  <c r="AA30" i="27"/>
  <c r="BA30" i="23"/>
  <c r="BH30" i="23"/>
  <c r="BH45" i="25"/>
  <c r="BA45" i="25"/>
  <c r="BI23" i="21"/>
  <c r="AZ47" i="21"/>
  <c r="BU30" i="23"/>
  <c r="BN30" i="23"/>
  <c r="BH27" i="21"/>
  <c r="BA27" i="21"/>
  <c r="Q42" i="25"/>
  <c r="S42" i="25" s="1"/>
  <c r="AW42" i="25"/>
  <c r="Q39" i="21"/>
  <c r="S39" i="21" s="1"/>
  <c r="AW39" i="21"/>
  <c r="BA43" i="28"/>
  <c r="BH43" i="28"/>
  <c r="AW36" i="24"/>
  <c r="BU37" i="21"/>
  <c r="BN37" i="21"/>
  <c r="BH33" i="25"/>
  <c r="BA33" i="25"/>
  <c r="BA38" i="21"/>
  <c r="AY47" i="27"/>
  <c r="BA37" i="21"/>
  <c r="BH37" i="21"/>
  <c r="BH34" i="23"/>
  <c r="BA34" i="23"/>
  <c r="AW44" i="25"/>
  <c r="Q44" i="25"/>
  <c r="S44" i="25" s="1"/>
  <c r="Q42" i="21"/>
  <c r="S42" i="21" s="1"/>
  <c r="AW42" i="21"/>
  <c r="BU28" i="25"/>
  <c r="BN28" i="25"/>
  <c r="BH31" i="21"/>
  <c r="BA31" i="21"/>
  <c r="BJ32" i="27"/>
  <c r="AW30" i="27"/>
  <c r="BN34" i="27"/>
  <c r="Z102" i="25"/>
  <c r="BH44" i="27"/>
  <c r="U44" i="27" s="1"/>
  <c r="W44" i="27" s="1"/>
  <c r="BL47" i="27"/>
  <c r="AW23" i="27"/>
  <c r="BW42" i="20"/>
  <c r="BN40" i="25"/>
  <c r="BV40" i="25"/>
  <c r="Z40" i="25" s="1"/>
  <c r="BW38" i="27"/>
  <c r="Y38" i="27"/>
  <c r="AA38" i="27" s="1"/>
  <c r="BH36" i="21"/>
  <c r="BA36" i="21"/>
  <c r="BU42" i="28"/>
  <c r="BN42" i="28"/>
  <c r="BH32" i="23"/>
  <c r="BA32" i="23"/>
  <c r="BG24" i="2"/>
  <c r="Q34" i="23"/>
  <c r="S34" i="23" s="1"/>
  <c r="AW34" i="23"/>
  <c r="BA39" i="27"/>
  <c r="BH29" i="23"/>
  <c r="BA29" i="23"/>
  <c r="R23" i="23"/>
  <c r="AV47" i="23"/>
  <c r="BH42" i="21"/>
  <c r="U42" i="21" s="1"/>
  <c r="W42" i="21" s="1"/>
  <c r="BA42" i="21"/>
  <c r="BA44" i="21"/>
  <c r="BH44" i="21"/>
  <c r="BA26" i="24"/>
  <c r="BH26" i="24"/>
  <c r="AW40" i="23"/>
  <c r="Q40" i="23"/>
  <c r="S40" i="23" s="1"/>
  <c r="Q23" i="24"/>
  <c r="AW23" i="24"/>
  <c r="AU47" i="24"/>
  <c r="Q30" i="28"/>
  <c r="S30" i="28" s="1"/>
  <c r="AW30" i="28"/>
  <c r="BG24" i="22"/>
  <c r="BU38" i="28"/>
  <c r="BN38" i="28"/>
  <c r="BU31" i="21"/>
  <c r="BN31" i="21"/>
  <c r="Q38" i="23"/>
  <c r="S38" i="23" s="1"/>
  <c r="AW38" i="23"/>
  <c r="BG33" i="24"/>
  <c r="BH33" i="24"/>
  <c r="BA27" i="23"/>
  <c r="BU41" i="25"/>
  <c r="BN41" i="25"/>
  <c r="Q37" i="21"/>
  <c r="S37" i="21" s="1"/>
  <c r="AW37" i="21"/>
  <c r="BH41" i="24"/>
  <c r="BA41" i="24"/>
  <c r="Y25" i="2"/>
  <c r="BW25" i="2"/>
  <c r="BH38" i="27"/>
  <c r="BU41" i="24"/>
  <c r="BN41" i="24"/>
  <c r="BU38" i="21"/>
  <c r="BN38" i="21"/>
  <c r="AW44" i="27"/>
  <c r="R47" i="26"/>
  <c r="Q38" i="27"/>
  <c r="S38" i="27" s="1"/>
  <c r="AW38" i="27"/>
  <c r="Y44" i="26"/>
  <c r="AA44" i="26" s="1"/>
  <c r="BW44" i="26"/>
  <c r="BA42" i="28"/>
  <c r="BH42" i="28"/>
  <c r="AW33" i="25"/>
  <c r="Q33" i="25"/>
  <c r="S33" i="25" s="1"/>
  <c r="BN32" i="23"/>
  <c r="BU32" i="23"/>
  <c r="BH44" i="24"/>
  <c r="BA44" i="24"/>
  <c r="BF47" i="27"/>
  <c r="BU27" i="25"/>
  <c r="BN27" i="25"/>
  <c r="BI29" i="24"/>
  <c r="V29" i="24" s="1"/>
  <c r="BA29" i="24"/>
  <c r="BA44" i="25"/>
  <c r="BH44" i="25"/>
  <c r="BN23" i="23"/>
  <c r="BV23" i="23"/>
  <c r="BM47" i="23"/>
  <c r="BU42" i="21"/>
  <c r="BN42" i="21"/>
  <c r="BU44" i="21"/>
  <c r="BN44" i="21"/>
  <c r="BU23" i="23"/>
  <c r="BL47" i="23"/>
  <c r="BV32" i="27"/>
  <c r="BN32" i="27"/>
  <c r="Q26" i="21"/>
  <c r="S26" i="21" s="1"/>
  <c r="AW26" i="21"/>
  <c r="BA39" i="23"/>
  <c r="BH39" i="23"/>
  <c r="BH28" i="25"/>
  <c r="BA28" i="25"/>
  <c r="BU30" i="28"/>
  <c r="BN30" i="28"/>
  <c r="BH24" i="23"/>
  <c r="BA24" i="23"/>
  <c r="BI28" i="22"/>
  <c r="V28" i="22" s="1"/>
  <c r="AZ47" i="22"/>
  <c r="BU38" i="23"/>
  <c r="BN38" i="23"/>
  <c r="BU36" i="25"/>
  <c r="BN36" i="25"/>
  <c r="Q27" i="23"/>
  <c r="S27" i="23" s="1"/>
  <c r="AW27" i="23"/>
  <c r="BN46" i="23"/>
  <c r="BU46" i="23"/>
  <c r="BL22" i="23"/>
  <c r="Q43" i="23"/>
  <c r="S43" i="23" s="1"/>
  <c r="AW43" i="23"/>
  <c r="Q35" i="28"/>
  <c r="S35" i="28" s="1"/>
  <c r="AW35" i="28"/>
  <c r="BH24" i="25"/>
  <c r="BA24" i="25"/>
  <c r="BU29" i="21"/>
  <c r="BN29" i="21"/>
  <c r="BA37" i="28"/>
  <c r="BH37" i="28"/>
  <c r="BU44" i="23"/>
  <c r="BN44" i="23"/>
  <c r="BU42" i="25"/>
  <c r="BN42" i="25"/>
  <c r="AY22" i="28"/>
  <c r="BA46" i="28"/>
  <c r="BA22" i="28" s="1"/>
  <c r="BH46" i="28"/>
  <c r="Q35" i="24"/>
  <c r="S35" i="24" s="1"/>
  <c r="AW35" i="24"/>
  <c r="Y37" i="2"/>
  <c r="AA37" i="2" s="1"/>
  <c r="BW37" i="2"/>
  <c r="BV23" i="21"/>
  <c r="BM47" i="21"/>
  <c r="BJ45" i="28"/>
  <c r="BV22" i="2"/>
  <c r="BH39" i="21"/>
  <c r="BA39" i="21"/>
  <c r="BV47" i="2"/>
  <c r="BW30" i="27"/>
  <c r="BV26" i="23"/>
  <c r="BN26" i="23"/>
  <c r="BW36" i="24"/>
  <c r="BU22" i="20"/>
  <c r="BA45" i="28"/>
  <c r="BU33" i="25"/>
  <c r="BN33" i="25"/>
  <c r="BE22" i="20"/>
  <c r="BG22" i="20" s="1"/>
  <c r="BH46" i="20"/>
  <c r="BG46" i="20"/>
  <c r="BH42" i="20"/>
  <c r="R23" i="28"/>
  <c r="R47" i="28" s="1"/>
  <c r="AV47" i="28"/>
  <c r="BZ25" i="24"/>
  <c r="Z103" i="24"/>
  <c r="BU23" i="24"/>
  <c r="BN23" i="24"/>
  <c r="BL47" i="24"/>
  <c r="BH28" i="28"/>
  <c r="BA28" i="28"/>
  <c r="BZ25" i="27"/>
  <c r="BZ26" i="27" s="1"/>
  <c r="BD47" i="22"/>
  <c r="L44" i="22" s="1"/>
  <c r="BH40" i="21"/>
  <c r="U40" i="21" s="1"/>
  <c r="BA40" i="21"/>
  <c r="U41" i="2"/>
  <c r="W41" i="2" s="1"/>
  <c r="BJ41" i="2"/>
  <c r="Q36" i="21"/>
  <c r="S36" i="21" s="1"/>
  <c r="AW36" i="21"/>
  <c r="AW34" i="21"/>
  <c r="Q34" i="21"/>
  <c r="S34" i="21" s="1"/>
  <c r="Q32" i="23"/>
  <c r="S32" i="23" s="1"/>
  <c r="AW32" i="23"/>
  <c r="Q44" i="24"/>
  <c r="S44" i="24" s="1"/>
  <c r="AW44" i="24"/>
  <c r="BF22" i="24"/>
  <c r="BG22" i="24" s="1"/>
  <c r="BG46" i="24"/>
  <c r="BN29" i="28"/>
  <c r="BU29" i="28"/>
  <c r="Q27" i="25"/>
  <c r="S27" i="25" s="1"/>
  <c r="AW27" i="25"/>
  <c r="BN38" i="22"/>
  <c r="BU38" i="22"/>
  <c r="Q29" i="23"/>
  <c r="S29" i="23" s="1"/>
  <c r="AW29" i="23"/>
  <c r="BV29" i="24"/>
  <c r="BN29" i="24"/>
  <c r="BU44" i="25"/>
  <c r="BN44" i="25"/>
  <c r="Q44" i="21"/>
  <c r="S44" i="21" s="1"/>
  <c r="AW44" i="21"/>
  <c r="BH23" i="23"/>
  <c r="BA23" i="23"/>
  <c r="BY23" i="23"/>
  <c r="BU26" i="24"/>
  <c r="BN26" i="24"/>
  <c r="BN26" i="21"/>
  <c r="BU26" i="21"/>
  <c r="BU39" i="23"/>
  <c r="BN39" i="23"/>
  <c r="BH40" i="23"/>
  <c r="BA40" i="23"/>
  <c r="BH38" i="28"/>
  <c r="BA38" i="28"/>
  <c r="BH35" i="20"/>
  <c r="BU24" i="23"/>
  <c r="BN24" i="23"/>
  <c r="Q31" i="21"/>
  <c r="S31" i="21" s="1"/>
  <c r="AW31" i="21"/>
  <c r="BH38" i="23"/>
  <c r="U38" i="23" s="1"/>
  <c r="BA38" i="23"/>
  <c r="Q41" i="21"/>
  <c r="S41" i="21" s="1"/>
  <c r="AW41" i="21"/>
  <c r="BU37" i="25"/>
  <c r="BN37" i="25"/>
  <c r="Y42" i="27"/>
  <c r="AA42" i="27" s="1"/>
  <c r="BW42" i="27"/>
  <c r="BU26" i="28"/>
  <c r="BN26" i="28"/>
  <c r="AZ47" i="25"/>
  <c r="BI23" i="25"/>
  <c r="V23" i="25" s="1"/>
  <c r="BU37" i="23"/>
  <c r="BN37" i="23"/>
  <c r="Q45" i="24"/>
  <c r="S45" i="24" s="1"/>
  <c r="AW45" i="24"/>
  <c r="Q30" i="21"/>
  <c r="S30" i="21" s="1"/>
  <c r="AW30" i="21"/>
  <c r="BA41" i="25"/>
  <c r="BH41" i="25"/>
  <c r="BU43" i="23"/>
  <c r="BN43" i="23"/>
  <c r="Q43" i="28"/>
  <c r="S43" i="28" s="1"/>
  <c r="AW43" i="28"/>
  <c r="BV28" i="24"/>
  <c r="BM47" i="24"/>
  <c r="BH23" i="24"/>
  <c r="BY23" i="24"/>
  <c r="AY47" i="24"/>
  <c r="BA23" i="24"/>
  <c r="Q44" i="23"/>
  <c r="S44" i="23" s="1"/>
  <c r="AW44" i="23"/>
  <c r="Q28" i="25"/>
  <c r="S28" i="25" s="1"/>
  <c r="AW28" i="25"/>
  <c r="Q28" i="28"/>
  <c r="S28" i="28" s="1"/>
  <c r="AW28" i="28"/>
  <c r="AY47" i="23"/>
  <c r="BU36" i="21"/>
  <c r="BN36" i="21"/>
  <c r="BI23" i="23"/>
  <c r="V23" i="23" s="1"/>
  <c r="AZ47" i="23"/>
  <c r="BU40" i="23"/>
  <c r="BN40" i="23"/>
  <c r="BN42" i="27"/>
  <c r="BU40" i="21"/>
  <c r="BN40" i="21"/>
  <c r="BG24" i="27"/>
  <c r="BH24" i="27"/>
  <c r="AY22" i="25"/>
  <c r="BA46" i="25"/>
  <c r="BA22" i="25" s="1"/>
  <c r="BH46" i="25"/>
  <c r="BU44" i="24"/>
  <c r="BN44" i="24"/>
  <c r="BU29" i="23"/>
  <c r="BN29" i="23"/>
  <c r="BG31" i="2"/>
  <c r="BH31" i="2"/>
  <c r="R29" i="24"/>
  <c r="S29" i="24" s="1"/>
  <c r="AW29" i="24"/>
  <c r="BH34" i="27"/>
  <c r="Q23" i="23"/>
  <c r="AU47" i="23"/>
  <c r="AW23" i="23"/>
  <c r="Q46" i="21"/>
  <c r="S46" i="21" s="1"/>
  <c r="AW46" i="21"/>
  <c r="BU45" i="23"/>
  <c r="BN45" i="23"/>
  <c r="AW26" i="24"/>
  <c r="Q26" i="24"/>
  <c r="S26" i="24" s="1"/>
  <c r="BI41" i="21"/>
  <c r="V41" i="21" s="1"/>
  <c r="BA26" i="21"/>
  <c r="BH26" i="21"/>
  <c r="Q39" i="23"/>
  <c r="S39" i="23" s="1"/>
  <c r="AW39" i="23"/>
  <c r="BU24" i="21"/>
  <c r="BN24" i="21"/>
  <c r="BH35" i="23"/>
  <c r="BA35" i="23"/>
  <c r="BU23" i="25"/>
  <c r="BL47" i="25"/>
  <c r="Q38" i="28"/>
  <c r="S38" i="28" s="1"/>
  <c r="AW38" i="28"/>
  <c r="Q24" i="23"/>
  <c r="S24" i="23" s="1"/>
  <c r="AW24" i="23"/>
  <c r="BH36" i="25"/>
  <c r="BA36" i="25"/>
  <c r="BH41" i="21"/>
  <c r="BA41" i="21"/>
  <c r="Q37" i="25"/>
  <c r="S37" i="25" s="1"/>
  <c r="AW37" i="25"/>
  <c r="BU27" i="23"/>
  <c r="BN27" i="23"/>
  <c r="BM22" i="21"/>
  <c r="BV22" i="21" s="1"/>
  <c r="BV46" i="21"/>
  <c r="Z46" i="21" s="1"/>
  <c r="BA32" i="25"/>
  <c r="BH32" i="25"/>
  <c r="BU31" i="28"/>
  <c r="BN31" i="28"/>
  <c r="BH26" i="28"/>
  <c r="U26" i="28" s="1"/>
  <c r="W26" i="28" s="1"/>
  <c r="BA26" i="28"/>
  <c r="BU44" i="28"/>
  <c r="BN44" i="28"/>
  <c r="BI28" i="24"/>
  <c r="AZ47" i="24"/>
  <c r="BA36" i="23"/>
  <c r="BH36" i="23"/>
  <c r="BH37" i="23"/>
  <c r="BA37" i="23"/>
  <c r="AW24" i="25"/>
  <c r="Q24" i="25"/>
  <c r="S24" i="25" s="1"/>
  <c r="BH39" i="27"/>
  <c r="BG25" i="2"/>
  <c r="BH25" i="2"/>
  <c r="V25" i="20"/>
  <c r="W25" i="20" s="1"/>
  <c r="BJ25" i="20"/>
  <c r="AU22" i="23"/>
  <c r="AW22" i="23" s="1"/>
  <c r="AN22" i="23"/>
  <c r="BA42" i="25"/>
  <c r="R23" i="21"/>
  <c r="R47" i="21" s="1"/>
  <c r="AV47" i="21"/>
  <c r="Q37" i="23"/>
  <c r="S37" i="23" s="1"/>
  <c r="AW37" i="23"/>
  <c r="BN28" i="28"/>
  <c r="BU28" i="28"/>
  <c r="Q46" i="23"/>
  <c r="S46" i="23" s="1"/>
  <c r="AW46" i="23"/>
  <c r="BN36" i="24"/>
  <c r="Q41" i="25"/>
  <c r="S41" i="25" s="1"/>
  <c r="AW41" i="25"/>
  <c r="BH27" i="25"/>
  <c r="BA27" i="25"/>
  <c r="BH30" i="28"/>
  <c r="BA30" i="28"/>
  <c r="BA32" i="27"/>
  <c r="BH34" i="24"/>
  <c r="BA34" i="24"/>
  <c r="AZ22" i="27"/>
  <c r="BI46" i="27"/>
  <c r="BJ46" i="27" s="1"/>
  <c r="BU46" i="25"/>
  <c r="BN46" i="25"/>
  <c r="BL22" i="25"/>
  <c r="Y33" i="20"/>
  <c r="AA33" i="20" s="1"/>
  <c r="BW33" i="20"/>
  <c r="BU26" i="25"/>
  <c r="BN26" i="25"/>
  <c r="BU34" i="21"/>
  <c r="BN34" i="21"/>
  <c r="BH45" i="21"/>
  <c r="BA45" i="21"/>
  <c r="BA29" i="28"/>
  <c r="Q38" i="22"/>
  <c r="S38" i="22" s="1"/>
  <c r="AW38" i="22"/>
  <c r="BM22" i="25"/>
  <c r="BV22" i="25" s="1"/>
  <c r="BV46" i="25"/>
  <c r="Z46" i="25" s="1"/>
  <c r="BU31" i="27"/>
  <c r="BN31" i="27"/>
  <c r="BG40" i="24"/>
  <c r="BH40" i="24"/>
  <c r="Z44" i="20"/>
  <c r="AA44" i="20" s="1"/>
  <c r="BW44" i="20"/>
  <c r="BL22" i="21"/>
  <c r="BN46" i="21"/>
  <c r="BU46" i="21"/>
  <c r="BZ24" i="28"/>
  <c r="BI24" i="2"/>
  <c r="BW34" i="20"/>
  <c r="BA28" i="21"/>
  <c r="Q39" i="28"/>
  <c r="S39" i="28" s="1"/>
  <c r="AW39" i="28"/>
  <c r="BA24" i="21"/>
  <c r="BH24" i="21"/>
  <c r="Q35" i="23"/>
  <c r="S35" i="23" s="1"/>
  <c r="AW35" i="23"/>
  <c r="BA23" i="25"/>
  <c r="BY23" i="25"/>
  <c r="CB23" i="25" s="1"/>
  <c r="W102" i="25" s="1"/>
  <c r="AY47" i="25"/>
  <c r="BH38" i="25"/>
  <c r="BA38" i="25"/>
  <c r="BU46" i="24"/>
  <c r="BN46" i="24"/>
  <c r="BL22" i="24"/>
  <c r="Q25" i="28"/>
  <c r="S25" i="28" s="1"/>
  <c r="AW25" i="28"/>
  <c r="Q36" i="25"/>
  <c r="S36" i="25" s="1"/>
  <c r="AW36" i="25"/>
  <c r="BH37" i="25"/>
  <c r="BA37" i="25"/>
  <c r="Q29" i="25"/>
  <c r="S29" i="25" s="1"/>
  <c r="AW29" i="25"/>
  <c r="Q28" i="27"/>
  <c r="S28" i="27" s="1"/>
  <c r="AW28" i="27"/>
  <c r="BU46" i="28"/>
  <c r="BL22" i="28"/>
  <c r="BN46" i="28"/>
  <c r="BU41" i="21"/>
  <c r="BN41" i="21"/>
  <c r="Q31" i="28"/>
  <c r="S31" i="28" s="1"/>
  <c r="AW31" i="28"/>
  <c r="AW42" i="23"/>
  <c r="BU27" i="21"/>
  <c r="BN27" i="21"/>
  <c r="Y42" i="2"/>
  <c r="AA42" i="2" s="1"/>
  <c r="BW42" i="2"/>
  <c r="R28" i="24"/>
  <c r="AV47" i="24"/>
  <c r="BG25" i="24"/>
  <c r="BH25" i="24"/>
  <c r="AW41" i="24"/>
  <c r="Q41" i="24"/>
  <c r="S41" i="24" s="1"/>
  <c r="Q38" i="21"/>
  <c r="S38" i="21" s="1"/>
  <c r="AW38" i="21"/>
  <c r="Q32" i="25"/>
  <c r="S32" i="25" s="1"/>
  <c r="AW32" i="25"/>
  <c r="Q46" i="28"/>
  <c r="S46" i="28" s="1"/>
  <c r="AW46" i="28"/>
  <c r="BG24" i="21"/>
  <c r="AZ47" i="28"/>
  <c r="BI23" i="28"/>
  <c r="V23" i="28" s="1"/>
  <c r="BU34" i="23"/>
  <c r="BN34" i="23"/>
  <c r="BU39" i="21"/>
  <c r="BN39" i="21"/>
  <c r="BG43" i="20"/>
  <c r="BH43" i="20"/>
  <c r="Q42" i="28"/>
  <c r="S42" i="28" s="1"/>
  <c r="AW42" i="28"/>
  <c r="BI46" i="28"/>
  <c r="BI22" i="28" s="1"/>
  <c r="BN34" i="24"/>
  <c r="BU34" i="24"/>
  <c r="BA36" i="28"/>
  <c r="Q40" i="21"/>
  <c r="S40" i="21" s="1"/>
  <c r="AW40" i="21"/>
  <c r="AW46" i="25"/>
  <c r="Q46" i="25"/>
  <c r="S46" i="25" s="1"/>
  <c r="BA39" i="25"/>
  <c r="BH39" i="25"/>
  <c r="BH26" i="25"/>
  <c r="BA26" i="25"/>
  <c r="BA34" i="21"/>
  <c r="Q45" i="21"/>
  <c r="S45" i="21" s="1"/>
  <c r="AW45" i="21"/>
  <c r="R32" i="24"/>
  <c r="S32" i="24" s="1"/>
  <c r="AW32" i="24"/>
  <c r="BA26" i="23"/>
  <c r="BE22" i="27"/>
  <c r="BG22" i="27" s="1"/>
  <c r="BG46" i="27"/>
  <c r="Q29" i="28"/>
  <c r="S29" i="28" s="1"/>
  <c r="AW29" i="28"/>
  <c r="Y40" i="20"/>
  <c r="AA40" i="20" s="1"/>
  <c r="BW40" i="20"/>
  <c r="BH31" i="27"/>
  <c r="BA31" i="27"/>
  <c r="Q45" i="27"/>
  <c r="S45" i="27" s="1"/>
  <c r="AW45" i="27"/>
  <c r="AU22" i="21"/>
  <c r="AW22" i="21" s="1"/>
  <c r="AN22" i="21"/>
  <c r="BH45" i="23"/>
  <c r="BA45" i="23"/>
  <c r="BA39" i="28"/>
  <c r="BH39" i="28"/>
  <c r="U39" i="28" s="1"/>
  <c r="BH33" i="23"/>
  <c r="U33" i="23" s="1"/>
  <c r="BA33" i="23"/>
  <c r="Q28" i="23"/>
  <c r="S28" i="23" s="1"/>
  <c r="AW28" i="23"/>
  <c r="AU22" i="24"/>
  <c r="AW22" i="24" s="1"/>
  <c r="AN22" i="24"/>
  <c r="BU25" i="28"/>
  <c r="BN25" i="28"/>
  <c r="BH29" i="25"/>
  <c r="BA29" i="25"/>
  <c r="BN35" i="24"/>
  <c r="BU35" i="24"/>
  <c r="BU43" i="28"/>
  <c r="BN43" i="28"/>
  <c r="BI41" i="27"/>
  <c r="V41" i="27" s="1"/>
  <c r="Y42" i="23"/>
  <c r="AA42" i="23" s="1"/>
  <c r="BW42" i="23"/>
  <c r="BA46" i="23"/>
  <c r="BA22" i="23" s="1"/>
  <c r="AY22" i="23"/>
  <c r="BH46" i="23"/>
  <c r="BH43" i="23"/>
  <c r="BA43" i="23"/>
  <c r="Q36" i="23"/>
  <c r="S36" i="23" s="1"/>
  <c r="AW36" i="23"/>
  <c r="BA42" i="27"/>
  <c r="BI42" i="27"/>
  <c r="V42" i="27" s="1"/>
  <c r="BH23" i="27"/>
  <c r="BH45" i="24"/>
  <c r="BA45" i="24"/>
  <c r="BH44" i="23"/>
  <c r="BA44" i="23"/>
  <c r="BU32" i="25"/>
  <c r="BN32" i="25"/>
  <c r="BV23" i="28"/>
  <c r="BM47" i="28"/>
  <c r="BA25" i="28"/>
  <c r="Q26" i="28"/>
  <c r="S26" i="28" s="1"/>
  <c r="AW26" i="28"/>
  <c r="Q45" i="28"/>
  <c r="S45" i="28" s="1"/>
  <c r="AW45" i="28"/>
  <c r="BU24" i="25"/>
  <c r="BN24" i="25"/>
  <c r="Z24" i="2"/>
  <c r="BW24" i="2"/>
  <c r="BN45" i="28"/>
  <c r="BU45" i="28"/>
  <c r="AW34" i="24"/>
  <c r="Q34" i="24"/>
  <c r="S34" i="24" s="1"/>
  <c r="BN36" i="28"/>
  <c r="BU36" i="28"/>
  <c r="Q39" i="25"/>
  <c r="S39" i="25" s="1"/>
  <c r="AW39" i="25"/>
  <c r="Q24" i="24"/>
  <c r="S24" i="24" s="1"/>
  <c r="AW24" i="24"/>
  <c r="BU45" i="21"/>
  <c r="BN45" i="21"/>
  <c r="BV32" i="24"/>
  <c r="BN32" i="24"/>
  <c r="Q27" i="28"/>
  <c r="S27" i="28" s="1"/>
  <c r="AW27" i="28"/>
  <c r="AN47" i="28"/>
  <c r="BU28" i="24"/>
  <c r="BN28" i="24"/>
  <c r="AZ22" i="25"/>
  <c r="BI46" i="25"/>
  <c r="Q32" i="21"/>
  <c r="S32" i="21" s="1"/>
  <c r="AW32" i="21"/>
  <c r="BM22" i="23"/>
  <c r="BV22" i="23" s="1"/>
  <c r="BV46" i="23"/>
  <c r="Z46" i="23" s="1"/>
  <c r="AY22" i="21"/>
  <c r="BH46" i="21"/>
  <c r="BA46" i="21"/>
  <c r="BA22" i="21" s="1"/>
  <c r="BI39" i="24"/>
  <c r="BA39" i="24"/>
  <c r="Q45" i="23"/>
  <c r="S45" i="23" s="1"/>
  <c r="AW45" i="23"/>
  <c r="Q28" i="21"/>
  <c r="S28" i="21" s="1"/>
  <c r="AW28" i="21"/>
  <c r="Q24" i="21"/>
  <c r="S24" i="21" s="1"/>
  <c r="AW24" i="21"/>
  <c r="BH34" i="28"/>
  <c r="BA34" i="28"/>
  <c r="BU35" i="23"/>
  <c r="BN35" i="23"/>
  <c r="BU33" i="23"/>
  <c r="BN33" i="23"/>
  <c r="Q23" i="25"/>
  <c r="AW23" i="25"/>
  <c r="AU47" i="25"/>
  <c r="BW36" i="2"/>
  <c r="BN28" i="23"/>
  <c r="BU28" i="23"/>
  <c r="BU38" i="25"/>
  <c r="BN38" i="25"/>
  <c r="BH46" i="24"/>
  <c r="AY22" i="24"/>
  <c r="BA46" i="24"/>
  <c r="BA22" i="24" s="1"/>
  <c r="Q34" i="25"/>
  <c r="S34" i="25" s="1"/>
  <c r="AW34" i="25"/>
  <c r="V43" i="22"/>
  <c r="W43" i="22" s="1"/>
  <c r="BJ43" i="22"/>
  <c r="U43" i="2"/>
  <c r="W43" i="2" s="1"/>
  <c r="BJ43" i="2"/>
  <c r="BG47" i="23"/>
  <c r="L46" i="23" s="1"/>
  <c r="BJ39" i="2"/>
  <c r="Y41" i="22"/>
  <c r="AA41" i="22" s="1"/>
  <c r="BW41" i="22"/>
  <c r="Z27" i="27"/>
  <c r="BW27" i="27"/>
  <c r="Y45" i="27"/>
  <c r="AA45" i="27" s="1"/>
  <c r="BW45" i="27"/>
  <c r="BJ38" i="21"/>
  <c r="U25" i="22"/>
  <c r="W25" i="22" s="1"/>
  <c r="BJ25" i="22"/>
  <c r="Y46" i="27"/>
  <c r="AA46" i="27" s="1"/>
  <c r="BW46" i="27"/>
  <c r="BJ42" i="23"/>
  <c r="U25" i="26"/>
  <c r="BJ25" i="26"/>
  <c r="U27" i="20"/>
  <c r="W27" i="20" s="1"/>
  <c r="BJ27" i="20"/>
  <c r="W42" i="23"/>
  <c r="Y41" i="27"/>
  <c r="S28" i="22"/>
  <c r="BW44" i="27"/>
  <c r="Y44" i="27"/>
  <c r="AA44" i="27" s="1"/>
  <c r="BJ28" i="21"/>
  <c r="U28" i="21"/>
  <c r="W28" i="21" s="1"/>
  <c r="BJ42" i="26"/>
  <c r="U42" i="26"/>
  <c r="W42" i="26" s="1"/>
  <c r="BJ41" i="22"/>
  <c r="U41" i="22"/>
  <c r="W41" i="22" s="1"/>
  <c r="V38" i="23"/>
  <c r="BJ40" i="22"/>
  <c r="V41" i="26"/>
  <c r="W41" i="26" s="1"/>
  <c r="BJ41" i="26"/>
  <c r="V33" i="21"/>
  <c r="V25" i="28"/>
  <c r="W25" i="28" s="1"/>
  <c r="BJ25" i="28"/>
  <c r="Y29" i="27"/>
  <c r="BW29" i="27"/>
  <c r="AA102" i="20"/>
  <c r="CA24" i="20"/>
  <c r="Y31" i="22"/>
  <c r="AA31" i="22" s="1"/>
  <c r="BW31" i="22"/>
  <c r="U36" i="26"/>
  <c r="W36" i="26" s="1"/>
  <c r="BJ36" i="26"/>
  <c r="CA24" i="26"/>
  <c r="AA102" i="26"/>
  <c r="BH22" i="27"/>
  <c r="U46" i="27"/>
  <c r="U39" i="20"/>
  <c r="W39" i="20" s="1"/>
  <c r="BJ39" i="20"/>
  <c r="Y28" i="22"/>
  <c r="AA28" i="22" s="1"/>
  <c r="BW28" i="22"/>
  <c r="V44" i="26"/>
  <c r="W44" i="26" s="1"/>
  <c r="BJ44" i="26"/>
  <c r="BW34" i="22"/>
  <c r="Y34" i="22"/>
  <c r="AA34" i="22" s="1"/>
  <c r="V34" i="2"/>
  <c r="W34" i="2" s="1"/>
  <c r="BJ34" i="2"/>
  <c r="U42" i="25"/>
  <c r="W42" i="25" s="1"/>
  <c r="BJ42" i="25"/>
  <c r="U35" i="27"/>
  <c r="W35" i="27" s="1"/>
  <c r="BJ35" i="27"/>
  <c r="U27" i="23"/>
  <c r="W27" i="23" s="1"/>
  <c r="BJ27" i="23"/>
  <c r="BY24" i="22"/>
  <c r="Y102" i="22"/>
  <c r="BJ39" i="26"/>
  <c r="U39" i="26"/>
  <c r="W39" i="26" s="1"/>
  <c r="W40" i="22"/>
  <c r="Y44" i="22"/>
  <c r="AA44" i="22" s="1"/>
  <c r="BW44" i="22"/>
  <c r="BW46" i="22"/>
  <c r="U28" i="22"/>
  <c r="U45" i="22"/>
  <c r="W45" i="22" s="1"/>
  <c r="V36" i="27"/>
  <c r="Y45" i="22"/>
  <c r="BW45" i="22"/>
  <c r="U41" i="27"/>
  <c r="U23" i="25"/>
  <c r="U31" i="23"/>
  <c r="W31" i="23" s="1"/>
  <c r="BJ31" i="23"/>
  <c r="Y39" i="27"/>
  <c r="AA39" i="27" s="1"/>
  <c r="BW39" i="27"/>
  <c r="BW37" i="27"/>
  <c r="Y37" i="27"/>
  <c r="AA37" i="27" s="1"/>
  <c r="Y26" i="22"/>
  <c r="AA26" i="22" s="1"/>
  <c r="BW26" i="22"/>
  <c r="BJ30" i="26"/>
  <c r="U30" i="26"/>
  <c r="W30" i="26" s="1"/>
  <c r="BN22" i="27"/>
  <c r="BU22" i="27"/>
  <c r="BW22" i="27" s="1"/>
  <c r="Y24" i="22"/>
  <c r="U44" i="22"/>
  <c r="Z103" i="25"/>
  <c r="BZ25" i="25"/>
  <c r="U26" i="23"/>
  <c r="W26" i="23" s="1"/>
  <c r="BJ26" i="23"/>
  <c r="V33" i="27"/>
  <c r="BJ33" i="27"/>
  <c r="U25" i="23"/>
  <c r="W25" i="23" s="1"/>
  <c r="BJ25" i="23"/>
  <c r="Y43" i="27"/>
  <c r="AA43" i="27" s="1"/>
  <c r="BW43" i="27"/>
  <c r="U43" i="27"/>
  <c r="CA24" i="25"/>
  <c r="AA102" i="25"/>
  <c r="V39" i="28"/>
  <c r="V40" i="25"/>
  <c r="V32" i="28"/>
  <c r="R47" i="22"/>
  <c r="BJ24" i="22"/>
  <c r="U24" i="22"/>
  <c r="W24" i="22" s="1"/>
  <c r="Z36" i="27"/>
  <c r="AA36" i="27" s="1"/>
  <c r="BW36" i="27"/>
  <c r="V33" i="23"/>
  <c r="V29" i="2"/>
  <c r="BJ29" i="2"/>
  <c r="V30" i="20"/>
  <c r="W30" i="20" s="1"/>
  <c r="BJ30" i="20"/>
  <c r="BZ26" i="2"/>
  <c r="Z104" i="2"/>
  <c r="Z104" i="20"/>
  <c r="BZ26" i="20"/>
  <c r="CA26" i="23"/>
  <c r="CL20" i="9"/>
  <c r="F91" i="9" s="1"/>
  <c r="CM22" i="9"/>
  <c r="G93" i="9" s="1"/>
  <c r="CK17" i="9"/>
  <c r="CN16" i="9"/>
  <c r="C87" i="9" s="1"/>
  <c r="E87" i="9"/>
  <c r="BY20" i="9"/>
  <c r="CA36" i="9"/>
  <c r="BG20" i="9"/>
  <c r="BI28" i="9"/>
  <c r="BH29" i="9"/>
  <c r="BR27" i="9"/>
  <c r="BQ29" i="9"/>
  <c r="BP18" i="9"/>
  <c r="BW22" i="9"/>
  <c r="BN21" i="9"/>
  <c r="CB19" i="9"/>
  <c r="BO25" i="9"/>
  <c r="BU24" i="9"/>
  <c r="BM18" i="9"/>
  <c r="CD24" i="9"/>
  <c r="BV18" i="9"/>
  <c r="CC24" i="9"/>
  <c r="BT21" i="9"/>
  <c r="BL23" i="9"/>
  <c r="BS18" i="9"/>
  <c r="BK23" i="9"/>
  <c r="BJ18" i="9"/>
  <c r="BX24" i="9"/>
  <c r="AA104" i="28" l="1"/>
  <c r="BW31" i="2"/>
  <c r="BJ43" i="26"/>
  <c r="V29" i="26"/>
  <c r="W29" i="26" s="1"/>
  <c r="BW46" i="20"/>
  <c r="AB31" i="26"/>
  <c r="Y103" i="26"/>
  <c r="BW35" i="2"/>
  <c r="BN22" i="2"/>
  <c r="CA27" i="28"/>
  <c r="AA106" i="28" s="1"/>
  <c r="BJ29" i="27"/>
  <c r="U38" i="26"/>
  <c r="W38" i="26" s="1"/>
  <c r="BW33" i="26"/>
  <c r="V46" i="20"/>
  <c r="V47" i="20" s="1"/>
  <c r="BJ44" i="22"/>
  <c r="W44" i="22"/>
  <c r="BJ31" i="26"/>
  <c r="BJ36" i="27"/>
  <c r="U37" i="22"/>
  <c r="W37" i="22" s="1"/>
  <c r="BJ40" i="26"/>
  <c r="BJ33" i="28"/>
  <c r="BW22" i="20"/>
  <c r="U32" i="26"/>
  <c r="W32" i="26" s="1"/>
  <c r="V46" i="23"/>
  <c r="V47" i="23" s="1"/>
  <c r="BJ38" i="22"/>
  <c r="W36" i="27"/>
  <c r="BJ45" i="22"/>
  <c r="BI47" i="26"/>
  <c r="BY24" i="20"/>
  <c r="Y103" i="20" s="1"/>
  <c r="BN47" i="2"/>
  <c r="M45" i="2" s="1"/>
  <c r="M47" i="2" s="1"/>
  <c r="BA47" i="26"/>
  <c r="L45" i="26" s="1"/>
  <c r="L47" i="26" s="1"/>
  <c r="BA47" i="22"/>
  <c r="L45" i="22" s="1"/>
  <c r="CB23" i="20"/>
  <c r="W102" i="20" s="1"/>
  <c r="BJ23" i="20"/>
  <c r="W30" i="22"/>
  <c r="BJ27" i="27"/>
  <c r="AA24" i="22"/>
  <c r="Y29" i="22"/>
  <c r="AA29" i="22" s="1"/>
  <c r="BW40" i="26"/>
  <c r="BN47" i="26"/>
  <c r="M45" i="26" s="1"/>
  <c r="M47" i="26" s="1"/>
  <c r="BI47" i="23"/>
  <c r="BW46" i="2"/>
  <c r="AW47" i="26"/>
  <c r="BA47" i="2"/>
  <c r="L45" i="2" s="1"/>
  <c r="AW47" i="2"/>
  <c r="U46" i="2"/>
  <c r="Y102" i="27"/>
  <c r="BJ32" i="2"/>
  <c r="BH47" i="26"/>
  <c r="BJ32" i="28"/>
  <c r="BU47" i="2"/>
  <c r="U27" i="27"/>
  <c r="W27" i="27" s="1"/>
  <c r="BJ37" i="26"/>
  <c r="Y40" i="24"/>
  <c r="AA40" i="24" s="1"/>
  <c r="BW40" i="24"/>
  <c r="BW25" i="24"/>
  <c r="BW24" i="22"/>
  <c r="BJ38" i="2"/>
  <c r="CB23" i="27"/>
  <c r="W102" i="27" s="1"/>
  <c r="BJ33" i="22"/>
  <c r="BV47" i="22"/>
  <c r="W32" i="28"/>
  <c r="BJ30" i="22"/>
  <c r="BW24" i="20"/>
  <c r="BG47" i="21"/>
  <c r="L46" i="21" s="1"/>
  <c r="U44" i="20"/>
  <c r="W44" i="20" s="1"/>
  <c r="R47" i="2"/>
  <c r="BW22" i="2"/>
  <c r="Q47" i="26"/>
  <c r="BG47" i="25"/>
  <c r="L46" i="25" s="1"/>
  <c r="Q47" i="2"/>
  <c r="BW43" i="20"/>
  <c r="Y103" i="2"/>
  <c r="BY25" i="2"/>
  <c r="AA43" i="20"/>
  <c r="BA47" i="27"/>
  <c r="L45" i="27" s="1"/>
  <c r="BZ25" i="23"/>
  <c r="Z104" i="23" s="1"/>
  <c r="W31" i="22"/>
  <c r="AW47" i="22"/>
  <c r="BG47" i="28"/>
  <c r="L46" i="28" s="1"/>
  <c r="BU47" i="27"/>
  <c r="BJ33" i="20"/>
  <c r="Y33" i="22"/>
  <c r="AA33" i="22" s="1"/>
  <c r="BW33" i="22"/>
  <c r="BG47" i="20"/>
  <c r="L46" i="20" s="1"/>
  <c r="S47" i="26"/>
  <c r="U46" i="26"/>
  <c r="W46" i="26" s="1"/>
  <c r="BH22" i="26"/>
  <c r="BJ22" i="26" s="1"/>
  <c r="BN47" i="20"/>
  <c r="M45" i="20" s="1"/>
  <c r="M47" i="20" s="1"/>
  <c r="V46" i="28"/>
  <c r="BJ44" i="27"/>
  <c r="BV47" i="20"/>
  <c r="U31" i="20"/>
  <c r="W31" i="20" s="1"/>
  <c r="U26" i="22"/>
  <c r="W26" i="22" s="1"/>
  <c r="BJ26" i="22"/>
  <c r="Z105" i="21"/>
  <c r="BJ31" i="22"/>
  <c r="BJ26" i="28"/>
  <c r="AB40" i="26"/>
  <c r="AW47" i="20"/>
  <c r="U32" i="22"/>
  <c r="W32" i="22" s="1"/>
  <c r="BJ32" i="22"/>
  <c r="R47" i="23"/>
  <c r="BJ43" i="27"/>
  <c r="U29" i="22"/>
  <c r="W29" i="22" s="1"/>
  <c r="BJ34" i="20"/>
  <c r="Y36" i="22"/>
  <c r="AA36" i="22" s="1"/>
  <c r="BW36" i="22"/>
  <c r="BW35" i="27"/>
  <c r="BJ36" i="2"/>
  <c r="Y41" i="26"/>
  <c r="AA41" i="26" s="1"/>
  <c r="AB46" i="26" s="1"/>
  <c r="BW41" i="26"/>
  <c r="R47" i="24"/>
  <c r="AB40" i="2"/>
  <c r="W43" i="27"/>
  <c r="Q47" i="22"/>
  <c r="BW41" i="27"/>
  <c r="BJ31" i="25"/>
  <c r="BW45" i="20"/>
  <c r="AA41" i="27"/>
  <c r="BG47" i="24"/>
  <c r="L46" i="24" s="1"/>
  <c r="BA47" i="20"/>
  <c r="L45" i="20" s="1"/>
  <c r="Y35" i="20"/>
  <c r="AA35" i="20" s="1"/>
  <c r="BW35" i="20"/>
  <c r="BU47" i="22"/>
  <c r="BN47" i="22"/>
  <c r="M45" i="22" s="1"/>
  <c r="M47" i="22" s="1"/>
  <c r="BU47" i="26"/>
  <c r="W40" i="25"/>
  <c r="W26" i="20"/>
  <c r="Z104" i="27"/>
  <c r="BJ46" i="28"/>
  <c r="Y39" i="20"/>
  <c r="AA39" i="20" s="1"/>
  <c r="BW39" i="20"/>
  <c r="BN47" i="27"/>
  <c r="M45" i="27" s="1"/>
  <c r="M47" i="27" s="1"/>
  <c r="BJ40" i="2"/>
  <c r="U40" i="2"/>
  <c r="W40" i="2" s="1"/>
  <c r="U40" i="20"/>
  <c r="W40" i="20" s="1"/>
  <c r="W46" i="22"/>
  <c r="BI47" i="20"/>
  <c r="U24" i="20"/>
  <c r="W24" i="20" s="1"/>
  <c r="BJ24" i="20"/>
  <c r="BJ36" i="24"/>
  <c r="U36" i="24"/>
  <c r="W36" i="24" s="1"/>
  <c r="W23" i="25"/>
  <c r="BG47" i="22"/>
  <c r="L46" i="22" s="1"/>
  <c r="L47" i="22" s="1"/>
  <c r="S47" i="27"/>
  <c r="BZ25" i="22"/>
  <c r="Z103" i="22"/>
  <c r="Y23" i="20"/>
  <c r="BW23" i="20"/>
  <c r="BJ33" i="23"/>
  <c r="CB23" i="22"/>
  <c r="W102" i="22" s="1"/>
  <c r="U30" i="21"/>
  <c r="W30" i="21" s="1"/>
  <c r="BJ26" i="20"/>
  <c r="S47" i="22"/>
  <c r="BH47" i="23"/>
  <c r="BH47" i="25"/>
  <c r="BW40" i="25"/>
  <c r="Z47" i="22"/>
  <c r="BJ23" i="25"/>
  <c r="AA40" i="25"/>
  <c r="BU47" i="20"/>
  <c r="BJ41" i="27"/>
  <c r="BG47" i="2"/>
  <c r="L46" i="2" s="1"/>
  <c r="BI47" i="27"/>
  <c r="BH22" i="22"/>
  <c r="Y30" i="20"/>
  <c r="AA30" i="20" s="1"/>
  <c r="BW30" i="20"/>
  <c r="BJ40" i="25"/>
  <c r="BJ33" i="21"/>
  <c r="W41" i="27"/>
  <c r="AB43" i="2"/>
  <c r="AB37" i="2"/>
  <c r="AA45" i="22"/>
  <c r="BH47" i="22"/>
  <c r="Q47" i="20"/>
  <c r="BI47" i="22"/>
  <c r="AB39" i="2"/>
  <c r="W42" i="27"/>
  <c r="S47" i="20"/>
  <c r="BN47" i="28"/>
  <c r="M45" i="28" s="1"/>
  <c r="M47" i="28" s="1"/>
  <c r="U35" i="23"/>
  <c r="W35" i="23" s="1"/>
  <c r="BJ35" i="23"/>
  <c r="U32" i="21"/>
  <c r="W32" i="21" s="1"/>
  <c r="BJ32" i="21"/>
  <c r="Y39" i="25"/>
  <c r="AA39" i="25" s="1"/>
  <c r="BW39" i="25"/>
  <c r="BJ45" i="21"/>
  <c r="U45" i="21"/>
  <c r="W45" i="21" s="1"/>
  <c r="Z26" i="23"/>
  <c r="AA26" i="23" s="1"/>
  <c r="BW26" i="23"/>
  <c r="BJ32" i="24"/>
  <c r="U32" i="24"/>
  <c r="W32" i="24" s="1"/>
  <c r="Y24" i="21"/>
  <c r="AA24" i="21" s="1"/>
  <c r="BW24" i="21"/>
  <c r="BN47" i="24"/>
  <c r="M45" i="24" s="1"/>
  <c r="M47" i="24" s="1"/>
  <c r="U32" i="23"/>
  <c r="W32" i="23" s="1"/>
  <c r="BJ32" i="23"/>
  <c r="Y23" i="28"/>
  <c r="BW23" i="28"/>
  <c r="BU47" i="28"/>
  <c r="Q47" i="27"/>
  <c r="Y44" i="21"/>
  <c r="AA44" i="21" s="1"/>
  <c r="BW44" i="21"/>
  <c r="Z39" i="24"/>
  <c r="AA39" i="24" s="1"/>
  <c r="BW39" i="24"/>
  <c r="Y39" i="21"/>
  <c r="AA39" i="21" s="1"/>
  <c r="BW39" i="21"/>
  <c r="Y27" i="23"/>
  <c r="AA27" i="23" s="1"/>
  <c r="BW27" i="23"/>
  <c r="AB34" i="26"/>
  <c r="AB24" i="26"/>
  <c r="AB33" i="26"/>
  <c r="AB27" i="26"/>
  <c r="AB30" i="26"/>
  <c r="AB29" i="26"/>
  <c r="AB28" i="26"/>
  <c r="BW45" i="25"/>
  <c r="Y45" i="25"/>
  <c r="AA45" i="25" s="1"/>
  <c r="Z104" i="24"/>
  <c r="BZ26" i="24"/>
  <c r="U25" i="21"/>
  <c r="W25" i="21" s="1"/>
  <c r="BJ25" i="21"/>
  <c r="BW35" i="24"/>
  <c r="Y35" i="24"/>
  <c r="AA35" i="24" s="1"/>
  <c r="BA47" i="21"/>
  <c r="L45" i="21" s="1"/>
  <c r="AW47" i="28"/>
  <c r="U40" i="27"/>
  <c r="W40" i="27" s="1"/>
  <c r="BJ40" i="27"/>
  <c r="BW25" i="25"/>
  <c r="Y25" i="25"/>
  <c r="AA25" i="25" s="1"/>
  <c r="BJ35" i="25"/>
  <c r="W28" i="22"/>
  <c r="BJ31" i="27"/>
  <c r="U31" i="27"/>
  <c r="W31" i="27" s="1"/>
  <c r="U42" i="20"/>
  <c r="W42" i="20" s="1"/>
  <c r="BJ42" i="20"/>
  <c r="BJ37" i="27"/>
  <c r="U37" i="27"/>
  <c r="W37" i="27" s="1"/>
  <c r="V46" i="27"/>
  <c r="V47" i="27" s="1"/>
  <c r="BI22" i="27"/>
  <c r="BJ22" i="27" s="1"/>
  <c r="Y30" i="28"/>
  <c r="AA30" i="28" s="1"/>
  <c r="BW30" i="28"/>
  <c r="U38" i="28"/>
  <c r="W38" i="28" s="1"/>
  <c r="BJ38" i="28"/>
  <c r="BH22" i="20"/>
  <c r="BJ22" i="20" s="1"/>
  <c r="U46" i="20"/>
  <c r="BJ46" i="20"/>
  <c r="Y35" i="28"/>
  <c r="AA35" i="28" s="1"/>
  <c r="BW35" i="28"/>
  <c r="BI22" i="21"/>
  <c r="V46" i="21"/>
  <c r="U29" i="21"/>
  <c r="W29" i="21" s="1"/>
  <c r="BJ29" i="21"/>
  <c r="BJ29" i="24"/>
  <c r="U29" i="24"/>
  <c r="W29" i="24" s="1"/>
  <c r="AB36" i="2"/>
  <c r="Y25" i="28"/>
  <c r="AA25" i="28" s="1"/>
  <c r="BW25" i="28"/>
  <c r="BW34" i="24"/>
  <c r="Y34" i="24"/>
  <c r="AA34" i="24" s="1"/>
  <c r="BA47" i="25"/>
  <c r="L45" i="25" s="1"/>
  <c r="BW44" i="28"/>
  <c r="Y44" i="28"/>
  <c r="AA44" i="28" s="1"/>
  <c r="BA47" i="24"/>
  <c r="L45" i="24" s="1"/>
  <c r="Y37" i="23"/>
  <c r="AA37" i="23" s="1"/>
  <c r="BW37" i="23"/>
  <c r="Y38" i="22"/>
  <c r="AA38" i="22" s="1"/>
  <c r="BW38" i="22"/>
  <c r="Z23" i="21"/>
  <c r="Z47" i="21" s="1"/>
  <c r="BV47" i="21"/>
  <c r="U28" i="25"/>
  <c r="W28" i="25" s="1"/>
  <c r="BJ28" i="25"/>
  <c r="Y38" i="28"/>
  <c r="AA38" i="28" s="1"/>
  <c r="BW38" i="28"/>
  <c r="Y37" i="28"/>
  <c r="AA37" i="28" s="1"/>
  <c r="BW37" i="28"/>
  <c r="Y43" i="21"/>
  <c r="AA43" i="21" s="1"/>
  <c r="BW43" i="21"/>
  <c r="BJ42" i="27"/>
  <c r="U30" i="24"/>
  <c r="W30" i="24" s="1"/>
  <c r="BJ30" i="24"/>
  <c r="W40" i="21"/>
  <c r="U26" i="27"/>
  <c r="W26" i="27" s="1"/>
  <c r="BJ26" i="27"/>
  <c r="BH22" i="21"/>
  <c r="U46" i="21"/>
  <c r="BJ46" i="21"/>
  <c r="BJ25" i="2"/>
  <c r="U25" i="2"/>
  <c r="W25" i="2" s="1"/>
  <c r="S23" i="24"/>
  <c r="Q47" i="24"/>
  <c r="U37" i="25"/>
  <c r="W37" i="25" s="1"/>
  <c r="BJ37" i="25"/>
  <c r="Y37" i="25"/>
  <c r="AA37" i="25" s="1"/>
  <c r="BW37" i="25"/>
  <c r="Y33" i="21"/>
  <c r="AA33" i="21" s="1"/>
  <c r="BW33" i="21"/>
  <c r="Y42" i="25"/>
  <c r="AA42" i="25" s="1"/>
  <c r="BW42" i="25"/>
  <c r="Y41" i="28"/>
  <c r="AA41" i="28" s="1"/>
  <c r="BW41" i="28"/>
  <c r="Y40" i="28"/>
  <c r="AA40" i="28" s="1"/>
  <c r="BW40" i="28"/>
  <c r="Y36" i="28"/>
  <c r="AA36" i="28" s="1"/>
  <c r="BW36" i="28"/>
  <c r="U31" i="21"/>
  <c r="W31" i="21" s="1"/>
  <c r="BJ31" i="21"/>
  <c r="U24" i="28"/>
  <c r="W24" i="28" s="1"/>
  <c r="BJ24" i="28"/>
  <c r="Y28" i="25"/>
  <c r="AA28" i="25" s="1"/>
  <c r="BW28" i="25"/>
  <c r="Y34" i="25"/>
  <c r="AA34" i="25" s="1"/>
  <c r="BW34" i="25"/>
  <c r="U23" i="27"/>
  <c r="W23" i="27" s="1"/>
  <c r="BJ23" i="27"/>
  <c r="BW28" i="24"/>
  <c r="Y28" i="24"/>
  <c r="BW31" i="27"/>
  <c r="Y31" i="27"/>
  <c r="AA31" i="27" s="1"/>
  <c r="BW38" i="21"/>
  <c r="Y38" i="21"/>
  <c r="AA38" i="21" s="1"/>
  <c r="AB46" i="2"/>
  <c r="BH47" i="27"/>
  <c r="Z47" i="2"/>
  <c r="AA24" i="2"/>
  <c r="BU22" i="28"/>
  <c r="BW22" i="28" s="1"/>
  <c r="BN22" i="28"/>
  <c r="U34" i="24"/>
  <c r="W34" i="24" s="1"/>
  <c r="BJ34" i="24"/>
  <c r="AW47" i="23"/>
  <c r="U40" i="23"/>
  <c r="W40" i="23" s="1"/>
  <c r="BJ40" i="23"/>
  <c r="U39" i="23"/>
  <c r="W39" i="23" s="1"/>
  <c r="BJ39" i="23"/>
  <c r="Y27" i="25"/>
  <c r="AA27" i="25" s="1"/>
  <c r="BW27" i="25"/>
  <c r="BW41" i="24"/>
  <c r="Y41" i="24"/>
  <c r="AA41" i="24" s="1"/>
  <c r="CA24" i="22"/>
  <c r="CB24" i="22" s="1"/>
  <c r="W103" i="22" s="1"/>
  <c r="AW47" i="27"/>
  <c r="U34" i="23"/>
  <c r="W34" i="23" s="1"/>
  <c r="BJ34" i="23"/>
  <c r="BJ27" i="21"/>
  <c r="U27" i="21"/>
  <c r="W27" i="21" s="1"/>
  <c r="BW25" i="23"/>
  <c r="Y25" i="23"/>
  <c r="AA25" i="23" s="1"/>
  <c r="Z23" i="25"/>
  <c r="Z47" i="25" s="1"/>
  <c r="BV47" i="25"/>
  <c r="BJ40" i="21"/>
  <c r="U35" i="24"/>
  <c r="W35" i="24" s="1"/>
  <c r="BJ35" i="24"/>
  <c r="U25" i="27"/>
  <c r="W25" i="27" s="1"/>
  <c r="BJ25" i="27"/>
  <c r="U43" i="20"/>
  <c r="W43" i="20" s="1"/>
  <c r="BJ43" i="20"/>
  <c r="AW47" i="25"/>
  <c r="V24" i="2"/>
  <c r="W24" i="2" s="1"/>
  <c r="BJ24" i="2"/>
  <c r="BY24" i="23"/>
  <c r="Y102" i="23"/>
  <c r="CB23" i="23"/>
  <c r="W102" i="23" s="1"/>
  <c r="U42" i="28"/>
  <c r="W42" i="28" s="1"/>
  <c r="BJ42" i="28"/>
  <c r="U43" i="21"/>
  <c r="W43" i="21" s="1"/>
  <c r="BJ43" i="21"/>
  <c r="BJ39" i="28"/>
  <c r="U45" i="23"/>
  <c r="W45" i="23" s="1"/>
  <c r="BJ45" i="23"/>
  <c r="Y29" i="23"/>
  <c r="AA29" i="23" s="1"/>
  <c r="BW29" i="23"/>
  <c r="Y36" i="25"/>
  <c r="AA36" i="25" s="1"/>
  <c r="BW36" i="25"/>
  <c r="V23" i="22"/>
  <c r="W23" i="22" s="1"/>
  <c r="Y46" i="21"/>
  <c r="AA46" i="21" s="1"/>
  <c r="BW46" i="21"/>
  <c r="U35" i="2"/>
  <c r="W35" i="2" s="1"/>
  <c r="BJ35" i="2"/>
  <c r="U37" i="28"/>
  <c r="W37" i="28" s="1"/>
  <c r="BJ37" i="28"/>
  <c r="U26" i="24"/>
  <c r="W26" i="24" s="1"/>
  <c r="BJ26" i="24"/>
  <c r="Y30" i="24"/>
  <c r="AA30" i="24" s="1"/>
  <c r="BW30" i="24"/>
  <c r="BW32" i="28"/>
  <c r="Y32" i="28"/>
  <c r="AA32" i="28" s="1"/>
  <c r="S28" i="24"/>
  <c r="Y34" i="28"/>
  <c r="AA34" i="28" s="1"/>
  <c r="BW34" i="28"/>
  <c r="BI22" i="25"/>
  <c r="V46" i="25"/>
  <c r="V47" i="25" s="1"/>
  <c r="Y27" i="21"/>
  <c r="AA27" i="21" s="1"/>
  <c r="BW27" i="21"/>
  <c r="BJ36" i="23"/>
  <c r="U36" i="23"/>
  <c r="W36" i="23" s="1"/>
  <c r="U37" i="24"/>
  <c r="W37" i="24" s="1"/>
  <c r="BJ37" i="24"/>
  <c r="BW46" i="24"/>
  <c r="Y46" i="24"/>
  <c r="AA46" i="24" s="1"/>
  <c r="U34" i="28"/>
  <c r="W34" i="28" s="1"/>
  <c r="BJ34" i="28"/>
  <c r="Y24" i="23"/>
  <c r="AA24" i="23" s="1"/>
  <c r="BW24" i="23"/>
  <c r="U24" i="23"/>
  <c r="W24" i="23" s="1"/>
  <c r="BJ24" i="23"/>
  <c r="BJ43" i="24"/>
  <c r="U43" i="24"/>
  <c r="W43" i="24" s="1"/>
  <c r="BH47" i="28"/>
  <c r="Y45" i="28"/>
  <c r="AA45" i="28" s="1"/>
  <c r="BW45" i="28"/>
  <c r="BJ29" i="25"/>
  <c r="U29" i="25"/>
  <c r="W29" i="25" s="1"/>
  <c r="BW46" i="25"/>
  <c r="Y46" i="25"/>
  <c r="AA46" i="25" s="1"/>
  <c r="Z29" i="24"/>
  <c r="AA29" i="24" s="1"/>
  <c r="BW29" i="24"/>
  <c r="Y39" i="28"/>
  <c r="AA39" i="28" s="1"/>
  <c r="BW39" i="28"/>
  <c r="Y46" i="28"/>
  <c r="AA46" i="28" s="1"/>
  <c r="BW46" i="28"/>
  <c r="CB23" i="24"/>
  <c r="W102" i="24" s="1"/>
  <c r="Y102" i="24"/>
  <c r="U38" i="27"/>
  <c r="W38" i="27" s="1"/>
  <c r="BJ38" i="27"/>
  <c r="U29" i="23"/>
  <c r="W29" i="23" s="1"/>
  <c r="BJ29" i="23"/>
  <c r="U37" i="21"/>
  <c r="W37" i="21" s="1"/>
  <c r="BJ37" i="21"/>
  <c r="BJ41" i="23"/>
  <c r="U41" i="23"/>
  <c r="W41" i="23" s="1"/>
  <c r="Y30" i="25"/>
  <c r="AA30" i="25" s="1"/>
  <c r="BW30" i="25"/>
  <c r="U35" i="28"/>
  <c r="W35" i="28" s="1"/>
  <c r="BJ35" i="28"/>
  <c r="U27" i="28"/>
  <c r="W27" i="28" s="1"/>
  <c r="BJ27" i="28"/>
  <c r="BW25" i="27"/>
  <c r="Y25" i="27"/>
  <c r="BY24" i="28"/>
  <c r="Y102" i="28"/>
  <c r="CB23" i="28"/>
  <c r="W102" i="28" s="1"/>
  <c r="AW47" i="21"/>
  <c r="BW35" i="25"/>
  <c r="Y35" i="25"/>
  <c r="AA35" i="25" s="1"/>
  <c r="U28" i="28"/>
  <c r="W28" i="28" s="1"/>
  <c r="BJ28" i="28"/>
  <c r="BN47" i="21"/>
  <c r="M45" i="21" s="1"/>
  <c r="M47" i="21" s="1"/>
  <c r="U34" i="25"/>
  <c r="W34" i="25" s="1"/>
  <c r="BJ34" i="25"/>
  <c r="U39" i="27"/>
  <c r="W39" i="27" s="1"/>
  <c r="BJ39" i="27"/>
  <c r="S23" i="25"/>
  <c r="S47" i="25" s="1"/>
  <c r="Q47" i="25"/>
  <c r="Y34" i="21"/>
  <c r="AA34" i="21" s="1"/>
  <c r="BW34" i="21"/>
  <c r="Y23" i="24"/>
  <c r="BW23" i="24"/>
  <c r="BU47" i="24"/>
  <c r="Z31" i="23"/>
  <c r="AA31" i="23" s="1"/>
  <c r="BW31" i="23"/>
  <c r="U27" i="24"/>
  <c r="W27" i="24" s="1"/>
  <c r="BJ27" i="24"/>
  <c r="Y37" i="24"/>
  <c r="AA37" i="24" s="1"/>
  <c r="BW37" i="24"/>
  <c r="Y42" i="28"/>
  <c r="AA42" i="28" s="1"/>
  <c r="BW42" i="28"/>
  <c r="Y32" i="25"/>
  <c r="AA32" i="25" s="1"/>
  <c r="BW32" i="25"/>
  <c r="Y42" i="21"/>
  <c r="AA42" i="21" s="1"/>
  <c r="BW42" i="21"/>
  <c r="U37" i="23"/>
  <c r="W37" i="23" s="1"/>
  <c r="BJ37" i="23"/>
  <c r="BJ33" i="24"/>
  <c r="U33" i="24"/>
  <c r="W33" i="24" s="1"/>
  <c r="BU22" i="25"/>
  <c r="BW22" i="25" s="1"/>
  <c r="BN22" i="25"/>
  <c r="BJ45" i="27"/>
  <c r="U45" i="27"/>
  <c r="W45" i="27" s="1"/>
  <c r="U28" i="24"/>
  <c r="BJ28" i="24"/>
  <c r="Z47" i="20"/>
  <c r="Y45" i="23"/>
  <c r="AA45" i="23" s="1"/>
  <c r="BW45" i="23"/>
  <c r="AB41" i="2"/>
  <c r="Y40" i="21"/>
  <c r="AA40" i="21" s="1"/>
  <c r="BW40" i="21"/>
  <c r="BH22" i="24"/>
  <c r="BJ46" i="24"/>
  <c r="U46" i="24"/>
  <c r="AB42" i="2"/>
  <c r="BI47" i="2"/>
  <c r="Y24" i="25"/>
  <c r="AA24" i="25" s="1"/>
  <c r="BW24" i="25"/>
  <c r="U24" i="21"/>
  <c r="W24" i="21" s="1"/>
  <c r="BJ24" i="21"/>
  <c r="S23" i="23"/>
  <c r="S47" i="23" s="1"/>
  <c r="Q47" i="23"/>
  <c r="BJ23" i="24"/>
  <c r="U23" i="24"/>
  <c r="BH47" i="24"/>
  <c r="Y39" i="23"/>
  <c r="AA39" i="23" s="1"/>
  <c r="BW39" i="23"/>
  <c r="Y33" i="25"/>
  <c r="AA33" i="25" s="1"/>
  <c r="BW33" i="25"/>
  <c r="Y30" i="23"/>
  <c r="AA30" i="23" s="1"/>
  <c r="BW30" i="23"/>
  <c r="BN47" i="25"/>
  <c r="M45" i="25" s="1"/>
  <c r="M47" i="25" s="1"/>
  <c r="Y35" i="21"/>
  <c r="AA35" i="21" s="1"/>
  <c r="BW35" i="21"/>
  <c r="U40" i="28"/>
  <c r="W40" i="28" s="1"/>
  <c r="BJ40" i="28"/>
  <c r="U31" i="24"/>
  <c r="W31" i="24" s="1"/>
  <c r="BJ31" i="24"/>
  <c r="U44" i="28"/>
  <c r="W44" i="28" s="1"/>
  <c r="BJ44" i="28"/>
  <c r="BY24" i="24"/>
  <c r="U31" i="2"/>
  <c r="W31" i="2" s="1"/>
  <c r="BJ31" i="2"/>
  <c r="BJ42" i="24"/>
  <c r="U42" i="24"/>
  <c r="W42" i="24" s="1"/>
  <c r="Y23" i="23"/>
  <c r="BW23" i="23"/>
  <c r="BU47" i="23"/>
  <c r="U45" i="25"/>
  <c r="W45" i="25" s="1"/>
  <c r="BJ45" i="25"/>
  <c r="Y25" i="21"/>
  <c r="AA25" i="21" s="1"/>
  <c r="BW25" i="21"/>
  <c r="BJ30" i="23"/>
  <c r="U30" i="23"/>
  <c r="W30" i="23" s="1"/>
  <c r="U42" i="2"/>
  <c r="W42" i="2" s="1"/>
  <c r="BJ42" i="2"/>
  <c r="BJ23" i="2"/>
  <c r="U23" i="2"/>
  <c r="BH47" i="2"/>
  <c r="Y36" i="23"/>
  <c r="AA36" i="23" s="1"/>
  <c r="BW36" i="23"/>
  <c r="W39" i="28"/>
  <c r="Y26" i="25"/>
  <c r="AA26" i="25" s="1"/>
  <c r="BW26" i="25"/>
  <c r="U26" i="21"/>
  <c r="W26" i="21" s="1"/>
  <c r="BJ26" i="21"/>
  <c r="Y36" i="21"/>
  <c r="AA36" i="21" s="1"/>
  <c r="BW36" i="21"/>
  <c r="BJ46" i="25"/>
  <c r="BH22" i="25"/>
  <c r="U46" i="25"/>
  <c r="Y31" i="25"/>
  <c r="AA31" i="25" s="1"/>
  <c r="BW31" i="25"/>
  <c r="BJ38" i="23"/>
  <c r="Y33" i="28"/>
  <c r="AA33" i="28" s="1"/>
  <c r="BW33" i="28"/>
  <c r="AB38" i="2"/>
  <c r="U43" i="25"/>
  <c r="W43" i="25" s="1"/>
  <c r="BJ43" i="25"/>
  <c r="U44" i="25"/>
  <c r="W44" i="25" s="1"/>
  <c r="BJ44" i="25"/>
  <c r="U38" i="25"/>
  <c r="W38" i="25" s="1"/>
  <c r="BJ38" i="25"/>
  <c r="U28" i="27"/>
  <c r="W28" i="27" s="1"/>
  <c r="BJ28" i="27"/>
  <c r="BI22" i="22"/>
  <c r="Y102" i="25"/>
  <c r="BY24" i="25"/>
  <c r="CB24" i="25" s="1"/>
  <c r="W103" i="25" s="1"/>
  <c r="AB35" i="2"/>
  <c r="AB35" i="26"/>
  <c r="Y38" i="25"/>
  <c r="AA38" i="25" s="1"/>
  <c r="BW38" i="25"/>
  <c r="V39" i="24"/>
  <c r="W39" i="24" s="1"/>
  <c r="BJ39" i="24"/>
  <c r="Z32" i="24"/>
  <c r="AA32" i="24" s="1"/>
  <c r="BW32" i="24"/>
  <c r="U43" i="23"/>
  <c r="W43" i="23" s="1"/>
  <c r="BJ43" i="23"/>
  <c r="AB23" i="26"/>
  <c r="U34" i="27"/>
  <c r="W34" i="27" s="1"/>
  <c r="BJ34" i="27"/>
  <c r="BI47" i="28"/>
  <c r="Y26" i="28"/>
  <c r="AA26" i="28" s="1"/>
  <c r="BW26" i="28"/>
  <c r="BW26" i="21"/>
  <c r="Y26" i="21"/>
  <c r="AA26" i="21" s="1"/>
  <c r="Y29" i="28"/>
  <c r="AA29" i="28" s="1"/>
  <c r="BW29" i="28"/>
  <c r="BU22" i="23"/>
  <c r="BW22" i="23" s="1"/>
  <c r="BN22" i="23"/>
  <c r="U44" i="24"/>
  <c r="W44" i="24" s="1"/>
  <c r="BJ44" i="24"/>
  <c r="AA25" i="2"/>
  <c r="Y47" i="2"/>
  <c r="U30" i="25"/>
  <c r="W30" i="25" s="1"/>
  <c r="BJ30" i="25"/>
  <c r="U45" i="20"/>
  <c r="W45" i="20" s="1"/>
  <c r="BJ45" i="20"/>
  <c r="S47" i="2"/>
  <c r="Y45" i="24"/>
  <c r="AA45" i="24" s="1"/>
  <c r="BW45" i="24"/>
  <c r="BA47" i="28"/>
  <c r="L45" i="28" s="1"/>
  <c r="S23" i="21"/>
  <c r="S47" i="21" s="1"/>
  <c r="Q47" i="21"/>
  <c r="BH47" i="21"/>
  <c r="Y26" i="24"/>
  <c r="AA26" i="24" s="1"/>
  <c r="BW26" i="24"/>
  <c r="Z103" i="26"/>
  <c r="BZ25" i="26"/>
  <c r="Y23" i="21"/>
  <c r="BW23" i="21"/>
  <c r="BU47" i="21"/>
  <c r="Y32" i="21"/>
  <c r="AA32" i="21" s="1"/>
  <c r="BW32" i="21"/>
  <c r="BW42" i="24"/>
  <c r="Y42" i="24"/>
  <c r="AA42" i="24" s="1"/>
  <c r="Y44" i="24"/>
  <c r="AA44" i="24" s="1"/>
  <c r="BW44" i="24"/>
  <c r="BW43" i="24"/>
  <c r="Y43" i="24"/>
  <c r="AA43" i="24" s="1"/>
  <c r="V46" i="24"/>
  <c r="BI22" i="24"/>
  <c r="U35" i="21"/>
  <c r="W35" i="21" s="1"/>
  <c r="BJ35" i="21"/>
  <c r="BU22" i="24"/>
  <c r="BW22" i="24" s="1"/>
  <c r="BN22" i="24"/>
  <c r="BJ43" i="28"/>
  <c r="U43" i="28"/>
  <c r="W43" i="28" s="1"/>
  <c r="Y35" i="23"/>
  <c r="AA35" i="23" s="1"/>
  <c r="BW35" i="23"/>
  <c r="Y44" i="25"/>
  <c r="AA44" i="25" s="1"/>
  <c r="BW44" i="25"/>
  <c r="Y28" i="21"/>
  <c r="AA28" i="21" s="1"/>
  <c r="BW28" i="21"/>
  <c r="Z25" i="27"/>
  <c r="BV47" i="27"/>
  <c r="U41" i="28"/>
  <c r="W41" i="28" s="1"/>
  <c r="BJ41" i="28"/>
  <c r="AB44" i="2"/>
  <c r="BJ28" i="22"/>
  <c r="CA24" i="21"/>
  <c r="BJ45" i="24"/>
  <c r="U45" i="24"/>
  <c r="W45" i="24" s="1"/>
  <c r="U36" i="25"/>
  <c r="W36" i="25" s="1"/>
  <c r="BJ36" i="25"/>
  <c r="Y102" i="21"/>
  <c r="CB23" i="21"/>
  <c r="W102" i="21" s="1"/>
  <c r="BY24" i="21"/>
  <c r="V46" i="2"/>
  <c r="BI22" i="2"/>
  <c r="BJ22" i="2" s="1"/>
  <c r="BJ46" i="2"/>
  <c r="AA102" i="27"/>
  <c r="CA24" i="27"/>
  <c r="AB45" i="2"/>
  <c r="U24" i="25"/>
  <c r="W24" i="25" s="1"/>
  <c r="BJ24" i="25"/>
  <c r="Y31" i="21"/>
  <c r="AA31" i="21" s="1"/>
  <c r="BW31" i="21"/>
  <c r="Y41" i="23"/>
  <c r="AA41" i="23" s="1"/>
  <c r="BW41" i="23"/>
  <c r="BG47" i="27"/>
  <c r="L46" i="27" s="1"/>
  <c r="L47" i="27" s="1"/>
  <c r="CB24" i="26"/>
  <c r="W103" i="26" s="1"/>
  <c r="Y41" i="21"/>
  <c r="AA41" i="21" s="1"/>
  <c r="BW41" i="21"/>
  <c r="Y28" i="23"/>
  <c r="AA28" i="23" s="1"/>
  <c r="BW28" i="23"/>
  <c r="BJ42" i="21"/>
  <c r="Y31" i="28"/>
  <c r="AA31" i="28" s="1"/>
  <c r="BW31" i="28"/>
  <c r="Y23" i="25"/>
  <c r="BU47" i="25"/>
  <c r="BW23" i="25"/>
  <c r="Z28" i="24"/>
  <c r="BV47" i="24"/>
  <c r="AB32" i="26"/>
  <c r="BH22" i="28"/>
  <c r="BJ22" i="28" s="1"/>
  <c r="U46" i="28"/>
  <c r="Y46" i="23"/>
  <c r="AA46" i="23" s="1"/>
  <c r="BW46" i="23"/>
  <c r="BW32" i="23"/>
  <c r="Y32" i="23"/>
  <c r="AA32" i="23" s="1"/>
  <c r="AB25" i="26"/>
  <c r="Y24" i="24"/>
  <c r="AA24" i="24" s="1"/>
  <c r="BW24" i="24"/>
  <c r="Z31" i="24"/>
  <c r="AA31" i="24" s="1"/>
  <c r="BW31" i="24"/>
  <c r="Y43" i="25"/>
  <c r="AA43" i="25" s="1"/>
  <c r="BW43" i="25"/>
  <c r="U23" i="28"/>
  <c r="BJ23" i="28"/>
  <c r="U24" i="24"/>
  <c r="W24" i="24" s="1"/>
  <c r="BJ24" i="24"/>
  <c r="U25" i="25"/>
  <c r="W25" i="25" s="1"/>
  <c r="BJ25" i="25"/>
  <c r="U27" i="25"/>
  <c r="W27" i="25" s="1"/>
  <c r="BJ27" i="25"/>
  <c r="Y40" i="23"/>
  <c r="AA40" i="23" s="1"/>
  <c r="BW40" i="23"/>
  <c r="U33" i="25"/>
  <c r="W33" i="25" s="1"/>
  <c r="BJ33" i="25"/>
  <c r="U37" i="2"/>
  <c r="W37" i="2" s="1"/>
  <c r="BJ37" i="2"/>
  <c r="Z23" i="28"/>
  <c r="Z47" i="28" s="1"/>
  <c r="BV47" i="28"/>
  <c r="Z103" i="28"/>
  <c r="BZ25" i="28"/>
  <c r="BA47" i="23"/>
  <c r="L45" i="23" s="1"/>
  <c r="L47" i="23" s="1"/>
  <c r="Y37" i="21"/>
  <c r="AA37" i="21" s="1"/>
  <c r="BW37" i="21"/>
  <c r="BH47" i="20"/>
  <c r="Y43" i="23"/>
  <c r="AA43" i="23" s="1"/>
  <c r="BW43" i="23"/>
  <c r="U23" i="23"/>
  <c r="W23" i="23" s="1"/>
  <c r="BJ23" i="23"/>
  <c r="Y44" i="23"/>
  <c r="AA44" i="23" s="1"/>
  <c r="BW44" i="23"/>
  <c r="Y41" i="25"/>
  <c r="AA41" i="25" s="1"/>
  <c r="BW41" i="25"/>
  <c r="AA102" i="2"/>
  <c r="CB23" i="2"/>
  <c r="W102" i="2" s="1"/>
  <c r="Y33" i="23"/>
  <c r="AA33" i="23" s="1"/>
  <c r="BW33" i="23"/>
  <c r="BJ26" i="25"/>
  <c r="U26" i="25"/>
  <c r="W26" i="25" s="1"/>
  <c r="Y38" i="23"/>
  <c r="AA38" i="23" s="1"/>
  <c r="BW38" i="23"/>
  <c r="R47" i="27"/>
  <c r="AB45" i="26"/>
  <c r="Y43" i="28"/>
  <c r="AA43" i="28" s="1"/>
  <c r="BW43" i="28"/>
  <c r="BJ39" i="25"/>
  <c r="U39" i="25"/>
  <c r="W39" i="25" s="1"/>
  <c r="Y34" i="23"/>
  <c r="AA34" i="23" s="1"/>
  <c r="BW34" i="23"/>
  <c r="BN22" i="21"/>
  <c r="BU22" i="21"/>
  <c r="BW22" i="21" s="1"/>
  <c r="U41" i="25"/>
  <c r="W41" i="25" s="1"/>
  <c r="BJ41" i="25"/>
  <c r="U39" i="21"/>
  <c r="W39" i="21" s="1"/>
  <c r="BJ39" i="21"/>
  <c r="U36" i="21"/>
  <c r="W36" i="21" s="1"/>
  <c r="BJ36" i="21"/>
  <c r="Y40" i="27"/>
  <c r="AA40" i="27" s="1"/>
  <c r="BW40" i="27"/>
  <c r="BI47" i="25"/>
  <c r="U44" i="23"/>
  <c r="W44" i="23" s="1"/>
  <c r="BJ44" i="23"/>
  <c r="Z23" i="23"/>
  <c r="BV47" i="23"/>
  <c r="U44" i="21"/>
  <c r="W44" i="21" s="1"/>
  <c r="BJ44" i="21"/>
  <c r="U38" i="20"/>
  <c r="W38" i="20" s="1"/>
  <c r="BJ38" i="20"/>
  <c r="Y29" i="25"/>
  <c r="AA29" i="25" s="1"/>
  <c r="BW29" i="25"/>
  <c r="Y27" i="28"/>
  <c r="AA27" i="28" s="1"/>
  <c r="BW27" i="28"/>
  <c r="Y28" i="28"/>
  <c r="AA28" i="28" s="1"/>
  <c r="BW28" i="28"/>
  <c r="U41" i="21"/>
  <c r="W41" i="21" s="1"/>
  <c r="BJ41" i="21"/>
  <c r="BN47" i="23"/>
  <c r="M45" i="23" s="1"/>
  <c r="M47" i="23" s="1"/>
  <c r="BJ23" i="21"/>
  <c r="U23" i="21"/>
  <c r="W23" i="21" s="1"/>
  <c r="Y26" i="27"/>
  <c r="AA26" i="27" s="1"/>
  <c r="BW26" i="27"/>
  <c r="W38" i="23"/>
  <c r="BJ40" i="24"/>
  <c r="U40" i="24"/>
  <c r="W40" i="24" s="1"/>
  <c r="U24" i="27"/>
  <c r="W24" i="27" s="1"/>
  <c r="BJ24" i="27"/>
  <c r="Y29" i="21"/>
  <c r="AA29" i="21" s="1"/>
  <c r="BW29" i="21"/>
  <c r="S23" i="28"/>
  <c r="S47" i="28" s="1"/>
  <c r="Q47" i="28"/>
  <c r="BW30" i="21"/>
  <c r="Y30" i="21"/>
  <c r="AA30" i="21" s="1"/>
  <c r="U28" i="23"/>
  <c r="W28" i="23" s="1"/>
  <c r="BJ28" i="23"/>
  <c r="V28" i="24"/>
  <c r="BI47" i="24"/>
  <c r="U35" i="20"/>
  <c r="BJ35" i="20"/>
  <c r="BW45" i="21"/>
  <c r="Y45" i="21"/>
  <c r="AA45" i="21" s="1"/>
  <c r="BJ46" i="23"/>
  <c r="U46" i="23"/>
  <c r="W46" i="23" s="1"/>
  <c r="BH22" i="23"/>
  <c r="BJ22" i="23" s="1"/>
  <c r="U25" i="24"/>
  <c r="W25" i="24" s="1"/>
  <c r="BJ25" i="24"/>
  <c r="U30" i="28"/>
  <c r="W30" i="28" s="1"/>
  <c r="BJ30" i="28"/>
  <c r="U32" i="25"/>
  <c r="W32" i="25" s="1"/>
  <c r="BJ32" i="25"/>
  <c r="AB26" i="26"/>
  <c r="Z32" i="27"/>
  <c r="AA32" i="27" s="1"/>
  <c r="BW32" i="27"/>
  <c r="BJ41" i="24"/>
  <c r="U41" i="24"/>
  <c r="W41" i="24" s="1"/>
  <c r="AW47" i="24"/>
  <c r="CA24" i="2"/>
  <c r="V23" i="21"/>
  <c r="BI47" i="21"/>
  <c r="Y28" i="27"/>
  <c r="AA28" i="27" s="1"/>
  <c r="BW28" i="27"/>
  <c r="U31" i="28"/>
  <c r="W31" i="28" s="1"/>
  <c r="BJ31" i="28"/>
  <c r="CA25" i="24"/>
  <c r="Y24" i="28"/>
  <c r="AA24" i="28" s="1"/>
  <c r="BW24" i="28"/>
  <c r="BJ46" i="22"/>
  <c r="V47" i="28"/>
  <c r="W29" i="2"/>
  <c r="W33" i="27"/>
  <c r="Z105" i="27"/>
  <c r="BZ27" i="27"/>
  <c r="CA25" i="20"/>
  <c r="AA103" i="20"/>
  <c r="AA27" i="27"/>
  <c r="Y103" i="22"/>
  <c r="BY25" i="22"/>
  <c r="AA29" i="27"/>
  <c r="AA103" i="25"/>
  <c r="CA25" i="25"/>
  <c r="W25" i="26"/>
  <c r="W33" i="21"/>
  <c r="BZ26" i="25"/>
  <c r="Z104" i="25"/>
  <c r="W33" i="23"/>
  <c r="BY25" i="27"/>
  <c r="Y103" i="27"/>
  <c r="V47" i="26"/>
  <c r="CA25" i="26"/>
  <c r="AA103" i="26"/>
  <c r="Y104" i="26"/>
  <c r="BY26" i="26"/>
  <c r="Z105" i="2"/>
  <c r="BZ27" i="2"/>
  <c r="Z105" i="20"/>
  <c r="BZ27" i="20"/>
  <c r="AA105" i="23"/>
  <c r="CA27" i="23"/>
  <c r="BZ28" i="21"/>
  <c r="Z106" i="21"/>
  <c r="CL21" i="9"/>
  <c r="F92" i="9" s="1"/>
  <c r="CM23" i="9"/>
  <c r="G94" i="9" s="1"/>
  <c r="CA12" i="9"/>
  <c r="CA2" i="9" s="1"/>
  <c r="CK18" i="9"/>
  <c r="CN17" i="9"/>
  <c r="C88" i="9" s="1"/>
  <c r="E88" i="9"/>
  <c r="CA37" i="9"/>
  <c r="BY21" i="9"/>
  <c r="BI29" i="9"/>
  <c r="BG21" i="9"/>
  <c r="BH30" i="9"/>
  <c r="BQ30" i="9"/>
  <c r="BP19" i="9"/>
  <c r="BR28" i="9"/>
  <c r="BL24" i="9"/>
  <c r="BU25" i="9"/>
  <c r="BO26" i="9"/>
  <c r="BN22" i="9"/>
  <c r="BM19" i="9"/>
  <c r="BT22" i="9"/>
  <c r="BV19" i="9"/>
  <c r="BX25" i="9"/>
  <c r="BW23" i="9"/>
  <c r="CD25" i="9"/>
  <c r="BJ19" i="9"/>
  <c r="CB20" i="9"/>
  <c r="BK24" i="9"/>
  <c r="CC25" i="9"/>
  <c r="BS19" i="9"/>
  <c r="W46" i="20" l="1"/>
  <c r="BZ26" i="23"/>
  <c r="AB26" i="22"/>
  <c r="AB32" i="22"/>
  <c r="CA28" i="28"/>
  <c r="CA29" i="28" s="1"/>
  <c r="CA30" i="28" s="1"/>
  <c r="AA109" i="28" s="1"/>
  <c r="BW47" i="2"/>
  <c r="BJ22" i="22"/>
  <c r="BY25" i="20"/>
  <c r="Y104" i="20" s="1"/>
  <c r="AB30" i="22"/>
  <c r="BJ47" i="26"/>
  <c r="L47" i="20"/>
  <c r="CB24" i="20"/>
  <c r="W103" i="20" s="1"/>
  <c r="BW47" i="26"/>
  <c r="W46" i="27"/>
  <c r="L47" i="2"/>
  <c r="AB33" i="22"/>
  <c r="V47" i="22"/>
  <c r="AB24" i="22"/>
  <c r="AB42" i="20"/>
  <c r="W46" i="2"/>
  <c r="L47" i="21"/>
  <c r="AB37" i="26"/>
  <c r="L47" i="25"/>
  <c r="AB23" i="22"/>
  <c r="AB38" i="26"/>
  <c r="AB39" i="26"/>
  <c r="L47" i="28"/>
  <c r="AB28" i="22"/>
  <c r="AB39" i="27"/>
  <c r="W46" i="28"/>
  <c r="AB29" i="22"/>
  <c r="U47" i="22"/>
  <c r="AB46" i="27"/>
  <c r="AB43" i="26"/>
  <c r="AB43" i="20"/>
  <c r="AB42" i="26"/>
  <c r="AA47" i="26"/>
  <c r="Y47" i="26"/>
  <c r="L47" i="24"/>
  <c r="BW47" i="20"/>
  <c r="BY26" i="2"/>
  <c r="Y104" i="2"/>
  <c r="AB36" i="26"/>
  <c r="AB41" i="26"/>
  <c r="AB44" i="26"/>
  <c r="AA108" i="28"/>
  <c r="AB36" i="28"/>
  <c r="AB46" i="20"/>
  <c r="AB44" i="28"/>
  <c r="BW47" i="25"/>
  <c r="AB38" i="20"/>
  <c r="AB43" i="28"/>
  <c r="AB41" i="27"/>
  <c r="AA107" i="28"/>
  <c r="AB34" i="22"/>
  <c r="AB40" i="27"/>
  <c r="BJ47" i="27"/>
  <c r="AB31" i="22"/>
  <c r="U47" i="26"/>
  <c r="AB35" i="20"/>
  <c r="BJ22" i="25"/>
  <c r="AB45" i="27"/>
  <c r="W46" i="25"/>
  <c r="W47" i="25" s="1"/>
  <c r="W47" i="26"/>
  <c r="AB27" i="22"/>
  <c r="AB43" i="27"/>
  <c r="V47" i="21"/>
  <c r="W47" i="22"/>
  <c r="AB37" i="27"/>
  <c r="AB25" i="22"/>
  <c r="BW47" i="22"/>
  <c r="BJ47" i="20"/>
  <c r="Z47" i="24"/>
  <c r="BJ47" i="21"/>
  <c r="BJ47" i="2"/>
  <c r="AA25" i="27"/>
  <c r="AB34" i="27" s="1"/>
  <c r="BW47" i="27"/>
  <c r="AB35" i="22"/>
  <c r="AB35" i="23"/>
  <c r="AB39" i="28"/>
  <c r="AB42" i="28"/>
  <c r="AB46" i="24"/>
  <c r="AB41" i="21"/>
  <c r="W46" i="24"/>
  <c r="BJ47" i="28"/>
  <c r="AA23" i="20"/>
  <c r="Y47" i="20"/>
  <c r="AB45" i="28"/>
  <c r="AB39" i="20"/>
  <c r="AB40" i="20"/>
  <c r="AB41" i="20"/>
  <c r="AB44" i="20"/>
  <c r="AB36" i="20"/>
  <c r="AB42" i="27"/>
  <c r="AB36" i="27"/>
  <c r="BZ26" i="22"/>
  <c r="Z104" i="22"/>
  <c r="V47" i="24"/>
  <c r="AB35" i="27"/>
  <c r="AB41" i="25"/>
  <c r="AB38" i="27"/>
  <c r="AB37" i="20"/>
  <c r="AB44" i="22"/>
  <c r="BJ47" i="25"/>
  <c r="BJ47" i="22"/>
  <c r="AB44" i="27"/>
  <c r="AB43" i="22"/>
  <c r="AB46" i="22"/>
  <c r="AB45" i="20"/>
  <c r="AB40" i="22"/>
  <c r="BJ47" i="23"/>
  <c r="U47" i="21"/>
  <c r="AB41" i="28"/>
  <c r="AB37" i="22"/>
  <c r="U47" i="23"/>
  <c r="Z47" i="27"/>
  <c r="AB44" i="23"/>
  <c r="AB36" i="22"/>
  <c r="AB38" i="21"/>
  <c r="AB41" i="22"/>
  <c r="AB38" i="28"/>
  <c r="W23" i="24"/>
  <c r="U47" i="24"/>
  <c r="AB46" i="25"/>
  <c r="AA103" i="27"/>
  <c r="CA25" i="27"/>
  <c r="CB25" i="27" s="1"/>
  <c r="W104" i="27" s="1"/>
  <c r="AB40" i="21"/>
  <c r="U47" i="27"/>
  <c r="AA23" i="25"/>
  <c r="AB32" i="25" s="1"/>
  <c r="Y47" i="25"/>
  <c r="AB42" i="24"/>
  <c r="AB42" i="21"/>
  <c r="AB46" i="21"/>
  <c r="AA28" i="24"/>
  <c r="AB42" i="25"/>
  <c r="AB39" i="25"/>
  <c r="AA23" i="21"/>
  <c r="Y47" i="21"/>
  <c r="AA23" i="23"/>
  <c r="AB28" i="23" s="1"/>
  <c r="Y47" i="23"/>
  <c r="AB35" i="28"/>
  <c r="W47" i="23"/>
  <c r="Z47" i="23"/>
  <c r="Y103" i="24"/>
  <c r="BY25" i="24"/>
  <c r="CB24" i="24"/>
  <c r="W103" i="24" s="1"/>
  <c r="AB43" i="21"/>
  <c r="AB39" i="24"/>
  <c r="W35" i="20"/>
  <c r="W47" i="20" s="1"/>
  <c r="U47" i="20"/>
  <c r="S47" i="24"/>
  <c r="CB25" i="26"/>
  <c r="W104" i="26" s="1"/>
  <c r="AB35" i="21"/>
  <c r="AA47" i="22"/>
  <c r="AB46" i="23"/>
  <c r="BW47" i="24"/>
  <c r="AB37" i="23"/>
  <c r="Y47" i="22"/>
  <c r="AB39" i="23"/>
  <c r="AB46" i="28"/>
  <c r="AB36" i="25"/>
  <c r="AB38" i="24"/>
  <c r="AB40" i="24"/>
  <c r="AB35" i="24"/>
  <c r="AB36" i="24"/>
  <c r="AB42" i="22"/>
  <c r="BZ27" i="23"/>
  <c r="Z105" i="23"/>
  <c r="U47" i="28"/>
  <c r="AB39" i="22"/>
  <c r="AB37" i="21"/>
  <c r="AB36" i="23"/>
  <c r="AB45" i="23"/>
  <c r="CB24" i="2"/>
  <c r="W103" i="2" s="1"/>
  <c r="CA25" i="2"/>
  <c r="AA103" i="2"/>
  <c r="BJ22" i="21"/>
  <c r="AB36" i="21"/>
  <c r="AB43" i="23"/>
  <c r="AB44" i="24"/>
  <c r="AB39" i="21"/>
  <c r="AB45" i="21"/>
  <c r="AB43" i="25"/>
  <c r="AB44" i="25"/>
  <c r="AB44" i="21"/>
  <c r="Y103" i="28"/>
  <c r="CB24" i="28"/>
  <c r="W103" i="28" s="1"/>
  <c r="BY25" i="28"/>
  <c r="W46" i="21"/>
  <c r="W47" i="21" s="1"/>
  <c r="AB40" i="23"/>
  <c r="Y47" i="24"/>
  <c r="AA23" i="24"/>
  <c r="AB40" i="28"/>
  <c r="AB38" i="22"/>
  <c r="AB43" i="24"/>
  <c r="AA103" i="22"/>
  <c r="CA25" i="22"/>
  <c r="CB25" i="22" s="1"/>
  <c r="W104" i="22" s="1"/>
  <c r="AB45" i="24"/>
  <c r="AB40" i="25"/>
  <c r="BW47" i="23"/>
  <c r="AB37" i="25"/>
  <c r="BZ27" i="24"/>
  <c r="Z105" i="24"/>
  <c r="AA23" i="28"/>
  <c r="AB33" i="28" s="1"/>
  <c r="Y47" i="28"/>
  <c r="BZ26" i="26"/>
  <c r="Z104" i="26"/>
  <c r="AB29" i="2"/>
  <c r="AB24" i="2"/>
  <c r="AA47" i="2"/>
  <c r="AB33" i="2"/>
  <c r="AB34" i="2"/>
  <c r="AB31" i="2"/>
  <c r="AB26" i="2"/>
  <c r="AB30" i="2"/>
  <c r="AB23" i="2"/>
  <c r="AB32" i="2"/>
  <c r="AB28" i="2"/>
  <c r="AB27" i="2"/>
  <c r="AB45" i="22"/>
  <c r="BY25" i="25"/>
  <c r="CB25" i="25" s="1"/>
  <c r="W104" i="25" s="1"/>
  <c r="Y103" i="25"/>
  <c r="AB37" i="28"/>
  <c r="Y103" i="23"/>
  <c r="BY25" i="23"/>
  <c r="CB24" i="23"/>
  <c r="W103" i="23" s="1"/>
  <c r="AB41" i="24"/>
  <c r="BJ47" i="24"/>
  <c r="CB24" i="27"/>
  <c r="W103" i="27" s="1"/>
  <c r="Z104" i="28"/>
  <c r="BZ26" i="28"/>
  <c r="Y103" i="21"/>
  <c r="BY25" i="21"/>
  <c r="CB24" i="21"/>
  <c r="W103" i="21" s="1"/>
  <c r="W47" i="27"/>
  <c r="W23" i="28"/>
  <c r="W47" i="28" s="1"/>
  <c r="AA103" i="21"/>
  <c r="CA25" i="21"/>
  <c r="AB41" i="23"/>
  <c r="U47" i="25"/>
  <c r="BJ22" i="24"/>
  <c r="CA26" i="24"/>
  <c r="AA104" i="24"/>
  <c r="AB38" i="23"/>
  <c r="AB25" i="2"/>
  <c r="W23" i="2"/>
  <c r="U47" i="2"/>
  <c r="Y47" i="27"/>
  <c r="V47" i="2"/>
  <c r="BW47" i="21"/>
  <c r="AB38" i="25"/>
  <c r="W28" i="24"/>
  <c r="AB37" i="24"/>
  <c r="AB35" i="25"/>
  <c r="AB45" i="25"/>
  <c r="BW47" i="28"/>
  <c r="AB42" i="23"/>
  <c r="Y104" i="22"/>
  <c r="BY26" i="22"/>
  <c r="AA104" i="25"/>
  <c r="CA26" i="25"/>
  <c r="AA104" i="26"/>
  <c r="CA26" i="26"/>
  <c r="CA26" i="20"/>
  <c r="AA104" i="20"/>
  <c r="Z106" i="27"/>
  <c r="BZ28" i="27"/>
  <c r="BZ27" i="25"/>
  <c r="Z105" i="25"/>
  <c r="Y104" i="27"/>
  <c r="BY26" i="27"/>
  <c r="Y105" i="26"/>
  <c r="BY27" i="26"/>
  <c r="Z106" i="2"/>
  <c r="BZ28" i="2"/>
  <c r="Z106" i="20"/>
  <c r="BZ28" i="20"/>
  <c r="AA106" i="23"/>
  <c r="CA28" i="23"/>
  <c r="BZ29" i="21"/>
  <c r="Z107" i="21"/>
  <c r="CA31" i="28"/>
  <c r="CL22" i="9"/>
  <c r="F93" i="9" s="1"/>
  <c r="CM24" i="9"/>
  <c r="G95" i="9" s="1"/>
  <c r="CK19" i="9"/>
  <c r="CN18" i="9"/>
  <c r="C89" i="9" s="1"/>
  <c r="E89" i="9"/>
  <c r="BY22" i="9"/>
  <c r="BH31" i="9"/>
  <c r="BG22" i="9"/>
  <c r="BI30" i="9"/>
  <c r="BR29" i="9"/>
  <c r="BQ31" i="9"/>
  <c r="BP20" i="9"/>
  <c r="BV20" i="9"/>
  <c r="BU26" i="9"/>
  <c r="BW24" i="9"/>
  <c r="BT23" i="9"/>
  <c r="BN23" i="9"/>
  <c r="BX26" i="9"/>
  <c r="CB21" i="9"/>
  <c r="BK25" i="9"/>
  <c r="BL25" i="9"/>
  <c r="BS20" i="9"/>
  <c r="BO27" i="9"/>
  <c r="CD26" i="9"/>
  <c r="BM20" i="9"/>
  <c r="CC26" i="9"/>
  <c r="BJ20" i="9"/>
  <c r="BY26" i="20" l="1"/>
  <c r="BY27" i="20" s="1"/>
  <c r="Y106" i="20" s="1"/>
  <c r="CB25" i="20"/>
  <c r="W104" i="20" s="1"/>
  <c r="W47" i="2"/>
  <c r="CB26" i="26"/>
  <c r="W105" i="26" s="1"/>
  <c r="Y105" i="20"/>
  <c r="BY28" i="20"/>
  <c r="BY29" i="20" s="1"/>
  <c r="BY30" i="20" s="1"/>
  <c r="AB26" i="27"/>
  <c r="AB30" i="27"/>
  <c r="AB23" i="27"/>
  <c r="AB29" i="27"/>
  <c r="AA47" i="27"/>
  <c r="AB27" i="27"/>
  <c r="AB32" i="27"/>
  <c r="Y108" i="20"/>
  <c r="Y107" i="20"/>
  <c r="AB25" i="25"/>
  <c r="AB32" i="28"/>
  <c r="AB33" i="25"/>
  <c r="Y105" i="2"/>
  <c r="BY27" i="2"/>
  <c r="AB29" i="23"/>
  <c r="AB29" i="28"/>
  <c r="AB28" i="24"/>
  <c r="AB31" i="27"/>
  <c r="AB25" i="27"/>
  <c r="AB30" i="28"/>
  <c r="AB24" i="27"/>
  <c r="AB33" i="27"/>
  <c r="AB28" i="27"/>
  <c r="AB27" i="28"/>
  <c r="AB34" i="28"/>
  <c r="AB34" i="25"/>
  <c r="AB30" i="25"/>
  <c r="AB29" i="20"/>
  <c r="AB24" i="20"/>
  <c r="AA47" i="20"/>
  <c r="AB33" i="20"/>
  <c r="AB27" i="20"/>
  <c r="AB30" i="20"/>
  <c r="AB32" i="20"/>
  <c r="AB25" i="20"/>
  <c r="AB31" i="20"/>
  <c r="AB28" i="20"/>
  <c r="AB34" i="20"/>
  <c r="AB23" i="20"/>
  <c r="AB26" i="20"/>
  <c r="AB29" i="25"/>
  <c r="AB24" i="23"/>
  <c r="AB27" i="25"/>
  <c r="Z105" i="22"/>
  <c r="BZ27" i="22"/>
  <c r="AB25" i="23"/>
  <c r="AB34" i="23"/>
  <c r="AB30" i="23"/>
  <c r="AB25" i="28"/>
  <c r="AA47" i="21"/>
  <c r="AB23" i="21"/>
  <c r="AB34" i="21"/>
  <c r="BY26" i="28"/>
  <c r="CB25" i="28"/>
  <c r="W104" i="28" s="1"/>
  <c r="Y104" i="28"/>
  <c r="AB33" i="21"/>
  <c r="AB31" i="25"/>
  <c r="AB31" i="23"/>
  <c r="AB24" i="21"/>
  <c r="AB31" i="21"/>
  <c r="AB26" i="25"/>
  <c r="BZ27" i="28"/>
  <c r="Z105" i="28"/>
  <c r="AA47" i="24"/>
  <c r="AB23" i="24"/>
  <c r="AB25" i="24"/>
  <c r="AB33" i="24"/>
  <c r="AB27" i="24"/>
  <c r="AB29" i="24"/>
  <c r="AB31" i="24"/>
  <c r="AB32" i="24"/>
  <c r="Y104" i="23"/>
  <c r="BY26" i="23"/>
  <c r="CB25" i="23"/>
  <c r="W104" i="23" s="1"/>
  <c r="AB24" i="25"/>
  <c r="AB26" i="28"/>
  <c r="AA104" i="27"/>
  <c r="CA26" i="27"/>
  <c r="CB26" i="27" s="1"/>
  <c r="W105" i="27" s="1"/>
  <c r="AB28" i="25"/>
  <c r="AB28" i="28"/>
  <c r="AB31" i="28"/>
  <c r="BZ28" i="23"/>
  <c r="Z106" i="23"/>
  <c r="CA26" i="21"/>
  <c r="AA104" i="21"/>
  <c r="AB30" i="21"/>
  <c r="AB25" i="21"/>
  <c r="AB32" i="21"/>
  <c r="AB26" i="21"/>
  <c r="AB24" i="24"/>
  <c r="CB25" i="2"/>
  <c r="W104" i="2" s="1"/>
  <c r="AA104" i="2"/>
  <c r="CA26" i="2"/>
  <c r="BZ27" i="26"/>
  <c r="Z105" i="26"/>
  <c r="AB23" i="23"/>
  <c r="AA47" i="23"/>
  <c r="CA27" i="24"/>
  <c r="AA105" i="24"/>
  <c r="AB28" i="21"/>
  <c r="AB32" i="23"/>
  <c r="AB34" i="24"/>
  <c r="CB25" i="24"/>
  <c r="W104" i="24" s="1"/>
  <c r="BY26" i="24"/>
  <c r="Y104" i="24"/>
  <c r="AB29" i="21"/>
  <c r="AB27" i="21"/>
  <c r="AB23" i="28"/>
  <c r="AA47" i="28"/>
  <c r="Z106" i="24"/>
  <c r="BZ28" i="24"/>
  <c r="AB24" i="28"/>
  <c r="CB25" i="21"/>
  <c r="W104" i="21" s="1"/>
  <c r="BY26" i="21"/>
  <c r="Y104" i="21"/>
  <c r="AB27" i="23"/>
  <c r="W47" i="24"/>
  <c r="AB26" i="24"/>
  <c r="AA47" i="25"/>
  <c r="AB23" i="25"/>
  <c r="Y104" i="25"/>
  <c r="BY26" i="25"/>
  <c r="AB26" i="23"/>
  <c r="AA104" i="22"/>
  <c r="CA26" i="22"/>
  <c r="AB33" i="23"/>
  <c r="AB30" i="24"/>
  <c r="BZ29" i="27"/>
  <c r="Z107" i="27"/>
  <c r="AA105" i="20"/>
  <c r="CA27" i="20"/>
  <c r="CB26" i="20"/>
  <c r="W105" i="20" s="1"/>
  <c r="AA105" i="26"/>
  <c r="CA27" i="26"/>
  <c r="CB27" i="26" s="1"/>
  <c r="W106" i="26" s="1"/>
  <c r="Y105" i="27"/>
  <c r="BY27" i="27"/>
  <c r="Z106" i="25"/>
  <c r="BZ28" i="25"/>
  <c r="CA27" i="25"/>
  <c r="AA105" i="25"/>
  <c r="BY27" i="22"/>
  <c r="Y105" i="22"/>
  <c r="Y106" i="26"/>
  <c r="BY28" i="26"/>
  <c r="Z107" i="20"/>
  <c r="BZ29" i="20"/>
  <c r="BZ29" i="2"/>
  <c r="Z107" i="2"/>
  <c r="AA107" i="23"/>
  <c r="CA29" i="23"/>
  <c r="AA108" i="23" s="1"/>
  <c r="BZ30" i="21"/>
  <c r="Z108" i="21"/>
  <c r="CA32" i="28"/>
  <c r="AA110" i="28"/>
  <c r="CL23" i="9"/>
  <c r="F94" i="9" s="1"/>
  <c r="CM25" i="9"/>
  <c r="G96" i="9" s="1"/>
  <c r="CK20" i="9"/>
  <c r="CN19" i="9"/>
  <c r="C90" i="9" s="1"/>
  <c r="E90" i="9"/>
  <c r="BY31" i="20"/>
  <c r="Y109" i="20"/>
  <c r="BY23" i="9"/>
  <c r="BH32" i="9"/>
  <c r="BG23" i="9"/>
  <c r="BI31" i="9"/>
  <c r="BR30" i="9"/>
  <c r="BQ32" i="9"/>
  <c r="BP21" i="9"/>
  <c r="BU27" i="9"/>
  <c r="BX27" i="9"/>
  <c r="BV21" i="9"/>
  <c r="BS21" i="9"/>
  <c r="BN24" i="9"/>
  <c r="BT24" i="9"/>
  <c r="BW25" i="9"/>
  <c r="BM21" i="9"/>
  <c r="CB22" i="9"/>
  <c r="BK26" i="9"/>
  <c r="BL26" i="9"/>
  <c r="BJ21" i="9"/>
  <c r="BO28" i="9"/>
  <c r="CC27" i="9"/>
  <c r="CD27" i="9"/>
  <c r="Y106" i="2" l="1"/>
  <c r="BY28" i="2"/>
  <c r="Z106" i="22"/>
  <c r="BZ28" i="22"/>
  <c r="BY27" i="25"/>
  <c r="CB27" i="25" s="1"/>
  <c r="W106" i="25" s="1"/>
  <c r="Y105" i="25"/>
  <c r="CB26" i="21"/>
  <c r="W105" i="21" s="1"/>
  <c r="BY27" i="21"/>
  <c r="Y105" i="21"/>
  <c r="BZ28" i="26"/>
  <c r="Z106" i="26"/>
  <c r="CA27" i="2"/>
  <c r="AA105" i="2"/>
  <c r="CB26" i="2"/>
  <c r="W105" i="2" s="1"/>
  <c r="BZ29" i="23"/>
  <c r="Z107" i="23"/>
  <c r="BZ29" i="24"/>
  <c r="Z107" i="24"/>
  <c r="Y105" i="23"/>
  <c r="BY27" i="23"/>
  <c r="CB26" i="23"/>
  <c r="W105" i="23" s="1"/>
  <c r="CA27" i="22"/>
  <c r="CB27" i="22" s="1"/>
  <c r="W106" i="22" s="1"/>
  <c r="AA105" i="22"/>
  <c r="BY27" i="24"/>
  <c r="Y105" i="24"/>
  <c r="CB26" i="24"/>
  <c r="W105" i="24" s="1"/>
  <c r="AA105" i="27"/>
  <c r="CA27" i="27"/>
  <c r="Y105" i="28"/>
  <c r="CB26" i="28"/>
  <c r="W105" i="28" s="1"/>
  <c r="BY27" i="28"/>
  <c r="CB26" i="22"/>
  <c r="W105" i="22" s="1"/>
  <c r="AA105" i="21"/>
  <c r="CA27" i="21"/>
  <c r="CB26" i="25"/>
  <c r="W105" i="25" s="1"/>
  <c r="Z106" i="28"/>
  <c r="BZ28" i="28"/>
  <c r="CA28" i="24"/>
  <c r="AA106" i="24"/>
  <c r="BY28" i="27"/>
  <c r="Y106" i="27"/>
  <c r="CA28" i="25"/>
  <c r="AA106" i="25"/>
  <c r="BZ29" i="25"/>
  <c r="Z107" i="25"/>
  <c r="CA28" i="20"/>
  <c r="AA106" i="20"/>
  <c r="CB27" i="20"/>
  <c r="W106" i="20" s="1"/>
  <c r="BY28" i="22"/>
  <c r="Y106" i="22"/>
  <c r="AA106" i="26"/>
  <c r="CA28" i="26"/>
  <c r="Z108" i="27"/>
  <c r="BZ30" i="27"/>
  <c r="Y107" i="26"/>
  <c r="BY29" i="26"/>
  <c r="CA30" i="23"/>
  <c r="Z108" i="2"/>
  <c r="BZ30" i="2"/>
  <c r="Z108" i="20"/>
  <c r="BZ30" i="20"/>
  <c r="BZ31" i="21"/>
  <c r="Z109" i="21"/>
  <c r="CA33" i="28"/>
  <c r="AA111" i="28"/>
  <c r="CL24" i="9"/>
  <c r="F95" i="9" s="1"/>
  <c r="CM26" i="9"/>
  <c r="G97" i="9" s="1"/>
  <c r="CK21" i="9"/>
  <c r="CN20" i="9"/>
  <c r="C91" i="9" s="1"/>
  <c r="E91" i="9"/>
  <c r="BY32" i="20"/>
  <c r="Y110" i="20"/>
  <c r="BY24" i="9"/>
  <c r="BH33" i="9"/>
  <c r="BG24" i="9"/>
  <c r="BI32" i="9"/>
  <c r="BR31" i="9"/>
  <c r="BQ33" i="9"/>
  <c r="BP22" i="9"/>
  <c r="BX28" i="9"/>
  <c r="BU28" i="9"/>
  <c r="BL27" i="9"/>
  <c r="BW26" i="9"/>
  <c r="BM22" i="9"/>
  <c r="CD28" i="9"/>
  <c r="BT25" i="9"/>
  <c r="BN25" i="9"/>
  <c r="BV22" i="9"/>
  <c r="BO29" i="9"/>
  <c r="CC28" i="9"/>
  <c r="BK27" i="9"/>
  <c r="BS22" i="9"/>
  <c r="CB23" i="9"/>
  <c r="BJ22" i="9"/>
  <c r="BY29" i="2" l="1"/>
  <c r="Y107" i="2"/>
  <c r="Z107" i="22"/>
  <c r="BZ29" i="22"/>
  <c r="Z108" i="24"/>
  <c r="BZ30" i="24"/>
  <c r="AA107" i="24"/>
  <c r="CA29" i="24"/>
  <c r="Z107" i="26"/>
  <c r="BZ29" i="26"/>
  <c r="CB27" i="24"/>
  <c r="W106" i="24" s="1"/>
  <c r="BY28" i="24"/>
  <c r="Y106" i="24"/>
  <c r="Z108" i="23"/>
  <c r="BZ30" i="23"/>
  <c r="CA28" i="27"/>
  <c r="AA106" i="27"/>
  <c r="AA106" i="22"/>
  <c r="CA28" i="22"/>
  <c r="CB28" i="22" s="1"/>
  <c r="W107" i="22" s="1"/>
  <c r="BY28" i="28"/>
  <c r="Y106" i="28"/>
  <c r="CB27" i="28"/>
  <c r="W106" i="28" s="1"/>
  <c r="CB27" i="21"/>
  <c r="W106" i="21" s="1"/>
  <c r="BY28" i="21"/>
  <c r="Y106" i="21"/>
  <c r="BY28" i="23"/>
  <c r="Y106" i="23"/>
  <c r="CB27" i="23"/>
  <c r="W106" i="23" s="1"/>
  <c r="CA28" i="21"/>
  <c r="AA106" i="21"/>
  <c r="AA106" i="2"/>
  <c r="CA28" i="2"/>
  <c r="CB27" i="2"/>
  <c r="W106" i="2" s="1"/>
  <c r="CB27" i="27"/>
  <c r="W106" i="27" s="1"/>
  <c r="Z107" i="28"/>
  <c r="BZ29" i="28"/>
  <c r="BY28" i="25"/>
  <c r="CB28" i="25" s="1"/>
  <c r="W107" i="25" s="1"/>
  <c r="Y106" i="25"/>
  <c r="Z109" i="27"/>
  <c r="BZ31" i="27"/>
  <c r="CA29" i="26"/>
  <c r="CB28" i="26"/>
  <c r="W107" i="26" s="1"/>
  <c r="AA107" i="26"/>
  <c r="CA29" i="20"/>
  <c r="AA107" i="20"/>
  <c r="CB28" i="20"/>
  <c r="W107" i="20" s="1"/>
  <c r="CA29" i="25"/>
  <c r="AA107" i="25"/>
  <c r="BY29" i="22"/>
  <c r="Y107" i="22"/>
  <c r="Z108" i="25"/>
  <c r="BZ30" i="25"/>
  <c r="Y107" i="27"/>
  <c r="BY29" i="27"/>
  <c r="Y108" i="26"/>
  <c r="BY30" i="26"/>
  <c r="AA109" i="23"/>
  <c r="CA31" i="23"/>
  <c r="AA110" i="23" s="1"/>
  <c r="Z109" i="20"/>
  <c r="BZ31" i="20"/>
  <c r="Z109" i="2"/>
  <c r="BZ31" i="2"/>
  <c r="Z110" i="21"/>
  <c r="BZ32" i="21"/>
  <c r="CA34" i="28"/>
  <c r="AA112" i="28"/>
  <c r="CL25" i="9"/>
  <c r="F96" i="9" s="1"/>
  <c r="CM27" i="9"/>
  <c r="G98" i="9" s="1"/>
  <c r="CK22" i="9"/>
  <c r="CN21" i="9"/>
  <c r="C92" i="9" s="1"/>
  <c r="E92" i="9"/>
  <c r="Y111" i="20"/>
  <c r="BY33" i="20"/>
  <c r="BY25" i="9"/>
  <c r="BH34" i="9"/>
  <c r="BI33" i="9"/>
  <c r="BG25" i="9"/>
  <c r="BP23" i="9"/>
  <c r="BR32" i="9"/>
  <c r="BQ34" i="9"/>
  <c r="CD29" i="9"/>
  <c r="BU29" i="9"/>
  <c r="CC29" i="9"/>
  <c r="BL28" i="9"/>
  <c r="BS23" i="9"/>
  <c r="BN26" i="9"/>
  <c r="BT26" i="9"/>
  <c r="BW27" i="9"/>
  <c r="BJ23" i="9"/>
  <c r="BK28" i="9"/>
  <c r="BM23" i="9"/>
  <c r="CB24" i="9"/>
  <c r="BX29" i="9"/>
  <c r="BV23" i="9"/>
  <c r="BO30" i="9"/>
  <c r="BY30" i="2" l="1"/>
  <c r="Y108" i="2"/>
  <c r="Z108" i="22"/>
  <c r="BZ30" i="22"/>
  <c r="BY29" i="24"/>
  <c r="Y107" i="24"/>
  <c r="CB28" i="24"/>
  <c r="W107" i="24" s="1"/>
  <c r="BZ30" i="26"/>
  <c r="Z108" i="26"/>
  <c r="AA107" i="27"/>
  <c r="CA29" i="27"/>
  <c r="CA29" i="21"/>
  <c r="AA107" i="21"/>
  <c r="AA107" i="2"/>
  <c r="CA29" i="2"/>
  <c r="CB28" i="2"/>
  <c r="W107" i="2" s="1"/>
  <c r="CA30" i="24"/>
  <c r="AA108" i="24"/>
  <c r="Z108" i="28"/>
  <c r="BZ30" i="28"/>
  <c r="Y107" i="23"/>
  <c r="BY29" i="23"/>
  <c r="CB28" i="23"/>
  <c r="W107" i="23" s="1"/>
  <c r="Z109" i="24"/>
  <c r="BZ31" i="24"/>
  <c r="CA29" i="22"/>
  <c r="CB29" i="22" s="1"/>
  <c r="W108" i="22" s="1"/>
  <c r="AA107" i="22"/>
  <c r="Y107" i="28"/>
  <c r="BY29" i="28"/>
  <c r="CB28" i="28"/>
  <c r="W107" i="28" s="1"/>
  <c r="CA32" i="23"/>
  <c r="CA33" i="23" s="1"/>
  <c r="BY29" i="25"/>
  <c r="CB29" i="25" s="1"/>
  <c r="W108" i="25" s="1"/>
  <c r="Y107" i="25"/>
  <c r="BZ31" i="23"/>
  <c r="Z109" i="23"/>
  <c r="CB28" i="21"/>
  <c r="W107" i="21" s="1"/>
  <c r="Y107" i="21"/>
  <c r="BY29" i="21"/>
  <c r="CB28" i="27"/>
  <c r="W107" i="27" s="1"/>
  <c r="BZ31" i="25"/>
  <c r="Z109" i="25"/>
  <c r="Y108" i="22"/>
  <c r="BY30" i="22"/>
  <c r="Y108" i="27"/>
  <c r="BY30" i="27"/>
  <c r="CA30" i="26"/>
  <c r="CB29" i="26"/>
  <c r="W108" i="26" s="1"/>
  <c r="AA108" i="26"/>
  <c r="Z110" i="27"/>
  <c r="BZ32" i="27"/>
  <c r="AA108" i="25"/>
  <c r="CA30" i="25"/>
  <c r="CA30" i="20"/>
  <c r="AA108" i="20"/>
  <c r="CB29" i="20"/>
  <c r="W108" i="20" s="1"/>
  <c r="Y109" i="26"/>
  <c r="BY31" i="26"/>
  <c r="Z110" i="2"/>
  <c r="BZ32" i="2"/>
  <c r="Z110" i="20"/>
  <c r="BZ32" i="20"/>
  <c r="Z111" i="21"/>
  <c r="BZ33" i="21"/>
  <c r="AA113" i="28"/>
  <c r="CA35" i="28"/>
  <c r="CL26" i="9"/>
  <c r="F97" i="9" s="1"/>
  <c r="CM28" i="9"/>
  <c r="G99" i="9" s="1"/>
  <c r="CK23" i="9"/>
  <c r="E93" i="9"/>
  <c r="CN22" i="9"/>
  <c r="C93" i="9" s="1"/>
  <c r="BY34" i="20"/>
  <c r="Y112" i="20"/>
  <c r="BY26" i="9"/>
  <c r="BI34" i="9"/>
  <c r="BH35" i="9"/>
  <c r="BG26" i="9"/>
  <c r="BR33" i="9"/>
  <c r="BQ35" i="9"/>
  <c r="BP24" i="9"/>
  <c r="BW28" i="9"/>
  <c r="BM24" i="9"/>
  <c r="BT27" i="9"/>
  <c r="BO31" i="9"/>
  <c r="CC30" i="9"/>
  <c r="BX30" i="9"/>
  <c r="BN27" i="9"/>
  <c r="BJ24" i="9"/>
  <c r="CB25" i="9"/>
  <c r="BU30" i="9"/>
  <c r="CD30" i="9"/>
  <c r="BK29" i="9"/>
  <c r="BL29" i="9"/>
  <c r="BS24" i="9"/>
  <c r="BV24" i="9"/>
  <c r="Y109" i="2" l="1"/>
  <c r="BY31" i="2"/>
  <c r="AA111" i="23"/>
  <c r="BZ31" i="22"/>
  <c r="Z109" i="22"/>
  <c r="CA30" i="27"/>
  <c r="AA108" i="27"/>
  <c r="Z109" i="28"/>
  <c r="BZ31" i="28"/>
  <c r="CA31" i="24"/>
  <c r="AA109" i="24"/>
  <c r="Z110" i="23"/>
  <c r="BZ32" i="23"/>
  <c r="Y108" i="28"/>
  <c r="BY30" i="28"/>
  <c r="CB29" i="28"/>
  <c r="W108" i="28" s="1"/>
  <c r="AA108" i="21"/>
  <c r="CA30" i="21"/>
  <c r="BZ31" i="26"/>
  <c r="Z109" i="26"/>
  <c r="Y108" i="23"/>
  <c r="BY30" i="23"/>
  <c r="CB29" i="23"/>
  <c r="W108" i="23" s="1"/>
  <c r="CB29" i="21"/>
  <c r="W108" i="21" s="1"/>
  <c r="Y108" i="21"/>
  <c r="BY30" i="21"/>
  <c r="BY30" i="25"/>
  <c r="CB30" i="25" s="1"/>
  <c r="W109" i="25" s="1"/>
  <c r="Y108" i="25"/>
  <c r="CB29" i="27"/>
  <c r="W108" i="27" s="1"/>
  <c r="CA30" i="22"/>
  <c r="AA108" i="22"/>
  <c r="CA30" i="2"/>
  <c r="AA108" i="2"/>
  <c r="CB29" i="2"/>
  <c r="W108" i="2" s="1"/>
  <c r="Z110" i="24"/>
  <c r="BZ32" i="24"/>
  <c r="Y108" i="24"/>
  <c r="CB29" i="24"/>
  <c r="W108" i="24" s="1"/>
  <c r="BY30" i="24"/>
  <c r="CA31" i="26"/>
  <c r="AA109" i="26"/>
  <c r="CA31" i="25"/>
  <c r="AA109" i="25"/>
  <c r="Y109" i="27"/>
  <c r="BY31" i="27"/>
  <c r="Z111" i="27"/>
  <c r="BZ33" i="27"/>
  <c r="Y109" i="22"/>
  <c r="BY31" i="22"/>
  <c r="BZ32" i="25"/>
  <c r="Z110" i="25"/>
  <c r="CA31" i="20"/>
  <c r="AA109" i="20"/>
  <c r="CB30" i="20"/>
  <c r="W109" i="20" s="1"/>
  <c r="CB30" i="26"/>
  <c r="W109" i="26" s="1"/>
  <c r="Y110" i="26"/>
  <c r="BY32" i="26"/>
  <c r="Z111" i="20"/>
  <c r="BZ33" i="20"/>
  <c r="Z111" i="2"/>
  <c r="BZ33" i="2"/>
  <c r="AA112" i="23"/>
  <c r="CA34" i="23"/>
  <c r="Z112" i="21"/>
  <c r="BZ34" i="21"/>
  <c r="CA36" i="28"/>
  <c r="AA114" i="28"/>
  <c r="CL27" i="9"/>
  <c r="F98" i="9" s="1"/>
  <c r="CM29" i="9"/>
  <c r="G100" i="9" s="1"/>
  <c r="CK24" i="9"/>
  <c r="E94" i="9"/>
  <c r="CN23" i="9"/>
  <c r="C94" i="9" s="1"/>
  <c r="BY35" i="20"/>
  <c r="Y113" i="20"/>
  <c r="BY27" i="9"/>
  <c r="BI35" i="9"/>
  <c r="BH37" i="9"/>
  <c r="BH36" i="9"/>
  <c r="BG27" i="9"/>
  <c r="BP25" i="9"/>
  <c r="BR34" i="9"/>
  <c r="BQ36" i="9"/>
  <c r="BO32" i="9"/>
  <c r="BV25" i="9"/>
  <c r="BJ25" i="9"/>
  <c r="CC31" i="9"/>
  <c r="BM25" i="9"/>
  <c r="BN28" i="9"/>
  <c r="BT28" i="9"/>
  <c r="BW29" i="9"/>
  <c r="BX31" i="9"/>
  <c r="BL30" i="9"/>
  <c r="BK30" i="9"/>
  <c r="CD31" i="9"/>
  <c r="BU31" i="9"/>
  <c r="CB26" i="9"/>
  <c r="BS25" i="9"/>
  <c r="Y110" i="2" l="1"/>
  <c r="BY32" i="2"/>
  <c r="BZ32" i="22"/>
  <c r="Z110" i="22"/>
  <c r="Y109" i="24"/>
  <c r="CB30" i="24"/>
  <c r="W109" i="24" s="1"/>
  <c r="BY31" i="24"/>
  <c r="CA31" i="21"/>
  <c r="AA109" i="21"/>
  <c r="CA31" i="22"/>
  <c r="CB31" i="22" s="1"/>
  <c r="W110" i="22" s="1"/>
  <c r="AA109" i="22"/>
  <c r="Z110" i="26"/>
  <c r="BZ32" i="26"/>
  <c r="Z111" i="24"/>
  <c r="BZ33" i="24"/>
  <c r="BZ33" i="23"/>
  <c r="Z111" i="23"/>
  <c r="CB30" i="22"/>
  <c r="W109" i="22" s="1"/>
  <c r="CA32" i="24"/>
  <c r="AA110" i="24"/>
  <c r="BY31" i="28"/>
  <c r="Y109" i="28"/>
  <c r="CB30" i="28"/>
  <c r="W109" i="28" s="1"/>
  <c r="BZ32" i="28"/>
  <c r="Z110" i="28"/>
  <c r="BY31" i="25"/>
  <c r="CB31" i="25" s="1"/>
  <c r="W110" i="25" s="1"/>
  <c r="Y109" i="25"/>
  <c r="BY31" i="23"/>
  <c r="Y109" i="23"/>
  <c r="CB30" i="23"/>
  <c r="W109" i="23" s="1"/>
  <c r="AA109" i="2"/>
  <c r="CA31" i="2"/>
  <c r="CB30" i="2"/>
  <c r="W109" i="2" s="1"/>
  <c r="CB30" i="21"/>
  <c r="W109" i="21" s="1"/>
  <c r="BY31" i="21"/>
  <c r="Y109" i="21"/>
  <c r="CA31" i="27"/>
  <c r="CB30" i="27"/>
  <c r="W109" i="27" s="1"/>
  <c r="AA109" i="27"/>
  <c r="Y110" i="22"/>
  <c r="BY32" i="22"/>
  <c r="BZ34" i="27"/>
  <c r="Z112" i="27"/>
  <c r="CA32" i="20"/>
  <c r="AA110" i="20"/>
  <c r="CB31" i="20"/>
  <c r="W110" i="20" s="1"/>
  <c r="Z111" i="25"/>
  <c r="BZ33" i="25"/>
  <c r="Y110" i="27"/>
  <c r="BY32" i="27"/>
  <c r="AA110" i="25"/>
  <c r="CA32" i="25"/>
  <c r="AA110" i="26"/>
  <c r="CA32" i="26"/>
  <c r="CB31" i="26"/>
  <c r="W110" i="26" s="1"/>
  <c r="Y111" i="26"/>
  <c r="BY33" i="26"/>
  <c r="BZ34" i="20"/>
  <c r="Z112" i="20"/>
  <c r="BZ34" i="2"/>
  <c r="Z112" i="2"/>
  <c r="CA35" i="23"/>
  <c r="AA113" i="23"/>
  <c r="BZ35" i="21"/>
  <c r="Z113" i="21"/>
  <c r="AA115" i="28"/>
  <c r="CA37" i="28"/>
  <c r="CL28" i="9"/>
  <c r="F99" i="9" s="1"/>
  <c r="CM30" i="9"/>
  <c r="G101" i="9" s="1"/>
  <c r="BQ12" i="9"/>
  <c r="BQ2" i="9" s="1"/>
  <c r="BH12" i="9"/>
  <c r="CK25" i="9"/>
  <c r="E95" i="9"/>
  <c r="CN24" i="9"/>
  <c r="C95" i="9" s="1"/>
  <c r="BY36" i="20"/>
  <c r="Y114" i="20"/>
  <c r="BY28" i="9"/>
  <c r="BI37" i="9"/>
  <c r="BG28" i="9"/>
  <c r="BI36" i="9"/>
  <c r="BQ37" i="9"/>
  <c r="BR35" i="9"/>
  <c r="BP26" i="9"/>
  <c r="BV26" i="9"/>
  <c r="BJ26" i="9"/>
  <c r="BW30" i="9"/>
  <c r="BT29" i="9"/>
  <c r="BM26" i="9"/>
  <c r="BN29" i="9"/>
  <c r="BU32" i="9"/>
  <c r="BK31" i="9"/>
  <c r="BS26" i="9"/>
  <c r="CB27" i="9"/>
  <c r="BX32" i="9"/>
  <c r="CD32" i="9"/>
  <c r="BO33" i="9"/>
  <c r="BL31" i="9"/>
  <c r="CC32" i="9"/>
  <c r="BY33" i="2" l="1"/>
  <c r="Y111" i="2"/>
  <c r="BZ33" i="22"/>
  <c r="Z111" i="22"/>
  <c r="AA111" i="24"/>
  <c r="CA33" i="24"/>
  <c r="CB31" i="21"/>
  <c r="W110" i="21" s="1"/>
  <c r="Y110" i="21"/>
  <c r="BY32" i="21"/>
  <c r="BZ34" i="24"/>
  <c r="Z112" i="24"/>
  <c r="CA32" i="22"/>
  <c r="AA110" i="22"/>
  <c r="Y110" i="28"/>
  <c r="BY32" i="28"/>
  <c r="CB31" i="28"/>
  <c r="W110" i="28" s="1"/>
  <c r="CA32" i="27"/>
  <c r="CB31" i="27"/>
  <c r="W110" i="27" s="1"/>
  <c r="AA110" i="27"/>
  <c r="BZ33" i="28"/>
  <c r="Z111" i="28"/>
  <c r="Z112" i="23"/>
  <c r="BZ34" i="23"/>
  <c r="Z111" i="26"/>
  <c r="BZ33" i="26"/>
  <c r="BY32" i="23"/>
  <c r="Y110" i="23"/>
  <c r="CB31" i="23"/>
  <c r="W110" i="23" s="1"/>
  <c r="AA110" i="21"/>
  <c r="CA32" i="21"/>
  <c r="AA110" i="2"/>
  <c r="CA32" i="2"/>
  <c r="CB31" i="2"/>
  <c r="W110" i="2" s="1"/>
  <c r="CB31" i="24"/>
  <c r="W110" i="24" s="1"/>
  <c r="Y110" i="24"/>
  <c r="BY32" i="24"/>
  <c r="BY32" i="25"/>
  <c r="CB32" i="25" s="1"/>
  <c r="W111" i="25" s="1"/>
  <c r="Y110" i="25"/>
  <c r="BY33" i="27"/>
  <c r="Y111" i="27"/>
  <c r="BZ34" i="25"/>
  <c r="Z112" i="25"/>
  <c r="CA33" i="25"/>
  <c r="AA111" i="25"/>
  <c r="CB32" i="26"/>
  <c r="W111" i="26" s="1"/>
  <c r="CA33" i="26"/>
  <c r="AA111" i="26"/>
  <c r="BY33" i="22"/>
  <c r="Y111" i="22"/>
  <c r="CA33" i="20"/>
  <c r="AA111" i="20"/>
  <c r="CB32" i="20"/>
  <c r="W111" i="20" s="1"/>
  <c r="Z113" i="27"/>
  <c r="BZ35" i="27"/>
  <c r="BY34" i="26"/>
  <c r="Y112" i="26"/>
  <c r="Z113" i="2"/>
  <c r="BZ35" i="2"/>
  <c r="BZ35" i="20"/>
  <c r="Z113" i="20"/>
  <c r="CA36" i="23"/>
  <c r="AA114" i="23"/>
  <c r="BZ36" i="21"/>
  <c r="Z114" i="21"/>
  <c r="AA116" i="28"/>
  <c r="CA38" i="28"/>
  <c r="CL29" i="9"/>
  <c r="F100" i="9" s="1"/>
  <c r="CM31" i="9"/>
  <c r="G102" i="9" s="1"/>
  <c r="BI12" i="9"/>
  <c r="BH2" i="9"/>
  <c r="CK26" i="9"/>
  <c r="E96" i="9"/>
  <c r="CN25" i="9"/>
  <c r="C96" i="9" s="1"/>
  <c r="BY37" i="20"/>
  <c r="Y115" i="20"/>
  <c r="BY29" i="9"/>
  <c r="BG29" i="9"/>
  <c r="BR36" i="9"/>
  <c r="BP27" i="9"/>
  <c r="CB28" i="9"/>
  <c r="BN30" i="9"/>
  <c r="BO34" i="9"/>
  <c r="BM27" i="9"/>
  <c r="BS27" i="9"/>
  <c r="CD33" i="9"/>
  <c r="BT30" i="9"/>
  <c r="BW31" i="9"/>
  <c r="BX33" i="9"/>
  <c r="BV27" i="9"/>
  <c r="CC33" i="9"/>
  <c r="BK32" i="9"/>
  <c r="BL32" i="9"/>
  <c r="BJ27" i="9"/>
  <c r="BU33" i="9"/>
  <c r="Y112" i="2" l="1"/>
  <c r="BY34" i="2"/>
  <c r="Z112" i="22"/>
  <c r="BZ34" i="22"/>
  <c r="CA33" i="27"/>
  <c r="CB33" i="27" s="1"/>
  <c r="W112" i="27" s="1"/>
  <c r="AA111" i="27"/>
  <c r="Z113" i="24"/>
  <c r="BZ35" i="24"/>
  <c r="BY33" i="24"/>
  <c r="CB32" i="24"/>
  <c r="W111" i="24" s="1"/>
  <c r="Y111" i="24"/>
  <c r="BY33" i="28"/>
  <c r="Y111" i="28"/>
  <c r="CB32" i="28"/>
  <c r="W111" i="28" s="1"/>
  <c r="AA111" i="22"/>
  <c r="CA33" i="22"/>
  <c r="CB33" i="22" s="1"/>
  <c r="W112" i="22" s="1"/>
  <c r="CB32" i="22"/>
  <c r="W111" i="22" s="1"/>
  <c r="CB32" i="21"/>
  <c r="W111" i="21" s="1"/>
  <c r="BY33" i="21"/>
  <c r="Y111" i="21"/>
  <c r="BZ35" i="23"/>
  <c r="Z113" i="23"/>
  <c r="Z112" i="28"/>
  <c r="BZ34" i="28"/>
  <c r="AA111" i="2"/>
  <c r="CA33" i="2"/>
  <c r="CB32" i="2"/>
  <c r="W111" i="2" s="1"/>
  <c r="AA111" i="21"/>
  <c r="CA33" i="21"/>
  <c r="Y111" i="23"/>
  <c r="BY33" i="23"/>
  <c r="CB32" i="23"/>
  <c r="W111" i="23" s="1"/>
  <c r="CA34" i="24"/>
  <c r="AA112" i="24"/>
  <c r="BY33" i="25"/>
  <c r="Y111" i="25"/>
  <c r="CB32" i="27"/>
  <c r="W111" i="27" s="1"/>
  <c r="BZ34" i="26"/>
  <c r="Z112" i="26"/>
  <c r="CB33" i="25"/>
  <c r="W112" i="25" s="1"/>
  <c r="AA112" i="25"/>
  <c r="CA34" i="25"/>
  <c r="CB33" i="26"/>
  <c r="W112" i="26" s="1"/>
  <c r="CA34" i="26"/>
  <c r="AA112" i="26"/>
  <c r="Z113" i="25"/>
  <c r="BZ35" i="25"/>
  <c r="BY34" i="22"/>
  <c r="Y112" i="22"/>
  <c r="Z114" i="27"/>
  <c r="BZ36" i="27"/>
  <c r="CA34" i="20"/>
  <c r="AA112" i="20"/>
  <c r="CB33" i="20"/>
  <c r="W112" i="20" s="1"/>
  <c r="Y112" i="27"/>
  <c r="BY34" i="27"/>
  <c r="Y113" i="26"/>
  <c r="BY35" i="26"/>
  <c r="Z114" i="20"/>
  <c r="BZ36" i="20"/>
  <c r="BZ36" i="2"/>
  <c r="Z114" i="2"/>
  <c r="CA37" i="23"/>
  <c r="AA115" i="23"/>
  <c r="BZ37" i="21"/>
  <c r="Z115" i="21"/>
  <c r="AA117" i="28"/>
  <c r="CA39" i="28"/>
  <c r="CL30" i="9"/>
  <c r="F101" i="9" s="1"/>
  <c r="CM32" i="9"/>
  <c r="G103" i="9" s="1"/>
  <c r="BR12" i="9"/>
  <c r="BR2" i="9" s="1"/>
  <c r="BI2" i="9"/>
  <c r="CK27" i="9"/>
  <c r="E97" i="9"/>
  <c r="CN26" i="9"/>
  <c r="C97" i="9" s="1"/>
  <c r="Y116" i="20"/>
  <c r="BY38" i="20"/>
  <c r="BY30" i="9"/>
  <c r="BG30" i="9"/>
  <c r="BR37" i="9"/>
  <c r="BP28" i="9"/>
  <c r="CD34" i="9"/>
  <c r="BM28" i="9"/>
  <c r="CB29" i="9"/>
  <c r="BW32" i="9"/>
  <c r="BJ28" i="9"/>
  <c r="BV28" i="9"/>
  <c r="BT31" i="9"/>
  <c r="BX34" i="9"/>
  <c r="BU34" i="9"/>
  <c r="BN31" i="9"/>
  <c r="BS28" i="9"/>
  <c r="BK33" i="9"/>
  <c r="CC34" i="9"/>
  <c r="BO35" i="9"/>
  <c r="BL33" i="9"/>
  <c r="Y113" i="2" l="1"/>
  <c r="BY35" i="2"/>
  <c r="Z113" i="22"/>
  <c r="BZ35" i="22"/>
  <c r="Y112" i="25"/>
  <c r="BY34" i="25"/>
  <c r="CB34" i="25" s="1"/>
  <c r="W113" i="25" s="1"/>
  <c r="CA35" i="24"/>
  <c r="AA113" i="24"/>
  <c r="Z113" i="26"/>
  <c r="BZ35" i="26"/>
  <c r="BZ36" i="23"/>
  <c r="Z114" i="23"/>
  <c r="CB33" i="21"/>
  <c r="W112" i="21" s="1"/>
  <c r="Y112" i="21"/>
  <c r="BY34" i="21"/>
  <c r="BY34" i="23"/>
  <c r="Y112" i="23"/>
  <c r="CB33" i="23"/>
  <c r="W112" i="23" s="1"/>
  <c r="AA112" i="21"/>
  <c r="CA34" i="21"/>
  <c r="BY34" i="24"/>
  <c r="Y112" i="24"/>
  <c r="CB33" i="24"/>
  <c r="W112" i="24" s="1"/>
  <c r="CA34" i="22"/>
  <c r="AA112" i="22"/>
  <c r="Y112" i="28"/>
  <c r="BY34" i="28"/>
  <c r="CB33" i="28"/>
  <c r="W112" i="28" s="1"/>
  <c r="Z114" i="24"/>
  <c r="BZ36" i="24"/>
  <c r="Z113" i="28"/>
  <c r="BZ35" i="28"/>
  <c r="AA112" i="2"/>
  <c r="CA34" i="2"/>
  <c r="CB33" i="2"/>
  <c r="W112" i="2" s="1"/>
  <c r="CA34" i="27"/>
  <c r="CB34" i="27" s="1"/>
  <c r="W113" i="27" s="1"/>
  <c r="AA112" i="27"/>
  <c r="Y113" i="22"/>
  <c r="BY35" i="22"/>
  <c r="CB34" i="22"/>
  <c r="W113" i="22" s="1"/>
  <c r="CA35" i="25"/>
  <c r="AA113" i="25"/>
  <c r="BZ37" i="27"/>
  <c r="Z115" i="27"/>
  <c r="Z114" i="25"/>
  <c r="BZ36" i="25"/>
  <c r="Y113" i="27"/>
  <c r="BY35" i="27"/>
  <c r="AA113" i="20"/>
  <c r="CA35" i="20"/>
  <c r="CB34" i="20"/>
  <c r="W113" i="20" s="1"/>
  <c r="AA113" i="26"/>
  <c r="CA35" i="26"/>
  <c r="CB34" i="26"/>
  <c r="W113" i="26" s="1"/>
  <c r="Y114" i="26"/>
  <c r="BY36" i="26"/>
  <c r="Z115" i="2"/>
  <c r="BZ37" i="2"/>
  <c r="Z115" i="20"/>
  <c r="BZ37" i="20"/>
  <c r="AA116" i="23"/>
  <c r="CA38" i="23"/>
  <c r="Z116" i="21"/>
  <c r="BZ38" i="21"/>
  <c r="AA118" i="28"/>
  <c r="CA40" i="28"/>
  <c r="CL31" i="9"/>
  <c r="F102" i="9" s="1"/>
  <c r="CM33" i="9"/>
  <c r="G104" i="9" s="1"/>
  <c r="CK28" i="9"/>
  <c r="BY39" i="20"/>
  <c r="Y117" i="20"/>
  <c r="E98" i="9"/>
  <c r="CN27" i="9"/>
  <c r="C98" i="9" s="1"/>
  <c r="BY31" i="9"/>
  <c r="BG31" i="9"/>
  <c r="BP29" i="9"/>
  <c r="BN32" i="9"/>
  <c r="BL34" i="9"/>
  <c r="BO36" i="9"/>
  <c r="CB30" i="9"/>
  <c r="BT32" i="9"/>
  <c r="BU35" i="9"/>
  <c r="BM29" i="9"/>
  <c r="CC35" i="9"/>
  <c r="BW33" i="9"/>
  <c r="CD35" i="9"/>
  <c r="BK34" i="9"/>
  <c r="BJ29" i="9"/>
  <c r="BV29" i="9"/>
  <c r="BS29" i="9"/>
  <c r="BX35" i="9"/>
  <c r="Y114" i="2" l="1"/>
  <c r="BY36" i="2"/>
  <c r="BZ36" i="22"/>
  <c r="Z114" i="22"/>
  <c r="Z115" i="24"/>
  <c r="BZ37" i="24"/>
  <c r="CB34" i="21"/>
  <c r="W113" i="21" s="1"/>
  <c r="BY35" i="21"/>
  <c r="Y113" i="21"/>
  <c r="CA35" i="2"/>
  <c r="AA113" i="2"/>
  <c r="CB34" i="2"/>
  <c r="W113" i="2" s="1"/>
  <c r="BZ36" i="28"/>
  <c r="Z114" i="28"/>
  <c r="Z115" i="23"/>
  <c r="BZ37" i="23"/>
  <c r="Y113" i="28"/>
  <c r="BY35" i="28"/>
  <c r="CB34" i="28"/>
  <c r="W113" i="28" s="1"/>
  <c r="AA114" i="24"/>
  <c r="CA36" i="24"/>
  <c r="Y113" i="24"/>
  <c r="CB34" i="24"/>
  <c r="W113" i="24" s="1"/>
  <c r="BY35" i="24"/>
  <c r="AA113" i="27"/>
  <c r="CA35" i="27"/>
  <c r="CB35" i="27" s="1"/>
  <c r="W114" i="27" s="1"/>
  <c r="Z114" i="26"/>
  <c r="BZ36" i="26"/>
  <c r="Y113" i="25"/>
  <c r="BY35" i="25"/>
  <c r="AA113" i="21"/>
  <c r="CA35" i="21"/>
  <c r="BY35" i="23"/>
  <c r="Y113" i="23"/>
  <c r="CB34" i="23"/>
  <c r="W113" i="23" s="1"/>
  <c r="CA35" i="22"/>
  <c r="CB35" i="22" s="1"/>
  <c r="W114" i="22" s="1"/>
  <c r="AA113" i="22"/>
  <c r="CA36" i="20"/>
  <c r="AA114" i="20"/>
  <c r="CB35" i="20"/>
  <c r="W114" i="20" s="1"/>
  <c r="Y114" i="27"/>
  <c r="BY36" i="27"/>
  <c r="CA36" i="25"/>
  <c r="AA114" i="25"/>
  <c r="Z116" i="27"/>
  <c r="BZ38" i="27"/>
  <c r="CA36" i="26"/>
  <c r="AA114" i="26"/>
  <c r="BZ37" i="25"/>
  <c r="Z115" i="25"/>
  <c r="BY36" i="22"/>
  <c r="Y114" i="22"/>
  <c r="CB35" i="26"/>
  <c r="W114" i="26" s="1"/>
  <c r="BY37" i="26"/>
  <c r="Y115" i="26"/>
  <c r="Z116" i="2"/>
  <c r="BZ38" i="2"/>
  <c r="BZ38" i="20"/>
  <c r="Z116" i="20"/>
  <c r="CA39" i="23"/>
  <c r="AA117" i="23"/>
  <c r="Z117" i="21"/>
  <c r="BZ39" i="21"/>
  <c r="CA41" i="28"/>
  <c r="AA119" i="28"/>
  <c r="CL32" i="9"/>
  <c r="F103" i="9" s="1"/>
  <c r="BO12" i="9"/>
  <c r="BO2" i="9" s="1"/>
  <c r="CM34" i="9"/>
  <c r="G105" i="9" s="1"/>
  <c r="CK29" i="9"/>
  <c r="E99" i="9"/>
  <c r="CN28" i="9"/>
  <c r="C99" i="9" s="1"/>
  <c r="BY40" i="20"/>
  <c r="Y118" i="20"/>
  <c r="BY32" i="9"/>
  <c r="BG32" i="9"/>
  <c r="BP30" i="9"/>
  <c r="BX36" i="9"/>
  <c r="BW34" i="9"/>
  <c r="BJ30" i="9"/>
  <c r="BM30" i="9"/>
  <c r="BT33" i="9"/>
  <c r="CC36" i="9"/>
  <c r="CB31" i="9"/>
  <c r="BN33" i="9"/>
  <c r="BS30" i="9"/>
  <c r="BO37" i="9"/>
  <c r="BL35" i="9"/>
  <c r="BK35" i="9"/>
  <c r="CD36" i="9"/>
  <c r="BU37" i="9"/>
  <c r="BU36" i="9"/>
  <c r="BV30" i="9"/>
  <c r="BY37" i="2" l="1"/>
  <c r="Y115" i="2"/>
  <c r="Z115" i="22"/>
  <c r="BZ37" i="22"/>
  <c r="BY36" i="25"/>
  <c r="CB36" i="25" s="1"/>
  <c r="W115" i="25" s="1"/>
  <c r="Y114" i="25"/>
  <c r="Y114" i="28"/>
  <c r="BY36" i="28"/>
  <c r="CB35" i="28"/>
  <c r="W114" i="28" s="1"/>
  <c r="BZ38" i="23"/>
  <c r="Z116" i="23"/>
  <c r="CA36" i="2"/>
  <c r="AA114" i="2"/>
  <c r="CB35" i="2"/>
  <c r="W114" i="2" s="1"/>
  <c r="Z115" i="26"/>
  <c r="BZ37" i="26"/>
  <c r="CB35" i="21"/>
  <c r="W114" i="21" s="1"/>
  <c r="Y114" i="21"/>
  <c r="BY36" i="21"/>
  <c r="CA37" i="24"/>
  <c r="AA115" i="24"/>
  <c r="AA114" i="27"/>
  <c r="CA36" i="27"/>
  <c r="BY36" i="23"/>
  <c r="Y114" i="23"/>
  <c r="CB35" i="23"/>
  <c r="W114" i="23" s="1"/>
  <c r="Z115" i="28"/>
  <c r="BZ37" i="28"/>
  <c r="BZ38" i="24"/>
  <c r="Z116" i="24"/>
  <c r="CA36" i="22"/>
  <c r="CB36" i="22" s="1"/>
  <c r="W115" i="22" s="1"/>
  <c r="AA114" i="22"/>
  <c r="CA36" i="21"/>
  <c r="AA114" i="21"/>
  <c r="CB35" i="25"/>
  <c r="W114" i="25" s="1"/>
  <c r="Y114" i="24"/>
  <c r="CB35" i="24"/>
  <c r="W114" i="24" s="1"/>
  <c r="BY36" i="24"/>
  <c r="BY37" i="27"/>
  <c r="Y115" i="27"/>
  <c r="Z116" i="25"/>
  <c r="BZ38" i="25"/>
  <c r="CB36" i="26"/>
  <c r="W115" i="26" s="1"/>
  <c r="AA115" i="26"/>
  <c r="CA37" i="26"/>
  <c r="AA115" i="25"/>
  <c r="CA37" i="25"/>
  <c r="BY37" i="22"/>
  <c r="Y115" i="22"/>
  <c r="BZ39" i="27"/>
  <c r="Z117" i="27"/>
  <c r="AA115" i="20"/>
  <c r="CA37" i="20"/>
  <c r="CB36" i="20"/>
  <c r="W115" i="20" s="1"/>
  <c r="BY38" i="26"/>
  <c r="Y116" i="26"/>
  <c r="BZ39" i="20"/>
  <c r="Z117" i="20"/>
  <c r="BZ39" i="2"/>
  <c r="Z117" i="2"/>
  <c r="CA40" i="23"/>
  <c r="AA118" i="23"/>
  <c r="BZ40" i="21"/>
  <c r="Z118" i="21"/>
  <c r="CA42" i="28"/>
  <c r="AA120" i="28"/>
  <c r="CL33" i="9"/>
  <c r="F104" i="9" s="1"/>
  <c r="CD12" i="9"/>
  <c r="CD2" i="9" s="1"/>
  <c r="CC12" i="9"/>
  <c r="CC2" i="9" s="1"/>
  <c r="BU12" i="9"/>
  <c r="BU2" i="9" s="1"/>
  <c r="BX12" i="9"/>
  <c r="BX2" i="9" s="1"/>
  <c r="CM35" i="9"/>
  <c r="G106" i="9" s="1"/>
  <c r="CK30" i="9"/>
  <c r="E100" i="9"/>
  <c r="CN29" i="9"/>
  <c r="C100" i="9" s="1"/>
  <c r="BY41" i="20"/>
  <c r="Y119" i="20"/>
  <c r="BY33" i="9"/>
  <c r="BG33" i="9"/>
  <c r="BP31" i="9"/>
  <c r="BN34" i="9"/>
  <c r="BS31" i="9"/>
  <c r="CD37" i="9"/>
  <c r="BT34" i="9"/>
  <c r="BX37" i="9"/>
  <c r="BW35" i="9"/>
  <c r="BV31" i="9"/>
  <c r="CC37" i="9"/>
  <c r="BJ31" i="9"/>
  <c r="BM31" i="9"/>
  <c r="BL37" i="9"/>
  <c r="BL36" i="9"/>
  <c r="BK36" i="9"/>
  <c r="CB32" i="9"/>
  <c r="BY38" i="2" l="1"/>
  <c r="Y116" i="2"/>
  <c r="Z116" i="22"/>
  <c r="BZ38" i="22"/>
  <c r="AA115" i="27"/>
  <c r="CA37" i="27"/>
  <c r="CB37" i="27" s="1"/>
  <c r="W116" i="27" s="1"/>
  <c r="BY37" i="21"/>
  <c r="Y115" i="21"/>
  <c r="CB36" i="21"/>
  <c r="W115" i="21" s="1"/>
  <c r="CA37" i="2"/>
  <c r="AA115" i="2"/>
  <c r="CB36" i="2"/>
  <c r="W115" i="2" s="1"/>
  <c r="Z117" i="23"/>
  <c r="BZ39" i="23"/>
  <c r="CB36" i="24"/>
  <c r="W115" i="24" s="1"/>
  <c r="Y115" i="24"/>
  <c r="BY37" i="24"/>
  <c r="Z116" i="26"/>
  <c r="BZ38" i="26"/>
  <c r="BZ38" i="28"/>
  <c r="Z116" i="28"/>
  <c r="Y115" i="28"/>
  <c r="BY37" i="28"/>
  <c r="CB36" i="28"/>
  <c r="W115" i="28" s="1"/>
  <c r="CA38" i="24"/>
  <c r="AA116" i="24"/>
  <c r="BZ39" i="24"/>
  <c r="Z117" i="24"/>
  <c r="AA115" i="22"/>
  <c r="CA37" i="22"/>
  <c r="CB37" i="22" s="1"/>
  <c r="W116" i="22" s="1"/>
  <c r="BY37" i="25"/>
  <c r="Y115" i="25"/>
  <c r="AA115" i="21"/>
  <c r="CA37" i="21"/>
  <c r="Y115" i="23"/>
  <c r="BY37" i="23"/>
  <c r="CB36" i="23"/>
  <c r="W115" i="23" s="1"/>
  <c r="CB36" i="27"/>
  <c r="W115" i="27" s="1"/>
  <c r="Y116" i="22"/>
  <c r="BY38" i="22"/>
  <c r="BZ40" i="27"/>
  <c r="Z118" i="27"/>
  <c r="AA116" i="25"/>
  <c r="CA38" i="25"/>
  <c r="Z117" i="25"/>
  <c r="BZ39" i="25"/>
  <c r="CA38" i="20"/>
  <c r="AA116" i="20"/>
  <c r="CB37" i="20"/>
  <c r="W116" i="20" s="1"/>
  <c r="CB37" i="26"/>
  <c r="W116" i="26" s="1"/>
  <c r="AA116" i="26"/>
  <c r="CA38" i="26"/>
  <c r="Y116" i="27"/>
  <c r="BY38" i="27"/>
  <c r="Y117" i="26"/>
  <c r="BY39" i="26"/>
  <c r="Z118" i="2"/>
  <c r="BZ40" i="2"/>
  <c r="Z118" i="20"/>
  <c r="BZ40" i="20"/>
  <c r="AA119" i="23"/>
  <c r="CA41" i="23"/>
  <c r="BZ41" i="21"/>
  <c r="Z119" i="21"/>
  <c r="CA43" i="28"/>
  <c r="AA121" i="28"/>
  <c r="CL34" i="9"/>
  <c r="F105" i="9" s="1"/>
  <c r="BK12" i="9"/>
  <c r="BK2" i="9" s="1"/>
  <c r="BL12" i="9"/>
  <c r="CM36" i="9"/>
  <c r="CM37" i="9"/>
  <c r="CK31" i="9"/>
  <c r="E101" i="9"/>
  <c r="CN30" i="9"/>
  <c r="C101" i="9" s="1"/>
  <c r="BY42" i="20"/>
  <c r="Y120" i="20"/>
  <c r="BY34" i="9"/>
  <c r="BG34" i="9"/>
  <c r="BP32" i="9"/>
  <c r="BS32" i="9"/>
  <c r="BV32" i="9"/>
  <c r="BW36" i="9"/>
  <c r="BT35" i="9"/>
  <c r="BK37" i="9"/>
  <c r="BN35" i="9"/>
  <c r="CB33" i="9"/>
  <c r="BM32" i="9"/>
  <c r="BJ32" i="9"/>
  <c r="Y117" i="2" l="1"/>
  <c r="BY39" i="2"/>
  <c r="BZ39" i="22"/>
  <c r="Z117" i="22"/>
  <c r="Z117" i="28"/>
  <c r="BZ39" i="28"/>
  <c r="CB37" i="24"/>
  <c r="W116" i="24" s="1"/>
  <c r="BY38" i="24"/>
  <c r="Y116" i="24"/>
  <c r="AA116" i="21"/>
  <c r="CA38" i="21"/>
  <c r="BZ40" i="23"/>
  <c r="Z118" i="23"/>
  <c r="CA38" i="2"/>
  <c r="AA116" i="2"/>
  <c r="CB37" i="2"/>
  <c r="W116" i="2" s="1"/>
  <c r="BY38" i="25"/>
  <c r="Y116" i="25"/>
  <c r="AA116" i="22"/>
  <c r="CA38" i="22"/>
  <c r="BZ40" i="24"/>
  <c r="Z118" i="24"/>
  <c r="CB37" i="21"/>
  <c r="W116" i="21" s="1"/>
  <c r="BY38" i="21"/>
  <c r="Y116" i="21"/>
  <c r="Y116" i="28"/>
  <c r="BY38" i="28"/>
  <c r="CB37" i="28"/>
  <c r="W116" i="28" s="1"/>
  <c r="Z117" i="26"/>
  <c r="BZ39" i="26"/>
  <c r="CA38" i="27"/>
  <c r="AA116" i="27"/>
  <c r="BY38" i="23"/>
  <c r="Y116" i="23"/>
  <c r="CB37" i="23"/>
  <c r="W116" i="23" s="1"/>
  <c r="CB37" i="25"/>
  <c r="W116" i="25" s="1"/>
  <c r="AA117" i="24"/>
  <c r="CA39" i="24"/>
  <c r="Z118" i="25"/>
  <c r="BZ40" i="25"/>
  <c r="Y117" i="27"/>
  <c r="BY39" i="27"/>
  <c r="AA117" i="26"/>
  <c r="CA39" i="26"/>
  <c r="AA117" i="25"/>
  <c r="CA39" i="25"/>
  <c r="BY39" i="22"/>
  <c r="Y117" i="22"/>
  <c r="CA39" i="20"/>
  <c r="AA117" i="20"/>
  <c r="CB38" i="20"/>
  <c r="W117" i="20" s="1"/>
  <c r="BZ41" i="27"/>
  <c r="Z119" i="27"/>
  <c r="CB38" i="26"/>
  <c r="W117" i="26" s="1"/>
  <c r="BY40" i="26"/>
  <c r="Y118" i="26"/>
  <c r="BZ41" i="20"/>
  <c r="Z119" i="20"/>
  <c r="BZ41" i="2"/>
  <c r="Z119" i="2"/>
  <c r="AA120" i="23"/>
  <c r="CA42" i="23"/>
  <c r="BZ42" i="21"/>
  <c r="Z120" i="21"/>
  <c r="AA122" i="28"/>
  <c r="CA44" i="28"/>
  <c r="CL35" i="9"/>
  <c r="F106" i="9" s="1"/>
  <c r="BW12" i="9"/>
  <c r="BW2" i="9" s="1"/>
  <c r="BL2" i="9"/>
  <c r="CM12" i="9"/>
  <c r="G83" i="9" s="1"/>
  <c r="G107" i="9" s="1"/>
  <c r="CK32" i="9"/>
  <c r="E102" i="9"/>
  <c r="CN31" i="9"/>
  <c r="C102" i="9" s="1"/>
  <c r="BY43" i="20"/>
  <c r="Y121" i="20"/>
  <c r="BY35" i="9"/>
  <c r="BG35" i="9"/>
  <c r="BP33" i="9"/>
  <c r="BN36" i="9"/>
  <c r="BN37" i="9"/>
  <c r="BT36" i="9"/>
  <c r="BM33" i="9"/>
  <c r="BS33" i="9"/>
  <c r="BV33" i="9"/>
  <c r="BT37" i="9"/>
  <c r="BW37" i="9"/>
  <c r="BJ33" i="9"/>
  <c r="CB34" i="9"/>
  <c r="BY40" i="2" l="1"/>
  <c r="Y118" i="2"/>
  <c r="BZ40" i="22"/>
  <c r="Z118" i="22"/>
  <c r="AA118" i="24"/>
  <c r="CA40" i="24"/>
  <c r="AA117" i="27"/>
  <c r="CA39" i="27"/>
  <c r="AA117" i="21"/>
  <c r="CA39" i="21"/>
  <c r="Z119" i="24"/>
  <c r="BZ41" i="24"/>
  <c r="BZ40" i="26"/>
  <c r="Z118" i="26"/>
  <c r="AA117" i="22"/>
  <c r="CA39" i="22"/>
  <c r="CB39" i="22" s="1"/>
  <c r="W118" i="22" s="1"/>
  <c r="BY39" i="25"/>
  <c r="Y117" i="25"/>
  <c r="BY39" i="23"/>
  <c r="Y117" i="23"/>
  <c r="CB38" i="23"/>
  <c r="W117" i="23" s="1"/>
  <c r="BZ41" i="23"/>
  <c r="Z119" i="23"/>
  <c r="CB38" i="22"/>
  <c r="W117" i="22" s="1"/>
  <c r="CB38" i="27"/>
  <c r="W117" i="27" s="1"/>
  <c r="BY39" i="24"/>
  <c r="Y117" i="24"/>
  <c r="CB38" i="24"/>
  <c r="W117" i="24" s="1"/>
  <c r="BY39" i="28"/>
  <c r="Y117" i="28"/>
  <c r="CB38" i="28"/>
  <c r="W117" i="28" s="1"/>
  <c r="CB38" i="21"/>
  <c r="W117" i="21" s="1"/>
  <c r="Y117" i="21"/>
  <c r="BY39" i="21"/>
  <c r="AA117" i="2"/>
  <c r="CA39" i="2"/>
  <c r="CB38" i="2"/>
  <c r="W117" i="2" s="1"/>
  <c r="Z118" i="28"/>
  <c r="BZ40" i="28"/>
  <c r="CB38" i="25"/>
  <c r="W117" i="25" s="1"/>
  <c r="Z120" i="27"/>
  <c r="BZ42" i="27"/>
  <c r="Y118" i="27"/>
  <c r="BY40" i="27"/>
  <c r="AA118" i="25"/>
  <c r="CA40" i="25"/>
  <c r="BZ41" i="25"/>
  <c r="Z119" i="25"/>
  <c r="CA40" i="20"/>
  <c r="AA118" i="20"/>
  <c r="CB39" i="20"/>
  <c r="W118" i="20" s="1"/>
  <c r="Y118" i="22"/>
  <c r="BY40" i="22"/>
  <c r="CA40" i="26"/>
  <c r="AA118" i="26"/>
  <c r="CB39" i="26"/>
  <c r="W118" i="26" s="1"/>
  <c r="Y119" i="26"/>
  <c r="BY41" i="26"/>
  <c r="Z120" i="2"/>
  <c r="BZ42" i="2"/>
  <c r="BZ42" i="20"/>
  <c r="Z120" i="20"/>
  <c r="CA43" i="23"/>
  <c r="AA121" i="23"/>
  <c r="BZ43" i="21"/>
  <c r="Z121" i="21"/>
  <c r="AA123" i="28"/>
  <c r="CA45" i="28"/>
  <c r="BT12" i="9"/>
  <c r="BT2" i="9" s="1"/>
  <c r="CL37" i="9"/>
  <c r="BN12" i="9"/>
  <c r="CL36" i="9"/>
  <c r="CK33" i="9"/>
  <c r="E103" i="9"/>
  <c r="CN32" i="9"/>
  <c r="C103" i="9" s="1"/>
  <c r="BY44" i="20"/>
  <c r="Y122" i="20"/>
  <c r="BY36" i="9"/>
  <c r="BG36" i="9"/>
  <c r="BP34" i="9"/>
  <c r="CB35" i="9"/>
  <c r="BJ34" i="9"/>
  <c r="BM34" i="9"/>
  <c r="BV34" i="9"/>
  <c r="BS34" i="9"/>
  <c r="Y119" i="2" l="1"/>
  <c r="BY41" i="2"/>
  <c r="Z119" i="22"/>
  <c r="BZ41" i="22"/>
  <c r="BZ41" i="28"/>
  <c r="Z119" i="28"/>
  <c r="AA118" i="2"/>
  <c r="CA40" i="2"/>
  <c r="CB39" i="2"/>
  <c r="W118" i="2" s="1"/>
  <c r="AA118" i="22"/>
  <c r="CA40" i="22"/>
  <c r="CB40" i="22" s="1"/>
  <c r="W119" i="22" s="1"/>
  <c r="CA40" i="21"/>
  <c r="AA118" i="21"/>
  <c r="Y118" i="25"/>
  <c r="BY40" i="25"/>
  <c r="CB39" i="25"/>
  <c r="W118" i="25" s="1"/>
  <c r="CA40" i="27"/>
  <c r="AA118" i="27"/>
  <c r="CB39" i="24"/>
  <c r="W118" i="24" s="1"/>
  <c r="Y118" i="24"/>
  <c r="BY40" i="24"/>
  <c r="BY40" i="23"/>
  <c r="Y118" i="23"/>
  <c r="CB39" i="23"/>
  <c r="W118" i="23" s="1"/>
  <c r="CB39" i="21"/>
  <c r="W118" i="21" s="1"/>
  <c r="BY40" i="21"/>
  <c r="Y118" i="21"/>
  <c r="CB39" i="27"/>
  <c r="W118" i="27" s="1"/>
  <c r="CA41" i="24"/>
  <c r="AA119" i="24"/>
  <c r="BZ42" i="23"/>
  <c r="Z120" i="23"/>
  <c r="Z119" i="26"/>
  <c r="BZ41" i="26"/>
  <c r="BZ42" i="24"/>
  <c r="Z120" i="24"/>
  <c r="BY40" i="28"/>
  <c r="Y118" i="28"/>
  <c r="CB39" i="28"/>
  <c r="W118" i="28" s="1"/>
  <c r="BY41" i="22"/>
  <c r="Y119" i="22"/>
  <c r="CA41" i="20"/>
  <c r="AA119" i="20"/>
  <c r="CB40" i="20"/>
  <c r="W119" i="20" s="1"/>
  <c r="AA119" i="25"/>
  <c r="CA41" i="25"/>
  <c r="Y119" i="27"/>
  <c r="BY41" i="27"/>
  <c r="CB40" i="26"/>
  <c r="W119" i="26" s="1"/>
  <c r="CA41" i="26"/>
  <c r="AA119" i="26"/>
  <c r="BZ43" i="27"/>
  <c r="Z121" i="27"/>
  <c r="BZ42" i="25"/>
  <c r="Z120" i="25"/>
  <c r="Y120" i="26"/>
  <c r="BY42" i="26"/>
  <c r="Z121" i="20"/>
  <c r="BZ43" i="20"/>
  <c r="Z121" i="2"/>
  <c r="BZ43" i="2"/>
  <c r="CA44" i="23"/>
  <c r="AA122" i="23"/>
  <c r="Z122" i="21"/>
  <c r="BZ44" i="21"/>
  <c r="CA46" i="28"/>
  <c r="AA124" i="28"/>
  <c r="BN2" i="9"/>
  <c r="CL12" i="9"/>
  <c r="F83" i="9" s="1"/>
  <c r="F107" i="9" s="1"/>
  <c r="BY12" i="9"/>
  <c r="BY2" i="9" s="1"/>
  <c r="CK34" i="9"/>
  <c r="E104" i="9"/>
  <c r="CN33" i="9"/>
  <c r="C104" i="9" s="1"/>
  <c r="BY45" i="20"/>
  <c r="Y123" i="20"/>
  <c r="BG12" i="9"/>
  <c r="BY37" i="9"/>
  <c r="BG37" i="9"/>
  <c r="BP35" i="9"/>
  <c r="CB36" i="9"/>
  <c r="BV35" i="9"/>
  <c r="BM35" i="9"/>
  <c r="BJ35" i="9"/>
  <c r="BS35" i="9"/>
  <c r="BY42" i="2" l="1"/>
  <c r="Y120" i="2"/>
  <c r="Z120" i="22"/>
  <c r="BZ42" i="22"/>
  <c r="BZ43" i="24"/>
  <c r="Z121" i="24"/>
  <c r="CB41" i="27"/>
  <c r="W120" i="27" s="1"/>
  <c r="CA41" i="22"/>
  <c r="AA119" i="22"/>
  <c r="AA119" i="21"/>
  <c r="CA41" i="21"/>
  <c r="CB40" i="24"/>
  <c r="W119" i="24" s="1"/>
  <c r="Y119" i="24"/>
  <c r="BY41" i="24"/>
  <c r="Y119" i="25"/>
  <c r="BY41" i="25"/>
  <c r="CA41" i="2"/>
  <c r="AA119" i="2"/>
  <c r="CB40" i="2"/>
  <c r="W119" i="2" s="1"/>
  <c r="Y119" i="23"/>
  <c r="BY41" i="23"/>
  <c r="CB40" i="23"/>
  <c r="W119" i="23" s="1"/>
  <c r="AA119" i="27"/>
  <c r="CA41" i="27"/>
  <c r="CB40" i="27"/>
  <c r="W119" i="27" s="1"/>
  <c r="Z121" i="23"/>
  <c r="BZ43" i="23"/>
  <c r="CB40" i="25"/>
  <c r="W119" i="25" s="1"/>
  <c r="CB40" i="21"/>
  <c r="W119" i="21" s="1"/>
  <c r="BY41" i="21"/>
  <c r="Y119" i="21"/>
  <c r="BY41" i="28"/>
  <c r="Y119" i="28"/>
  <c r="CB40" i="28"/>
  <c r="W119" i="28" s="1"/>
  <c r="Z120" i="26"/>
  <c r="BZ42" i="26"/>
  <c r="CA42" i="24"/>
  <c r="AA120" i="24"/>
  <c r="BZ42" i="28"/>
  <c r="Z120" i="28"/>
  <c r="CB41" i="26"/>
  <c r="W120" i="26" s="1"/>
  <c r="AA120" i="26"/>
  <c r="CA42" i="26"/>
  <c r="AA120" i="25"/>
  <c r="CA42" i="25"/>
  <c r="Y120" i="27"/>
  <c r="BY42" i="27"/>
  <c r="BZ44" i="27"/>
  <c r="Z122" i="27"/>
  <c r="AA120" i="20"/>
  <c r="CA42" i="20"/>
  <c r="CB41" i="20"/>
  <c r="W120" i="20" s="1"/>
  <c r="Z121" i="25"/>
  <c r="BZ43" i="25"/>
  <c r="CB41" i="22"/>
  <c r="W120" i="22" s="1"/>
  <c r="Y120" i="22"/>
  <c r="BY42" i="22"/>
  <c r="Y121" i="26"/>
  <c r="BY43" i="26"/>
  <c r="Z122" i="2"/>
  <c r="BZ44" i="2"/>
  <c r="Z122" i="20"/>
  <c r="BZ44" i="20"/>
  <c r="CA45" i="23"/>
  <c r="AA123" i="23"/>
  <c r="BZ45" i="21"/>
  <c r="Z123" i="21"/>
  <c r="AA125" i="28"/>
  <c r="AA126" i="28" s="1"/>
  <c r="CA47" i="28"/>
  <c r="CB12" i="9"/>
  <c r="CB2" i="9" s="1"/>
  <c r="CK35" i="9"/>
  <c r="E105" i="9"/>
  <c r="CN34" i="9"/>
  <c r="C105" i="9" s="1"/>
  <c r="BY46" i="20"/>
  <c r="Y124" i="20"/>
  <c r="BG2" i="9"/>
  <c r="BP36" i="9"/>
  <c r="CB37" i="9"/>
  <c r="BV36" i="9"/>
  <c r="BJ36" i="9"/>
  <c r="BM36" i="9"/>
  <c r="BS36" i="9"/>
  <c r="Y121" i="2" l="1"/>
  <c r="BY43" i="2"/>
  <c r="BZ43" i="22"/>
  <c r="Z121" i="22"/>
  <c r="AA121" i="24"/>
  <c r="CA43" i="24"/>
  <c r="AA120" i="2"/>
  <c r="CA42" i="2"/>
  <c r="CB41" i="2"/>
  <c r="W120" i="2" s="1"/>
  <c r="Z121" i="28"/>
  <c r="BZ43" i="28"/>
  <c r="CB41" i="24"/>
  <c r="W120" i="24" s="1"/>
  <c r="BY42" i="24"/>
  <c r="Y120" i="24"/>
  <c r="CB41" i="21"/>
  <c r="W120" i="21" s="1"/>
  <c r="BY42" i="21"/>
  <c r="Y120" i="21"/>
  <c r="Z122" i="23"/>
  <c r="BZ44" i="23"/>
  <c r="AA120" i="22"/>
  <c r="CA42" i="22"/>
  <c r="Y120" i="23"/>
  <c r="BY42" i="23"/>
  <c r="CB41" i="23"/>
  <c r="W120" i="23" s="1"/>
  <c r="BY42" i="25"/>
  <c r="CB42" i="25" s="1"/>
  <c r="W121" i="25" s="1"/>
  <c r="Y120" i="25"/>
  <c r="BZ43" i="26"/>
  <c r="Z121" i="26"/>
  <c r="CB41" i="25"/>
  <c r="W120" i="25" s="1"/>
  <c r="AA120" i="27"/>
  <c r="CA42" i="27"/>
  <c r="CB42" i="27" s="1"/>
  <c r="W121" i="27" s="1"/>
  <c r="BZ44" i="24"/>
  <c r="Z122" i="24"/>
  <c r="Y120" i="28"/>
  <c r="BY42" i="28"/>
  <c r="CB41" i="28"/>
  <c r="W120" i="28" s="1"/>
  <c r="AA120" i="21"/>
  <c r="CA42" i="21"/>
  <c r="Y121" i="27"/>
  <c r="BY43" i="27"/>
  <c r="CA43" i="25"/>
  <c r="AA121" i="25"/>
  <c r="Y121" i="22"/>
  <c r="BY43" i="22"/>
  <c r="AA121" i="20"/>
  <c r="CA43" i="20"/>
  <c r="CB42" i="20"/>
  <c r="W121" i="20" s="1"/>
  <c r="Z123" i="27"/>
  <c r="BZ45" i="27"/>
  <c r="CA43" i="26"/>
  <c r="CB42" i="26"/>
  <c r="W121" i="26" s="1"/>
  <c r="AA121" i="26"/>
  <c r="BZ44" i="25"/>
  <c r="Z122" i="25"/>
  <c r="Y122" i="26"/>
  <c r="BY44" i="26"/>
  <c r="Z123" i="20"/>
  <c r="BZ45" i="20"/>
  <c r="BZ45" i="2"/>
  <c r="Z123" i="2"/>
  <c r="AA124" i="23"/>
  <c r="CA46" i="23"/>
  <c r="AA125" i="23" s="1"/>
  <c r="Z124" i="21"/>
  <c r="BZ46" i="21"/>
  <c r="BV12" i="9"/>
  <c r="BV2" i="9" s="1"/>
  <c r="BS12" i="9"/>
  <c r="BS2" i="9" s="1"/>
  <c r="BP12" i="9"/>
  <c r="BP2" i="9" s="1"/>
  <c r="BM12" i="9"/>
  <c r="BM2" i="9" s="1"/>
  <c r="BJ12" i="9"/>
  <c r="CK36" i="9"/>
  <c r="CN36" i="9" s="1"/>
  <c r="CN35" i="9"/>
  <c r="C106" i="9" s="1"/>
  <c r="E106" i="9"/>
  <c r="Y125" i="20"/>
  <c r="Y126" i="20" s="1"/>
  <c r="BY47" i="20"/>
  <c r="BP37" i="9"/>
  <c r="BV37" i="9"/>
  <c r="BS37" i="9"/>
  <c r="BM37" i="9"/>
  <c r="BJ37" i="9"/>
  <c r="BY44" i="2" l="1"/>
  <c r="Y122" i="2"/>
  <c r="Z122" i="22"/>
  <c r="BZ44" i="22"/>
  <c r="CA43" i="22"/>
  <c r="CB43" i="22" s="1"/>
  <c r="W122" i="22" s="1"/>
  <c r="AA121" i="22"/>
  <c r="BZ44" i="28"/>
  <c r="Z122" i="28"/>
  <c r="CA43" i="21"/>
  <c r="AA121" i="21"/>
  <c r="Z123" i="24"/>
  <c r="BZ45" i="24"/>
  <c r="BY43" i="23"/>
  <c r="Y121" i="23"/>
  <c r="CB42" i="23"/>
  <c r="W121" i="23" s="1"/>
  <c r="BY43" i="28"/>
  <c r="Y121" i="28"/>
  <c r="CB42" i="28"/>
  <c r="W121" i="28" s="1"/>
  <c r="CB42" i="21"/>
  <c r="W121" i="21" s="1"/>
  <c r="Y121" i="21"/>
  <c r="BY43" i="21"/>
  <c r="CB42" i="24"/>
  <c r="W121" i="24" s="1"/>
  <c r="Y121" i="24"/>
  <c r="BY43" i="24"/>
  <c r="CB42" i="22"/>
  <c r="W121" i="22" s="1"/>
  <c r="Z122" i="26"/>
  <c r="BZ44" i="26"/>
  <c r="CA43" i="2"/>
  <c r="AA121" i="2"/>
  <c r="CB42" i="2"/>
  <c r="W121" i="2" s="1"/>
  <c r="BZ45" i="23"/>
  <c r="Z123" i="23"/>
  <c r="AA121" i="27"/>
  <c r="CA43" i="27"/>
  <c r="AA122" i="24"/>
  <c r="CA44" i="24"/>
  <c r="AA126" i="23"/>
  <c r="Y121" i="25"/>
  <c r="BY43" i="25"/>
  <c r="Z124" i="27"/>
  <c r="BZ46" i="27"/>
  <c r="Z125" i="27" s="1"/>
  <c r="CA44" i="25"/>
  <c r="AA122" i="25"/>
  <c r="AA122" i="26"/>
  <c r="CA44" i="26"/>
  <c r="Y122" i="22"/>
  <c r="BY44" i="22"/>
  <c r="BY44" i="27"/>
  <c r="Y122" i="27"/>
  <c r="CB43" i="26"/>
  <c r="W122" i="26" s="1"/>
  <c r="AA122" i="20"/>
  <c r="CA44" i="20"/>
  <c r="CB43" i="20"/>
  <c r="W122" i="20" s="1"/>
  <c r="Z123" i="25"/>
  <c r="BZ45" i="25"/>
  <c r="BY45" i="26"/>
  <c r="Y123" i="26"/>
  <c r="Z124" i="2"/>
  <c r="BZ46" i="2"/>
  <c r="Z125" i="2" s="1"/>
  <c r="Z124" i="20"/>
  <c r="BZ46" i="20"/>
  <c r="BZ47" i="20" s="1"/>
  <c r="CA47" i="23"/>
  <c r="BZ47" i="21"/>
  <c r="Z125" i="21"/>
  <c r="Z126" i="21" s="1"/>
  <c r="CK37" i="9"/>
  <c r="CN37" i="9" s="1"/>
  <c r="BJ2" i="9"/>
  <c r="CK12" i="9"/>
  <c r="BY45" i="2" l="1"/>
  <c r="Y123" i="2"/>
  <c r="BZ47" i="27"/>
  <c r="Z123" i="22"/>
  <c r="BZ45" i="22"/>
  <c r="Y122" i="28"/>
  <c r="BY44" i="28"/>
  <c r="CB43" i="28"/>
  <c r="W122" i="28" s="1"/>
  <c r="Y122" i="25"/>
  <c r="BY44" i="25"/>
  <c r="CB44" i="25" s="1"/>
  <c r="W123" i="25" s="1"/>
  <c r="BZ45" i="26"/>
  <c r="Z123" i="26"/>
  <c r="BZ45" i="28"/>
  <c r="Z123" i="28"/>
  <c r="Y122" i="23"/>
  <c r="BY44" i="23"/>
  <c r="CB43" i="23"/>
  <c r="W122" i="23" s="1"/>
  <c r="Z124" i="24"/>
  <c r="BZ46" i="24"/>
  <c r="CA44" i="2"/>
  <c r="AA122" i="2"/>
  <c r="CB43" i="2"/>
  <c r="W122" i="2" s="1"/>
  <c r="AA123" i="24"/>
  <c r="CA45" i="24"/>
  <c r="CB43" i="25"/>
  <c r="W122" i="25" s="1"/>
  <c r="CB43" i="21"/>
  <c r="W122" i="21" s="1"/>
  <c r="Y122" i="21"/>
  <c r="BY44" i="21"/>
  <c r="AA122" i="21"/>
  <c r="CA44" i="21"/>
  <c r="BY44" i="24"/>
  <c r="Y122" i="24"/>
  <c r="CB43" i="24"/>
  <c r="W122" i="24" s="1"/>
  <c r="CA44" i="22"/>
  <c r="AA122" i="22"/>
  <c r="CA44" i="27"/>
  <c r="CB44" i="27" s="1"/>
  <c r="W123" i="27" s="1"/>
  <c r="AA122" i="27"/>
  <c r="BZ46" i="23"/>
  <c r="Z125" i="23" s="1"/>
  <c r="Z124" i="23"/>
  <c r="CB43" i="27"/>
  <c r="W122" i="27" s="1"/>
  <c r="Y123" i="27"/>
  <c r="BY45" i="27"/>
  <c r="BY45" i="22"/>
  <c r="Y123" i="22"/>
  <c r="CA45" i="25"/>
  <c r="AA123" i="25"/>
  <c r="Z124" i="25"/>
  <c r="BZ46" i="25"/>
  <c r="AA123" i="26"/>
  <c r="CB44" i="26"/>
  <c r="W123" i="26" s="1"/>
  <c r="CA45" i="26"/>
  <c r="Z126" i="27"/>
  <c r="AA123" i="20"/>
  <c r="CA45" i="20"/>
  <c r="CB44" i="20"/>
  <c r="W123" i="20" s="1"/>
  <c r="BY46" i="26"/>
  <c r="Y124" i="26"/>
  <c r="BZ47" i="2"/>
  <c r="Z125" i="20"/>
  <c r="Z126" i="20" s="1"/>
  <c r="Z126" i="2"/>
  <c r="E83" i="9"/>
  <c r="E107" i="9" s="1"/>
  <c r="CN12" i="9"/>
  <c r="Y124" i="2" l="1"/>
  <c r="BY46" i="2"/>
  <c r="Z124" i="22"/>
  <c r="BZ46" i="22"/>
  <c r="BY45" i="25"/>
  <c r="CB45" i="25" s="1"/>
  <c r="W124" i="25" s="1"/>
  <c r="Y123" i="25"/>
  <c r="Y123" i="23"/>
  <c r="BY45" i="23"/>
  <c r="CB44" i="23"/>
  <c r="W123" i="23" s="1"/>
  <c r="CB44" i="24"/>
  <c r="W123" i="24" s="1"/>
  <c r="BY45" i="24"/>
  <c r="Y123" i="24"/>
  <c r="Z124" i="26"/>
  <c r="BZ46" i="26"/>
  <c r="AA123" i="27"/>
  <c r="CA45" i="27"/>
  <c r="AA123" i="22"/>
  <c r="CA45" i="22"/>
  <c r="AA123" i="2"/>
  <c r="CA45" i="2"/>
  <c r="CB44" i="2"/>
  <c r="W123" i="2" s="1"/>
  <c r="Y123" i="28"/>
  <c r="BY45" i="28"/>
  <c r="CB44" i="28"/>
  <c r="Z126" i="23"/>
  <c r="BZ47" i="24"/>
  <c r="Z125" i="24"/>
  <c r="Z126" i="24" s="1"/>
  <c r="BZ46" i="28"/>
  <c r="Z125" i="28" s="1"/>
  <c r="Z124" i="28"/>
  <c r="CB44" i="21"/>
  <c r="W123" i="21" s="1"/>
  <c r="Y123" i="21"/>
  <c r="BY45" i="21"/>
  <c r="AA124" i="24"/>
  <c r="CA46" i="24"/>
  <c r="CA45" i="21"/>
  <c r="AA123" i="21"/>
  <c r="CB44" i="22"/>
  <c r="W123" i="22" s="1"/>
  <c r="BZ47" i="23"/>
  <c r="CA46" i="26"/>
  <c r="CA47" i="26" s="1"/>
  <c r="AA124" i="26"/>
  <c r="CA46" i="25"/>
  <c r="AA124" i="25"/>
  <c r="BY46" i="22"/>
  <c r="Y124" i="22"/>
  <c r="BY47" i="22"/>
  <c r="BY46" i="27"/>
  <c r="Y124" i="27"/>
  <c r="CA46" i="20"/>
  <c r="AA124" i="20"/>
  <c r="CB45" i="20"/>
  <c r="W124" i="20" s="1"/>
  <c r="BZ47" i="25"/>
  <c r="Z125" i="25"/>
  <c r="Z126" i="25" s="1"/>
  <c r="CB45" i="26"/>
  <c r="W124" i="26" s="1"/>
  <c r="Y125" i="26"/>
  <c r="Y126" i="26" s="1"/>
  <c r="BY47" i="26"/>
  <c r="C83" i="9"/>
  <c r="C107" i="9" s="1"/>
  <c r="J78" i="9" s="1"/>
  <c r="BZ47" i="28" l="1"/>
  <c r="Y125" i="2"/>
  <c r="Y126" i="2" s="1"/>
  <c r="BY47" i="2"/>
  <c r="Z126" i="28"/>
  <c r="Z125" i="22"/>
  <c r="Z126" i="22" s="1"/>
  <c r="BZ47" i="22"/>
  <c r="CA46" i="21"/>
  <c r="AA125" i="21" s="1"/>
  <c r="AA124" i="21"/>
  <c r="CA47" i="21"/>
  <c r="CB45" i="22"/>
  <c r="W124" i="22" s="1"/>
  <c r="W123" i="28"/>
  <c r="BY46" i="28"/>
  <c r="Y124" i="28"/>
  <c r="CB45" i="28"/>
  <c r="W124" i="28" s="1"/>
  <c r="BY47" i="28"/>
  <c r="Z125" i="26"/>
  <c r="Z126" i="26" s="1"/>
  <c r="BZ47" i="26"/>
  <c r="Y124" i="23"/>
  <c r="BY46" i="23"/>
  <c r="CB45" i="23"/>
  <c r="W124" i="23" s="1"/>
  <c r="CA46" i="22"/>
  <c r="AA125" i="22" s="1"/>
  <c r="AA124" i="22"/>
  <c r="CB45" i="24"/>
  <c r="W124" i="24" s="1"/>
  <c r="Y124" i="24"/>
  <c r="BY46" i="24"/>
  <c r="Y124" i="25"/>
  <c r="BY46" i="25"/>
  <c r="BY47" i="25"/>
  <c r="CA47" i="24"/>
  <c r="AA125" i="24"/>
  <c r="AA126" i="24" s="1"/>
  <c r="CB45" i="21"/>
  <c r="W124" i="21" s="1"/>
  <c r="BY46" i="21"/>
  <c r="BY47" i="21" s="1"/>
  <c r="Y124" i="21"/>
  <c r="AA124" i="27"/>
  <c r="CA46" i="27"/>
  <c r="AA125" i="27" s="1"/>
  <c r="CB45" i="27"/>
  <c r="W124" i="27" s="1"/>
  <c r="AA124" i="2"/>
  <c r="CA46" i="2"/>
  <c r="CB45" i="2"/>
  <c r="W124" i="2" s="1"/>
  <c r="AA125" i="20"/>
  <c r="AA126" i="20" s="1"/>
  <c r="CB46" i="20"/>
  <c r="BY47" i="27"/>
  <c r="Y125" i="27"/>
  <c r="Y126" i="27" s="1"/>
  <c r="Y125" i="22"/>
  <c r="Y126" i="22" s="1"/>
  <c r="AA125" i="25"/>
  <c r="AA126" i="25" s="1"/>
  <c r="CA47" i="25"/>
  <c r="CA47" i="20"/>
  <c r="CB46" i="26"/>
  <c r="AA125" i="26"/>
  <c r="AA126" i="26" s="1"/>
  <c r="AA126" i="22" l="1"/>
  <c r="AA126" i="21"/>
  <c r="AA126" i="27"/>
  <c r="Y125" i="28"/>
  <c r="Y126" i="28" s="1"/>
  <c r="CB46" i="28"/>
  <c r="CB47" i="28" s="1"/>
  <c r="CB46" i="27"/>
  <c r="Y125" i="25"/>
  <c r="Y126" i="25" s="1"/>
  <c r="CB46" i="25"/>
  <c r="Y125" i="21"/>
  <c r="Y126" i="21" s="1"/>
  <c r="CB46" i="21"/>
  <c r="CB46" i="22"/>
  <c r="CB47" i="22" s="1"/>
  <c r="CA47" i="27"/>
  <c r="AA125" i="2"/>
  <c r="AA126" i="2" s="1"/>
  <c r="CB46" i="2"/>
  <c r="CA47" i="2"/>
  <c r="Y125" i="23"/>
  <c r="Y126" i="23" s="1"/>
  <c r="CB46" i="23"/>
  <c r="BY47" i="23"/>
  <c r="BY47" i="24"/>
  <c r="CB46" i="24"/>
  <c r="Y125" i="24"/>
  <c r="Y126" i="24" s="1"/>
  <c r="CA47" i="22"/>
  <c r="CB47" i="26"/>
  <c r="CB22" i="26"/>
  <c r="W125" i="26"/>
  <c r="W126" i="26" s="1"/>
  <c r="U129" i="26" s="1"/>
  <c r="CB22" i="20"/>
  <c r="W125" i="20"/>
  <c r="W126" i="20" s="1"/>
  <c r="U129" i="20" s="1"/>
  <c r="CB47" i="20"/>
  <c r="CB22" i="23" l="1"/>
  <c r="W125" i="23"/>
  <c r="W126" i="23" s="1"/>
  <c r="U129" i="23" s="1"/>
  <c r="CB47" i="23"/>
  <c r="CB22" i="24"/>
  <c r="W125" i="24"/>
  <c r="W126" i="24" s="1"/>
  <c r="U129" i="24" s="1"/>
  <c r="CB47" i="24"/>
  <c r="CB47" i="2"/>
  <c r="W125" i="2"/>
  <c r="W126" i="2" s="1"/>
  <c r="U129" i="2" s="1"/>
  <c r="CB22" i="2"/>
  <c r="CB47" i="21"/>
  <c r="CB22" i="21"/>
  <c r="W125" i="21"/>
  <c r="W126" i="21" s="1"/>
  <c r="U129" i="21" s="1"/>
  <c r="W125" i="22"/>
  <c r="W126" i="22" s="1"/>
  <c r="U129" i="22" s="1"/>
  <c r="CB22" i="22"/>
  <c r="W125" i="28"/>
  <c r="W126" i="28" s="1"/>
  <c r="U129" i="28" s="1"/>
  <c r="CB22" i="28"/>
  <c r="CB47" i="25"/>
  <c r="W125" i="25"/>
  <c r="W126" i="25" s="1"/>
  <c r="U129" i="25" s="1"/>
  <c r="CB22" i="25"/>
  <c r="CB47" i="27"/>
  <c r="CB22" i="27"/>
  <c r="W125" i="27"/>
  <c r="W126" i="27" s="1"/>
  <c r="U129"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tl</author>
  </authors>
  <commentList>
    <comment ref="AA3" authorId="0" shapeId="0" xr:uid="{00000000-0006-0000-0100-000001000000}">
      <text>
        <r>
          <rPr>
            <b/>
            <sz val="9"/>
            <color indexed="81"/>
            <rFont val="Arial"/>
            <family val="2"/>
          </rPr>
          <t>TL:</t>
        </r>
        <r>
          <rPr>
            <sz val="9"/>
            <color indexed="81"/>
            <rFont val="Arial"/>
            <family val="2"/>
          </rPr>
          <t xml:space="preserve">
Die Anlagenbezeichnungen lassen sich trotz aktiviertem Blattschutz anpassen</t>
        </r>
      </text>
    </comment>
    <comment ref="AA38" authorId="0" shapeId="0" xr:uid="{00000000-0006-0000-0100-000002000000}">
      <text>
        <r>
          <rPr>
            <b/>
            <sz val="9"/>
            <color indexed="81"/>
            <rFont val="Arial"/>
            <family val="2"/>
          </rPr>
          <t>TL:</t>
        </r>
        <r>
          <rPr>
            <sz val="9"/>
            <color indexed="81"/>
            <rFont val="Arial"/>
            <family val="2"/>
          </rPr>
          <t xml:space="preserve">
Die Anlagenbezeichnungen lassen sich trotz aktiviertem Blattschutz anpassen</t>
        </r>
      </text>
    </comment>
    <comment ref="AA74" authorId="0" shapeId="0" xr:uid="{00000000-0006-0000-0100-000003000000}">
      <text>
        <r>
          <rPr>
            <b/>
            <sz val="9"/>
            <color indexed="81"/>
            <rFont val="Arial"/>
            <family val="2"/>
          </rPr>
          <t>TL:</t>
        </r>
        <r>
          <rPr>
            <sz val="9"/>
            <color indexed="81"/>
            <rFont val="Arial"/>
            <family val="2"/>
          </rPr>
          <t xml:space="preserve">
Die Anlagenbezeichnungen lassen sich trotz aktiviertem Blattschutz anpassen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2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2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2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2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2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2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2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2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3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3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3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3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3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3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3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3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7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7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7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7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7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7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7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7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4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4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4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4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4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4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4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4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5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5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5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5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5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5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5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5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6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6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6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6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6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6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6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6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8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8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8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8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8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8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8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8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9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9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9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9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9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9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9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9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A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A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A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A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A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A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A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A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tl</author>
    <author>x</author>
  </authors>
  <commentList>
    <comment ref="K4" authorId="0" shapeId="0" xr:uid="{00000000-0006-0000-0B00-000001000000}">
      <text>
        <r>
          <rPr>
            <b/>
            <sz val="9"/>
            <color indexed="81"/>
            <rFont val="Arial"/>
            <family val="2"/>
          </rPr>
          <t xml:space="preserve">TL:
</t>
        </r>
        <r>
          <rPr>
            <sz val="9"/>
            <color indexed="81"/>
            <rFont val="Arial"/>
            <family val="2"/>
          </rPr>
          <t>Hier bitte die gewünschte Nutzungsform auswählen.
Eine Nutzungsform kann mehrmals vergeben werden (wenn z.B. zwischen verschiedenen Einrichtungen des selben Typs unterschieden werden soll).
In diesen Fällen ist dann ein Eintrag im Feld Zusatzinfos erforderlich, da Excel sonst Probleme bei der Benennung der Registerblätter hat, was in Abhängigkeit zu den gewählten Nutzungsformen geschieht.</t>
        </r>
        <r>
          <rPr>
            <sz val="9"/>
            <color indexed="81"/>
            <rFont val="Tahoma"/>
            <family val="2"/>
          </rPr>
          <t xml:space="preserve">
</t>
        </r>
      </text>
    </comment>
    <comment ref="Q4" authorId="1" shapeId="0" xr:uid="{00000000-0006-0000-0B00-000002000000}">
      <text>
        <r>
          <rPr>
            <b/>
            <sz val="9"/>
            <color indexed="81"/>
            <rFont val="Arial"/>
            <family val="2"/>
          </rPr>
          <t xml:space="preserve">TL:
</t>
        </r>
        <r>
          <rPr>
            <sz val="9"/>
            <color indexed="81"/>
            <rFont val="Arial"/>
            <family val="2"/>
          </rPr>
          <t>Hier ist nur dann ein Eintrag notwendig, wenn eine Nutzungsform gewählt wird, die bereits existiert.
Excel hat in solchen Fällen Probleme damit, das Registerblatt richtig zu benennen, da der entsprechende Name bereits existiert. Die dann erscheinende Fehlermeldung kann allerdings ignoriert werden.
Es ist dann einfach ein kurzer Eintrag hier in den Zusatzinfos zu hinterlegen. Dieser wird dann mit in die Bezeichnung des Registerblattes und der Nutzungsform aufgenommen.</t>
        </r>
      </text>
    </comment>
    <comment ref="K6" authorId="0" shapeId="0" xr:uid="{00000000-0006-0000-0B00-000003000000}">
      <text>
        <r>
          <rPr>
            <b/>
            <sz val="9"/>
            <color indexed="81"/>
            <rFont val="Arial"/>
            <family val="2"/>
          </rPr>
          <t xml:space="preserve">TL:
</t>
        </r>
        <r>
          <rPr>
            <sz val="9"/>
            <color indexed="81"/>
            <rFont val="Arial"/>
            <family val="2"/>
          </rPr>
          <t>Hier diejenige Ganglinie auswählen, die für die jeweilige Nutzung am geeignetsten erscheint.
Eine entsprechende graphische Darstellung erfolgt weiter rechts getrennt nach Kunden/Besucher, Beschäftigte/Bewohner und Wirtschaft.</t>
        </r>
      </text>
    </comment>
    <comment ref="O6" authorId="0" shapeId="0" xr:uid="{00000000-0006-0000-0B00-000004000000}">
      <text>
        <r>
          <rPr>
            <b/>
            <sz val="9"/>
            <color indexed="81"/>
            <rFont val="Arial"/>
            <family val="2"/>
          </rPr>
          <t xml:space="preserve">TL:
</t>
        </r>
        <r>
          <rPr>
            <sz val="9"/>
            <color indexed="81"/>
            <rFont val="Arial"/>
            <family val="2"/>
          </rPr>
          <t>Hier werden allg. Hinweise und Erläuterungen zu der gewählten Nutzungsform und Tagesganglinie ausgegeben, soweit hierzu Eingaben in den beiden Registerblättern 'NF-Sets' und 'GL-Sets' vorhanden sind.</t>
        </r>
      </text>
    </comment>
    <comment ref="L8" authorId="0" shapeId="0" xr:uid="{00000000-0006-0000-0B00-000005000000}">
      <text>
        <r>
          <rPr>
            <b/>
            <sz val="9"/>
            <color indexed="81"/>
            <rFont val="Arial"/>
            <family val="2"/>
          </rPr>
          <t xml:space="preserve">TL:
</t>
        </r>
        <r>
          <rPr>
            <sz val="9"/>
            <color indexed="81"/>
            <rFont val="Arial"/>
            <family val="2"/>
          </rPr>
          <t xml:space="preserve">Hier auswählen, ob eine Berücksichtigung von </t>
        </r>
        <r>
          <rPr>
            <b/>
            <sz val="9"/>
            <color indexed="81"/>
            <rFont val="Arial"/>
            <family val="2"/>
          </rPr>
          <t>Verbundeffekten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L9" authorId="0" shapeId="0" xr:uid="{00000000-0006-0000-0B00-000006000000}">
      <text>
        <r>
          <rPr>
            <sz val="9"/>
            <color indexed="81"/>
            <rFont val="Arial"/>
            <family val="2"/>
          </rPr>
          <t xml:space="preserve">TL:
Hier auswählen, ob eine Berücksichtigung von </t>
        </r>
        <r>
          <rPr>
            <b/>
            <sz val="9"/>
            <color indexed="81"/>
            <rFont val="Arial"/>
            <family val="2"/>
          </rPr>
          <t>Mitnahmeeffekten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Mitnahmeeffekten eingestellt ist, d. h., dass dort Grenzwerte definiert wurden.
Ist für die jeweilige Nutzungsform in dem Registerblatt 'NF-Sets' nicht hinterlegt, dass die Berücksichtigung eines  Mitnahmeeffekts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Mitnahmeeffekt definiert werden. </t>
        </r>
      </text>
    </comment>
    <comment ref="L10" authorId="0" shapeId="0" xr:uid="{00000000-0006-0000-0B00-000007000000}">
      <text>
        <r>
          <rPr>
            <b/>
            <sz val="9"/>
            <color indexed="81"/>
            <rFont val="Arial"/>
            <family val="2"/>
          </rPr>
          <t>TL:</t>
        </r>
        <r>
          <rPr>
            <sz val="9"/>
            <color indexed="81"/>
            <rFont val="Arial"/>
            <family val="2"/>
          </rPr>
          <t xml:space="preserve">
Hier auswählen, ob eine Berücksichtigung von </t>
        </r>
        <r>
          <rPr>
            <b/>
            <sz val="9"/>
            <color indexed="81"/>
            <rFont val="Arial"/>
            <family val="2"/>
          </rPr>
          <t>Konkurrenzeffekten</t>
        </r>
        <r>
          <rPr>
            <sz val="9"/>
            <color indexed="81"/>
            <rFont val="Arial"/>
            <family val="2"/>
          </rPr>
          <t xml:space="preserve"> für diese Nutzungsform erfolgen soll.
Die konkreten Werte sind in der untenstehenden Tabelle in der entsprechenden Zelle einzutragen. Dies wird nur dargestellt, wenn hier ein 'ja' ausgewählt wird und für die jeweilige Nutzung in dem Registerblatt 'NF-Sets' die grundsätzliche Möglichkeit zur Berücksichtung von Verbundeffekten eingestellt ist, d. h., dass dort Grenzwerte definiert wurden.
Ist für die jeweilige Nutzungsform in dem Registerblatt 'NF-Sets' nicht hinterlegt, dass die Berücksichtigung eines  Verbundeffekts möglich ist, so wird in dem Datenblatt dieser auch nicht aufgeführt und es kann kein Prozentsatz für diesen festgelegt werden. Soll dies doch geschehen, so müsste für die jeweilige Nutzung im Registerblatt 'NF-Sets' eine Anpassung erfolgen, indem dort neue Grenzwerte für den Verbundeffekt definiert werden. </t>
        </r>
      </text>
    </comment>
    <comment ref="I13" authorId="0" shapeId="0" xr:uid="{00000000-0006-0000-0B00-000008000000}">
      <text>
        <r>
          <rPr>
            <b/>
            <sz val="9"/>
            <color indexed="81"/>
            <rFont val="Arial"/>
            <family val="2"/>
          </rPr>
          <t>TL:</t>
        </r>
        <r>
          <rPr>
            <sz val="9"/>
            <color indexed="81"/>
            <rFont val="Arial"/>
            <family val="2"/>
          </rPr>
          <t xml:space="preserve">
Im untenstehenden Datenblatt die Zellen unterhalb von dem Eintrag 'Eingabe' ausfüllen.
Bitte bei der Eingabe die Grenzwerte beachten. In dem rot umrandeten Kasten links neben der Tabelle werden fehlerhafte Eingaben mit 'Fehler' angezeigt. Zudem wird die Gesamtzahl aller Fehler oben Links angezeigt.
Wurden Effekte ausgewählt, die berücksichtigt werden sollen und für die in dem Registerblatt 'NF-Sets' auch entsprechende Grenzwerte hinterlegt wurden, dann erscheint unterhalb der Berechnungstabelle für das Grundverkehrsaufkommen eine weitere Tabelle, in der die abmindernden Prozentwerte der einzelnen Effekte einzutragen sind.</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<sst xmlns="http://schemas.openxmlformats.org/spreadsheetml/2006/main" count="3568" uniqueCount="269">
  <si>
    <t>Allgemeine Hinweise zum Umgang mit dieser Verkehrs-erzeugungsdatei</t>
  </si>
  <si>
    <t>1. Gliederung der Tabellenblätter</t>
  </si>
  <si>
    <t xml:space="preserve">Diese Verkehrserzeugungsdatei baut sich aus insgesamt 13 Tabellenblättern auf (das Tabellenblatt mit den hier dargestellten Hinweisen ausgeschlossen). Diese lassen sich in drei Kategorien unterteilen (s. u.).
An der bestehenden Anordnung (Reihenfolge) der einzelnen Tabellenblätter sind keine Veränderungen vorzunehmen. Andernfalls ist eine fehlerfreie Funktionsweise bei der Bestimmung des Gesamtaufkommens nicht gewährleistet. </t>
  </si>
  <si>
    <t>1. Tabellenblätter für die Nutzungsformen (10 Stck.)</t>
  </si>
  <si>
    <t xml:space="preserve">In diesen Blättern wird für die jeweilige Nutzungform die Berechnung des Verkehrsaufkommen sowie des Stellplatzbedarfs berechnet. Die Ergebnisse werden bereits bei jeder Nutzungsform grafisch dargestellt. Dabei </t>
  </si>
  <si>
    <t>Anlage X-X</t>
  </si>
  <si>
    <t>Quell- und Zielverkehrsaufkommens der einzelnen Nutzungen (tabellarisch)</t>
  </si>
  <si>
    <t>Stellplatznachfrage</t>
  </si>
  <si>
    <t>Nutzung</t>
  </si>
  <si>
    <t>Summen</t>
  </si>
  <si>
    <t>ohne Berücksichtigung von Effekten</t>
  </si>
  <si>
    <t>Uhrzeit</t>
  </si>
  <si>
    <t>Quellverkehr</t>
  </si>
  <si>
    <t>Zielverkehr</t>
  </si>
  <si>
    <t>GESAMTSUMME</t>
  </si>
  <si>
    <t>Grundverkehrsaufkommen</t>
  </si>
  <si>
    <t>Nutzungen</t>
  </si>
  <si>
    <t>SUMME d. Nutzungen</t>
  </si>
  <si>
    <t>SUMME Wirtschaftsverkehr</t>
  </si>
  <si>
    <t>ohne Berücksichtigung von abmindernden Effekten im Kundenverkehr</t>
  </si>
  <si>
    <t>Quell-verkehr</t>
  </si>
  <si>
    <t>Ziel-verkehr</t>
  </si>
  <si>
    <t>Summe</t>
  </si>
  <si>
    <t>00:00 - 01:00</t>
  </si>
  <si>
    <t>23:00 - 24:00</t>
  </si>
  <si>
    <t>01:00 - 02:00</t>
  </si>
  <si>
    <t>02:00 - 03:00</t>
  </si>
  <si>
    <t>03:00 - 04:00</t>
  </si>
  <si>
    <t>04:00 - 05:00</t>
  </si>
  <si>
    <t>05:00 - 06:00</t>
  </si>
  <si>
    <t>06:00 - 07:00</t>
  </si>
  <si>
    <t>07:00 - 08:00</t>
  </si>
  <si>
    <t>08:00 - 09:00</t>
  </si>
  <si>
    <t>09:00 - 10:00</t>
  </si>
  <si>
    <t>10:00 - 11:00</t>
  </si>
  <si>
    <t>11:00 - 12:00</t>
  </si>
  <si>
    <t>12:00 - 13:00</t>
  </si>
  <si>
    <t>13:00 - 14:00</t>
  </si>
  <si>
    <t>14:00 - 15:00</t>
  </si>
  <si>
    <t>15:00 - 16:00</t>
  </si>
  <si>
    <t>16:00 - 17:00</t>
  </si>
  <si>
    <t>17:00 - 18:00</t>
  </si>
  <si>
    <t>18:00 - 19:00</t>
  </si>
  <si>
    <t>19:00 - 20:00</t>
  </si>
  <si>
    <t>20:00 - 21:00</t>
  </si>
  <si>
    <t>21:00 - 22:00</t>
  </si>
  <si>
    <t>22:00 - 23:00</t>
  </si>
  <si>
    <t>SUMME</t>
  </si>
  <si>
    <t>Maximum</t>
  </si>
  <si>
    <t>Quell- und Zielverkehrsaufkommens der einzelnen Nutzungen (grafisch)</t>
  </si>
  <si>
    <t>Prüfzeile</t>
  </si>
  <si>
    <t>Zielverkehr (ZV) [in kfz/h]</t>
  </si>
  <si>
    <t>Quellverkehr (QV) [in Kfz/h]</t>
  </si>
  <si>
    <t>Stellplatznachfrage (tabellarisch und grafisch)</t>
  </si>
  <si>
    <t>Stellplatznachfrage [in Kfz/h]</t>
  </si>
  <si>
    <t>Verbundeffekt</t>
  </si>
  <si>
    <t>Mitnahmeneffekt</t>
  </si>
  <si>
    <t>Konkurrenzeffekt</t>
  </si>
  <si>
    <t>Gesamtübersicht aller Registerblätter</t>
  </si>
  <si>
    <t>---</t>
  </si>
  <si>
    <t>Wohnen</t>
  </si>
  <si>
    <t>WE</t>
  </si>
  <si>
    <t>Bew / WE</t>
  </si>
  <si>
    <t>Anz Bew</t>
  </si>
  <si>
    <t>Wege/Tag</t>
  </si>
  <si>
    <t>Anwesenheit</t>
  </si>
  <si>
    <t>Gesamtwege/Tag</t>
  </si>
  <si>
    <t>Gesamt</t>
  </si>
  <si>
    <t>Selbstfahrer</t>
  </si>
  <si>
    <t>Mitfahrer</t>
  </si>
  <si>
    <t>CarSharing</t>
  </si>
  <si>
    <t>MIV-Anteil</t>
  </si>
  <si>
    <t>Besetzungsgrad</t>
  </si>
  <si>
    <t>Kfz-Fahrten</t>
  </si>
  <si>
    <t>Lkw-Fahrten/Bew.</t>
  </si>
  <si>
    <t>Lkw-Fahrten gesamt</t>
  </si>
  <si>
    <t>Anzahl Fehler:</t>
  </si>
  <si>
    <t>Datenblattname:</t>
  </si>
  <si>
    <t>!!! An den rot eingerahmten Kästen keine Änderungen vornehmen !!!</t>
  </si>
  <si>
    <t>notwendige Arbeitsschritte (werden nicht mit ausgedruckt)</t>
  </si>
  <si>
    <t>hinterlegte Tagesganglinien (werden nicht mit ausgedruckt)</t>
  </si>
  <si>
    <t>Parameter zur Positionsermittlung</t>
  </si>
  <si>
    <t>NF-Sets</t>
  </si>
  <si>
    <t>Zeile:</t>
  </si>
  <si>
    <t>Spalte:</t>
  </si>
  <si>
    <t>1. Nutzungsform auswählen</t>
  </si>
  <si>
    <t>großfl. Einzelhandel</t>
  </si>
  <si>
    <t>Zusatzinfos:</t>
  </si>
  <si>
    <t>GL-Sets</t>
  </si>
  <si>
    <t>2. Ganglinie auswählen</t>
  </si>
  <si>
    <t>großflächige gewerbliche Nutzung 
(Hinweise zur Schätzung des Verkehrsaufkommens von Gebietstypen)</t>
  </si>
  <si>
    <t>Erläuterungen:</t>
  </si>
  <si>
    <t>Nutzungsform:</t>
  </si>
  <si>
    <t>Parameter für Effekte</t>
  </si>
  <si>
    <t>Auswahl</t>
  </si>
  <si>
    <t>3. Effekte auswählen:</t>
  </si>
  <si>
    <t>ja</t>
  </si>
  <si>
    <t>nein</t>
  </si>
  <si>
    <t>4. untenstehendes Datenblatt ausfüllen (Zellen unterhalb von "Eingabe")</t>
  </si>
  <si>
    <t>ZV - Zielverkehr   |   QV - Quellverkehr</t>
  </si>
  <si>
    <t>Datenblatt inkl. Diagrammen (werden ausgedruckt - max. 3 Seiten)</t>
  </si>
  <si>
    <t>Datentabellen (werden nicht mit ausgedruckt)</t>
  </si>
  <si>
    <t>Verkehrsaufkommensberechnung</t>
  </si>
  <si>
    <t>tageszeitliche Verteilung des Gesamtverkehrsaufkommens</t>
  </si>
  <si>
    <t>Grenzen</t>
  </si>
  <si>
    <t>Zeile</t>
  </si>
  <si>
    <t>Einflussgrößen</t>
  </si>
  <si>
    <t>Einheiten und Grenzbereiche</t>
  </si>
  <si>
    <t>Eingabe</t>
  </si>
  <si>
    <t>Aufkommens-art</t>
  </si>
  <si>
    <t xml:space="preserve"> Quell- und Zielverkehrsaufkommen</t>
  </si>
  <si>
    <t>von</t>
  </si>
  <si>
    <t>bis</t>
  </si>
  <si>
    <t>a</t>
  </si>
  <si>
    <t>tageszeitliche Verteilung
[in %]</t>
  </si>
  <si>
    <t>Stellplatzauslastung</t>
  </si>
  <si>
    <t>b</t>
  </si>
  <si>
    <t>Bemerkung</t>
  </si>
  <si>
    <t>(theoretische Verkehrsmengen | ohne Berücksichtigung jeglicher Effekte) [in Fz/h]</t>
  </si>
  <si>
    <t>Gesamtanzahl</t>
  </si>
  <si>
    <t>c</t>
  </si>
  <si>
    <t>-</t>
  </si>
  <si>
    <t>Ausf.</t>
  </si>
  <si>
    <t>Zuf.</t>
  </si>
  <si>
    <t>d</t>
  </si>
  <si>
    <t>Zeitraum</t>
  </si>
  <si>
    <t>QV [in %]</t>
  </si>
  <si>
    <t>ZV [in %]</t>
  </si>
  <si>
    <t>QV</t>
  </si>
  <si>
    <t>ZV</t>
  </si>
  <si>
    <t>Sum</t>
  </si>
  <si>
    <t>Sum QV</t>
  </si>
  <si>
    <t>Sum ZV</t>
  </si>
  <si>
    <t>Stellpätze</t>
  </si>
  <si>
    <t>e</t>
  </si>
  <si>
    <t>QV [Kfz/h]</t>
  </si>
  <si>
    <t>ZV [Kfz/h]</t>
  </si>
  <si>
    <t>SUM [Kfz/h]</t>
  </si>
  <si>
    <t>keine Ganglinie gewählt</t>
  </si>
  <si>
    <t>keine Nutzung gewählt</t>
  </si>
  <si>
    <t>f</t>
  </si>
  <si>
    <t>g</t>
  </si>
  <si>
    <t>h</t>
  </si>
  <si>
    <t>i</t>
  </si>
  <si>
    <t>j</t>
  </si>
  <si>
    <t/>
  </si>
  <si>
    <t>k</t>
  </si>
  <si>
    <t>Fahrten / Tag</t>
  </si>
  <si>
    <t>l</t>
  </si>
  <si>
    <t>m</t>
  </si>
  <si>
    <t>Wirtschaftsverkehr</t>
  </si>
  <si>
    <t>hinterlegte Formel: k + l + m</t>
  </si>
  <si>
    <t>Resultierendes Gesamtverkehrsaufkommen
(Summe aus Quell- und Zielverkehr)</t>
  </si>
  <si>
    <t>Summe des Quell- und Zielverkehrs</t>
  </si>
  <si>
    <t>davon zusätzl. erzeugter Verkehr</t>
  </si>
  <si>
    <t>Beschäftigtenverkehr</t>
  </si>
  <si>
    <t>Kundenverkehr</t>
  </si>
  <si>
    <t>QV - Quellverkehr   |   ZV - Zielverkehr</t>
  </si>
  <si>
    <t>Zielverkehr (ZV) [in Kfz/h]</t>
  </si>
  <si>
    <t>Stellplatznachfrage
(ermittelt aus dem tageszeitlichen Verlauf des stündlichen Quell- und Zielverkehrsaufkommens)</t>
  </si>
  <si>
    <t xml:space="preserve">  Zeitraum</t>
  </si>
  <si>
    <t>01:00- 02:00</t>
  </si>
  <si>
    <t>BT A</t>
  </si>
  <si>
    <t>Freizeiteinrichtung allgemein
(Hinweise zur Schätzung des Verkehrsaufkommens von Gebietstypen)</t>
  </si>
  <si>
    <t>Logistikzentrum</t>
  </si>
  <si>
    <t>Bushof</t>
  </si>
  <si>
    <t>Dienstleistungsbetrieb</t>
  </si>
  <si>
    <t>BT B</t>
  </si>
  <si>
    <t>Wohnnutzung 
(Hinweise zur Schätzung des Verkehrsaufkommens von Gebietstypen)</t>
  </si>
  <si>
    <t>Hotel</t>
  </si>
  <si>
    <t>Fitnesscenter</t>
  </si>
  <si>
    <t>A</t>
  </si>
  <si>
    <t>Bauhaus</t>
  </si>
  <si>
    <t>Name</t>
  </si>
  <si>
    <t>kleinflächige gewerbliche Nutzung 
(Hinweise zur Schätzung des Verkehrsaufkommens von Gebietstypen)</t>
  </si>
  <si>
    <t>Kur- und Heilbad 
(Hinweise zur Schätzung des Verkehrsaufkommens von Gebietstypen)</t>
  </si>
  <si>
    <t>Spaß- und Erlebnisbad 
(Hinweise zur Schätzung des Verkehrsaufkommens von Gebietstypen)</t>
  </si>
  <si>
    <t>Großkino
(Hinweise zur Schätzung des Verkehrsaufkommens von Gebietstypen)</t>
  </si>
  <si>
    <t>Discounter (Eigenkreation)</t>
  </si>
  <si>
    <t>Tankstellen</t>
  </si>
  <si>
    <t>Tegel-Center</t>
  </si>
  <si>
    <t>leere Ganglinie | kann noch individuell mit Werten gefüllt werden</t>
  </si>
  <si>
    <t>Erläuterungen</t>
  </si>
  <si>
    <t>Ganglininenkennwerte sind den Hinweisen zur Schätzung des Verkehrsaufkommens von Gebietstypen entnommen worden | beim Besucherverkehr wurden die Ganglinien für kleinfl. Einzelhandel gewählt</t>
  </si>
  <si>
    <t>Ganglininenkennwerte sind den Hinweisen zur Schätzung des Verkehrsaufkommens von Gebietstypen entnommen worden | beim Kundenverkehr wurden die Ganglinien für kleinfl. Einzelhandel gewählt</t>
  </si>
  <si>
    <t>Ganglininenkennwerte sind den Hinweisen zur Schätzung des Verkehrsaufkommens von Gebietstypen entnommen worden | beim Kundenverkehr wurden die Ganglinien für großfl. Einzelhandel gewählt</t>
  </si>
  <si>
    <t>Ganglininenkennwerte sind den Hinweisen zur Schätzung des Verkehrsaufkommens von Gebietstypen entnommen worden | beim Besucherverkehr wurden die Ganglinien für Besucherverkehr allgemein gewählt</t>
  </si>
  <si>
    <t>Ganglininenkennwerte sind den Hinweisen zur Schätzung des Verkehrsaufkommens von Gebietstypen entnommen worden | beim Besucherverkehr wurden die Ganglinien für Besucherverkehr von Kur- und Heilbäder gewählt</t>
  </si>
  <si>
    <t>Ganglininenkennwerte sind den Hinweisen zur Schätzung des Verkehrsaufkommens von Gebietstypen entnommen und angepasst worden | beim Besucherverkehr wurden die Ganglinien für Besucherverkehr von Spaß- und Erlebnisbädern gewählt</t>
  </si>
  <si>
    <t>Ganglininenkennwerte sind den Hinweisen zur Schätzung des Verkehrsaufkommens von Gebietstypen entnommen und angepasst worden | beim Besucherverkehr wurden die Ganglinien für Besucherverkehr von Großkinos gewählt</t>
  </si>
  <si>
    <t>Ganglinie wurde weitestgehend von der des kleinflächigen Gewerbes übernommen. Nur die Ganglinie für den Wirtschaftsverkehr ist eine Eigenkreation</t>
  </si>
  <si>
    <t xml:space="preserve">aus dem Projekt 1137 - MSC-MG übernommen </t>
  </si>
  <si>
    <t>Zählung Juli 2015</t>
  </si>
  <si>
    <t xml:space="preserve"> Besucher</t>
  </si>
  <si>
    <t>Bewohner</t>
  </si>
  <si>
    <t>Wirtschaft</t>
  </si>
  <si>
    <t>Kunden</t>
  </si>
  <si>
    <t>Beschäftigte</t>
  </si>
  <si>
    <t>Besucher</t>
  </si>
  <si>
    <t xml:space="preserve">Zielverkehr </t>
  </si>
  <si>
    <t xml:space="preserve"> (Ausfahrt) 
[in %]</t>
  </si>
  <si>
    <t>(Zufahrt)
[in %]</t>
  </si>
  <si>
    <t xml:space="preserve"> (Ausfahrt)
[in %]</t>
  </si>
  <si>
    <t>(Zufahrt) 
[in %]</t>
  </si>
  <si>
    <t>SUMME</t>
    <phoneticPr fontId="2" type="noConversion"/>
  </si>
  <si>
    <t>Diagramme</t>
    <phoneticPr fontId="2" type="noConversion"/>
  </si>
  <si>
    <t>Kunden / Besucher</t>
  </si>
  <si>
    <t>Beschäftigte / Bewohner</t>
  </si>
  <si>
    <t>Auswahlliste Ganglinien</t>
  </si>
  <si>
    <t>Informationen zur Nutzungsform (optional)</t>
  </si>
  <si>
    <t>keine Angaben</t>
  </si>
  <si>
    <t>Berechnungsparameter für</t>
    <phoneticPr fontId="2" type="noConversion"/>
  </si>
  <si>
    <t>Büronutzung</t>
  </si>
  <si>
    <t>Grenzen</t>
    <phoneticPr fontId="2" type="noConversion"/>
  </si>
  <si>
    <t>Discounter</t>
  </si>
  <si>
    <t>kleinfl. Einzelhandel</t>
  </si>
  <si>
    <t>Einkaufszentrum</t>
    <phoneticPr fontId="2" type="noConversion"/>
  </si>
  <si>
    <t>Getränkemarkt</t>
    <phoneticPr fontId="2" type="noConversion"/>
  </si>
  <si>
    <t>Möbelmarkt</t>
    <phoneticPr fontId="2" type="noConversion"/>
  </si>
  <si>
    <t>Baumarkt</t>
    <phoneticPr fontId="2" type="noConversion"/>
  </si>
  <si>
    <t>Handwerksbetrieb</t>
    <phoneticPr fontId="2" type="noConversion"/>
  </si>
  <si>
    <t>Autohaus</t>
    <phoneticPr fontId="2" type="noConversion"/>
  </si>
  <si>
    <t>Produktionsbetrieb</t>
    <phoneticPr fontId="2" type="noConversion"/>
  </si>
  <si>
    <t>Lagerhaus</t>
    <phoneticPr fontId="2" type="noConversion"/>
  </si>
  <si>
    <t>Dienstleistungsbetrieb</t>
    <phoneticPr fontId="2" type="noConversion"/>
  </si>
  <si>
    <t>Fitnesscenter</t>
    <phoneticPr fontId="2" type="noConversion"/>
  </si>
  <si>
    <t>Sport und Freizeit</t>
    <phoneticPr fontId="2" type="noConversion"/>
  </si>
  <si>
    <t>Fastfood</t>
  </si>
  <si>
    <t>Restaurant</t>
    <phoneticPr fontId="2" type="noConversion"/>
  </si>
  <si>
    <t>Tankstelle</t>
    <phoneticPr fontId="2" type="noConversion"/>
  </si>
  <si>
    <t>Wohnen (in ha)</t>
  </si>
  <si>
    <t xml:space="preserve">Die weißen Zellen können editiert werden. Die entspr. Werte werden dann für die Nutzung als Grenzwerte verwendet. Die aktuell hinterlegten Werte entsprechen der einschlägigen Literatur (Bosserhoff etc.) </t>
  </si>
  <si>
    <t>Geschossfläche (GF)</t>
  </si>
  <si>
    <t>m²</t>
  </si>
  <si>
    <t>Hektar Grundstücksfläche</t>
  </si>
  <si>
    <t>ha</t>
  </si>
  <si>
    <t xml:space="preserve">Beschäftigte je GF </t>
  </si>
  <si>
    <t xml:space="preserve">Beschäftigte je m² GF </t>
  </si>
  <si>
    <t>Beschäftigte je Schicht</t>
  </si>
  <si>
    <t>Einwohner je m² GF</t>
  </si>
  <si>
    <t>Einwohner je ha</t>
  </si>
  <si>
    <t>Kunden je GF</t>
  </si>
  <si>
    <t>Kunden je m² GF</t>
  </si>
  <si>
    <t>Kunden je Beschäftigtem</t>
  </si>
  <si>
    <t>Besucher / Einwohner</t>
  </si>
  <si>
    <t>Wegehäufigkeit je Beschäftigter</t>
  </si>
  <si>
    <t>Wegehäufigkeit je Beschäftigtem</t>
  </si>
  <si>
    <t>Wegehäufigkeit je Bewohner</t>
  </si>
  <si>
    <t>Wegehäufigkeit je Kunde</t>
  </si>
  <si>
    <t>Wegehäufigkeit je Besucher</t>
  </si>
  <si>
    <t>MIV-Anteil bei den Beschäftigten</t>
  </si>
  <si>
    <t>MIV-Anteil bei den Bewohner</t>
  </si>
  <si>
    <t>MIV-Anteil  bei den Kunden</t>
  </si>
  <si>
    <t>MIV-Anteil  bei den Besucher</t>
  </si>
  <si>
    <t>Kfz-Besetzungsgrad Beschäftigte</t>
  </si>
  <si>
    <t>Kfz-Besetzungsgrad Bewohner</t>
  </si>
  <si>
    <t>Kfz-Besetzungsgrad Kunden</t>
  </si>
  <si>
    <t>Kfz-Besetzungsgrad Besucher</t>
  </si>
  <si>
    <t>Wirtschaftsfahrten je Beschäftigtem</t>
  </si>
  <si>
    <t>Wirtschaftsfahrten je GF</t>
  </si>
  <si>
    <t>Wirtschaftsverkehr je Bewohner</t>
  </si>
  <si>
    <t>zu berücksichtigende(r) Effekt(e)</t>
    <phoneticPr fontId="2" type="noConversion"/>
  </si>
  <si>
    <t>Verbundeffekt(e)</t>
  </si>
  <si>
    <t>Mitnahmeeffekt(e)</t>
  </si>
  <si>
    <t>Konkurrenzeffekt(e)</t>
  </si>
  <si>
    <t>Wirtschaftsfahrten je Beschäftigtem</t>
    <phoneticPr fontId="2" type="noConversion"/>
  </si>
  <si>
    <t>An der untenstehenden Liste bitte keine Änderungen vornehmen.</t>
  </si>
  <si>
    <t>Auswahlliste Nutzungsformen</t>
  </si>
  <si>
    <t>Sie dient als Auswahl für die einzelnen Nutzungen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</si>
</sst>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5">
    <font>
      <sz val="10"/>
      <name val="Myriad Pro"/>
    </font>
    <font>
      <sz val="10"/>
      <name val="Myriad Pro"/>
      <family val="2"/>
    </font>
    <font>
      <sz val="8"/>
      <name val="Myriad Pro"/>
      <family val="2"/>
    </font>
    <font>
      <sz val="10"/>
      <name val="Arial"/>
      <family val="2"/>
    </font>
    <font>
      <b/>
      <sz val="10"/>
      <name val="Arial"/>
      <family val="2"/>
    </font>
    <font>
      <sz val="10"/>
      <name val="Arial Narrow"/>
      <family val="2"/>
    </font>
    <font>
      <b/>
      <sz val="10"/>
      <name val="Arial Narrow"/>
      <family val="2"/>
    </font>
    <font>
      <sz val="8"/>
      <name val="Arial Narrow"/>
      <family val="2"/>
    </font>
    <font>
      <b/>
      <sz val="12"/>
      <name val="Arial"/>
      <family val="2"/>
    </font>
    <font>
      <b/>
      <i/>
      <sz val="10"/>
      <color indexed="10"/>
      <name val="Arial"/>
      <family val="2"/>
    </font>
    <font>
      <b/>
      <sz val="12"/>
      <name val="Arial Narrow"/>
      <family val="2"/>
    </font>
    <font>
      <sz val="9"/>
      <name val="Arial"/>
      <family val="2"/>
    </font>
    <font>
      <sz val="10"/>
      <color indexed="23"/>
      <name val="Arial Narrow"/>
      <family val="2"/>
    </font>
    <font>
      <sz val="10"/>
      <color indexed="23"/>
      <name val="Myriad Pro"/>
      <family val="2"/>
    </font>
    <font>
      <sz val="9"/>
      <name val="Arial Narrow"/>
      <family val="2"/>
    </font>
    <font>
      <sz val="10"/>
      <color indexed="55"/>
      <name val="Arial Narrow"/>
      <family val="2"/>
    </font>
    <font>
      <sz val="10"/>
      <color indexed="55"/>
      <name val="Myriad Pro"/>
      <family val="2"/>
    </font>
    <font>
      <b/>
      <sz val="9"/>
      <name val="Arial"/>
      <family val="2"/>
    </font>
    <font>
      <sz val="7"/>
      <name val="Arial Narrow"/>
      <family val="2"/>
    </font>
    <font>
      <sz val="7"/>
      <name val="Arial"/>
      <family val="2"/>
    </font>
    <font>
      <b/>
      <sz val="8"/>
      <name val="Arial Narrow"/>
      <family val="2"/>
    </font>
    <font>
      <u/>
      <sz val="10"/>
      <name val="Arial Narrow"/>
      <family val="2"/>
    </font>
    <font>
      <b/>
      <sz val="9"/>
      <name val="Arial Narrow"/>
      <family val="2"/>
    </font>
    <font>
      <b/>
      <sz val="14"/>
      <name val="Arial"/>
      <family val="2"/>
    </font>
    <font>
      <sz val="8"/>
      <name val="Arial"/>
      <family val="2"/>
    </font>
    <font>
      <b/>
      <sz val="10"/>
      <name val="Myriad Pro"/>
      <family val="2"/>
    </font>
    <font>
      <sz val="6"/>
      <name val="Arial Narrow"/>
      <family val="2"/>
    </font>
    <font>
      <sz val="12"/>
      <name val="Arial"/>
      <family val="2"/>
    </font>
    <font>
      <sz val="12"/>
      <name val="Arial Narrow"/>
      <family val="2"/>
    </font>
    <font>
      <i/>
      <sz val="10"/>
      <name val="Arial"/>
      <family val="2"/>
    </font>
    <font>
      <b/>
      <u/>
      <sz val="10"/>
      <name val="Arial"/>
      <family val="2"/>
    </font>
    <font>
      <sz val="9"/>
      <color indexed="81"/>
      <name val="Tahoma"/>
      <family val="2"/>
    </font>
    <font>
      <b/>
      <sz val="9"/>
      <color indexed="81"/>
      <name val="Arial"/>
      <family val="2"/>
    </font>
    <font>
      <sz val="9"/>
      <color indexed="81"/>
      <name val="Arial"/>
      <family val="2"/>
    </font>
    <font>
      <sz val="10"/>
      <color indexed="43"/>
      <name val="Arial Narrow"/>
      <family val="2"/>
    </font>
    <font>
      <sz val="8"/>
      <color indexed="9"/>
      <name val="Arial"/>
      <family val="2"/>
    </font>
    <font>
      <b/>
      <sz val="8"/>
      <color indexed="60"/>
      <name val="Arial Narrow"/>
      <family val="2"/>
    </font>
    <font>
      <b/>
      <sz val="14"/>
      <color indexed="55"/>
      <name val="Arial"/>
      <family val="2"/>
    </font>
    <font>
      <b/>
      <u/>
      <sz val="10"/>
      <name val="Arial Narrow"/>
      <family val="2"/>
    </font>
    <font>
      <sz val="10"/>
      <color indexed="26"/>
      <name val="Arial Narrow"/>
      <family val="2"/>
    </font>
    <font>
      <b/>
      <sz val="12"/>
      <color indexed="60"/>
      <name val="Arial Narrow"/>
      <family val="2"/>
    </font>
    <font>
      <i/>
      <sz val="10"/>
      <name val="Arial Narrow"/>
      <family val="2"/>
    </font>
    <font>
      <b/>
      <sz val="10"/>
      <color indexed="26"/>
      <name val="Arial Narrow"/>
      <family val="2"/>
    </font>
    <font>
      <sz val="10"/>
      <color indexed="26"/>
      <name val="Myriad Pro"/>
      <family val="2"/>
    </font>
    <font>
      <b/>
      <sz val="8"/>
      <color indexed="26"/>
      <name val="Arial Narrow"/>
      <family val="2"/>
    </font>
    <font>
      <b/>
      <sz val="20"/>
      <name val="Arial"/>
      <family val="2"/>
    </font>
    <font>
      <sz val="10"/>
      <color indexed="63"/>
      <name val="Arial Narrow"/>
      <family val="2"/>
    </font>
    <font>
      <sz val="11"/>
      <name val="Arial"/>
      <family val="2"/>
    </font>
    <font>
      <b/>
      <sz val="11"/>
      <name val="Arial"/>
      <family val="2"/>
    </font>
    <font>
      <sz val="12"/>
      <name val="Myriad Pro"/>
      <family val="2"/>
    </font>
    <font>
      <sz val="11"/>
      <name val="Arial Narrow"/>
      <family val="2"/>
    </font>
    <font>
      <b/>
      <sz val="10"/>
      <color indexed="10"/>
      <name val="Arial"/>
      <family val="2"/>
    </font>
    <font>
      <b/>
      <sz val="12"/>
      <name val="Myriad Pro"/>
      <family val="2"/>
    </font>
    <font>
      <b/>
      <sz val="8"/>
      <color indexed="10"/>
      <name val="Arial"/>
      <family val="2"/>
    </font>
    <font>
      <i/>
      <sz val="12"/>
      <name val="Arial"/>
      <family val="2"/>
    </font>
    <font>
      <b/>
      <i/>
      <sz val="12"/>
      <name val="Arial"/>
      <family val="2"/>
    </font>
    <font>
      <i/>
      <sz val="10"/>
      <color indexed="63"/>
      <name val="Arial Narrow"/>
      <family val="2"/>
    </font>
    <font>
      <i/>
      <sz val="12"/>
      <color indexed="63"/>
      <name val="Arial Narrow"/>
      <family val="2"/>
    </font>
    <font>
      <b/>
      <i/>
      <sz val="12"/>
      <color indexed="63"/>
      <name val="Arial Narrow"/>
      <family val="2"/>
    </font>
    <font>
      <b/>
      <u/>
      <sz val="12"/>
      <name val="Arial"/>
      <family val="2"/>
    </font>
    <font>
      <b/>
      <sz val="12"/>
      <color indexed="10"/>
      <name val="Arial Narrow"/>
      <family val="2"/>
    </font>
    <font>
      <sz val="10"/>
      <color indexed="10"/>
      <name val="Arial"/>
      <family val="2"/>
    </font>
    <font>
      <sz val="8"/>
      <name val="Myriad Pro"/>
      <family val="2"/>
    </font>
    <font>
      <sz val="10"/>
      <name val="Rotis Sans Serif Std"/>
      <family val="2"/>
    </font>
    <font>
      <sz val="10"/>
      <name val="Segoe UI"/>
      <family val="2"/>
    </font>
  </fonts>
  <fills count="8">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55"/>
        <bgColor indexed="64"/>
      </patternFill>
    </fill>
    <fill>
      <patternFill patternType="solid">
        <fgColor theme="3" tint="0.79998168889431442"/>
        <bgColor indexed="64"/>
      </patternFill>
    </fill>
  </fills>
  <borders count="163">
    <border>
      <left/>
      <right/>
      <top/>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dotted">
        <color indexed="64"/>
      </right>
      <top style="medium">
        <color indexed="64"/>
      </top>
      <bottom style="medium">
        <color indexed="64"/>
      </bottom>
      <diagonal/>
    </border>
    <border>
      <left style="dotted">
        <color indexed="64"/>
      </left>
      <right style="thin">
        <color indexed="64"/>
      </right>
      <top style="medium">
        <color indexed="64"/>
      </top>
      <bottom style="medium">
        <color indexed="64"/>
      </bottom>
      <diagonal/>
    </border>
    <border>
      <left style="thin">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medium">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dotted">
        <color indexed="64"/>
      </left>
      <right style="dotted">
        <color indexed="64"/>
      </right>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medium">
        <color indexed="64"/>
      </left>
      <right style="dotted">
        <color indexed="64"/>
      </right>
      <top style="thin">
        <color indexed="64"/>
      </top>
      <bottom/>
      <diagonal/>
    </border>
    <border>
      <left style="dotted">
        <color indexed="64"/>
      </left>
      <right style="thin">
        <color indexed="64"/>
      </right>
      <top style="thin">
        <color indexed="64"/>
      </top>
      <bottom/>
      <diagonal/>
    </border>
    <border>
      <left style="thin">
        <color indexed="64"/>
      </left>
      <right style="dotted">
        <color indexed="64"/>
      </right>
      <top style="thin">
        <color indexed="64"/>
      </top>
      <bottom/>
      <diagonal/>
    </border>
    <border>
      <left style="dotted">
        <color indexed="64"/>
      </left>
      <right style="medium">
        <color indexed="64"/>
      </right>
      <top style="thin">
        <color indexed="64"/>
      </top>
      <bottom/>
      <diagonal/>
    </border>
    <border>
      <left style="dotted">
        <color indexed="64"/>
      </left>
      <right style="dotted">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right/>
      <top/>
      <bottom style="medium">
        <color indexed="63"/>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dotted">
        <color indexed="64"/>
      </right>
      <top style="medium">
        <color indexed="64"/>
      </top>
      <bottom style="hair">
        <color indexed="64"/>
      </bottom>
      <diagonal/>
    </border>
    <border>
      <left style="dotted">
        <color indexed="64"/>
      </left>
      <right/>
      <top style="medium">
        <color indexed="64"/>
      </top>
      <bottom style="hair">
        <color indexed="64"/>
      </bottom>
      <diagonal/>
    </border>
    <border>
      <left style="thin">
        <color indexed="64"/>
      </left>
      <right style="dotted">
        <color indexed="64"/>
      </right>
      <top style="medium">
        <color indexed="64"/>
      </top>
      <bottom style="hair">
        <color indexed="64"/>
      </bottom>
      <diagonal/>
    </border>
    <border>
      <left style="dotted">
        <color indexed="64"/>
      </left>
      <right style="thin">
        <color indexed="64"/>
      </right>
      <top style="medium">
        <color indexed="64"/>
      </top>
      <bottom style="hair">
        <color indexed="64"/>
      </bottom>
      <diagonal/>
    </border>
    <border>
      <left style="dotted">
        <color indexed="64"/>
      </left>
      <right style="medium">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thin">
        <color indexed="64"/>
      </left>
      <right style="dotted">
        <color indexed="64"/>
      </right>
      <top style="hair">
        <color indexed="64"/>
      </top>
      <bottom style="medium">
        <color indexed="64"/>
      </bottom>
      <diagonal/>
    </border>
    <border>
      <left style="dotted">
        <color indexed="64"/>
      </left>
      <right style="thin">
        <color indexed="64"/>
      </right>
      <top style="hair">
        <color indexed="64"/>
      </top>
      <bottom style="medium">
        <color indexed="64"/>
      </bottom>
      <diagonal/>
    </border>
    <border>
      <left style="dotted">
        <color indexed="64"/>
      </left>
      <right style="medium">
        <color indexed="64"/>
      </right>
      <top style="hair">
        <color indexed="64"/>
      </top>
      <bottom style="medium">
        <color indexed="64"/>
      </bottom>
      <diagonal/>
    </border>
    <border>
      <left style="medium">
        <color indexed="64"/>
      </left>
      <right style="dotted">
        <color indexed="64"/>
      </right>
      <top/>
      <bottom/>
      <diagonal/>
    </border>
    <border>
      <left style="dotted">
        <color indexed="64"/>
      </left>
      <right style="thin">
        <color indexed="64"/>
      </right>
      <top/>
      <bottom/>
      <diagonal/>
    </border>
    <border>
      <left/>
      <right style="dotted">
        <color indexed="64"/>
      </right>
      <top/>
      <bottom/>
      <diagonal/>
    </border>
    <border>
      <left style="dotted">
        <color indexed="64"/>
      </left>
      <right/>
      <top/>
      <bottom/>
      <diagonal/>
    </border>
    <border>
      <left style="thin">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bottom style="medium">
        <color indexed="64"/>
      </bottom>
      <diagonal/>
    </border>
    <border>
      <left style="dotted">
        <color indexed="64"/>
      </left>
      <right style="thin">
        <color indexed="64"/>
      </right>
      <top/>
      <bottom style="medium">
        <color indexed="64"/>
      </bottom>
      <diagonal/>
    </border>
    <border>
      <left style="thin">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dotted">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thick">
        <color indexed="10"/>
      </top>
      <bottom/>
      <diagonal/>
    </border>
    <border>
      <left/>
      <right style="thick">
        <color indexed="10"/>
      </right>
      <top style="thick">
        <color indexed="10"/>
      </top>
      <bottom/>
      <diagonal/>
    </border>
    <border>
      <left/>
      <right style="thick">
        <color indexed="10"/>
      </right>
      <top/>
      <bottom/>
      <diagonal/>
    </border>
    <border>
      <left style="thick">
        <color indexed="10"/>
      </left>
      <right/>
      <top/>
      <bottom/>
      <diagonal/>
    </border>
    <border>
      <left/>
      <right style="thick">
        <color indexed="10"/>
      </right>
      <top/>
      <bottom style="thick">
        <color indexed="10"/>
      </bottom>
      <diagonal/>
    </border>
    <border>
      <left style="thick">
        <color indexed="10"/>
      </left>
      <right/>
      <top style="thick">
        <color indexed="10"/>
      </top>
      <bottom/>
      <diagonal/>
    </border>
    <border>
      <left/>
      <right/>
      <top/>
      <bottom style="thick">
        <color indexed="10"/>
      </bottom>
      <diagonal/>
    </border>
    <border>
      <left style="thick">
        <color indexed="10"/>
      </left>
      <right style="thin">
        <color indexed="64"/>
      </right>
      <top style="thin">
        <color indexed="64"/>
      </top>
      <bottom style="thin">
        <color indexed="64"/>
      </bottom>
      <diagonal/>
    </border>
    <border>
      <left style="medium">
        <color indexed="63"/>
      </left>
      <right style="thin">
        <color indexed="63"/>
      </right>
      <top style="medium">
        <color indexed="63"/>
      </top>
      <bottom style="thin">
        <color indexed="63"/>
      </bottom>
      <diagonal/>
    </border>
    <border>
      <left style="thin">
        <color indexed="63"/>
      </left>
      <right style="thin">
        <color indexed="63"/>
      </right>
      <top style="medium">
        <color indexed="63"/>
      </top>
      <bottom style="thin">
        <color indexed="63"/>
      </bottom>
      <diagonal/>
    </border>
    <border>
      <left style="thin">
        <color indexed="63"/>
      </left>
      <right style="medium">
        <color indexed="63"/>
      </right>
      <top style="medium">
        <color indexed="63"/>
      </top>
      <bottom style="thin">
        <color indexed="63"/>
      </bottom>
      <diagonal/>
    </border>
    <border>
      <left style="medium">
        <color indexed="63"/>
      </left>
      <right style="thin">
        <color indexed="63"/>
      </right>
      <top style="thin">
        <color indexed="63"/>
      </top>
      <bottom style="thin">
        <color indexed="63"/>
      </bottom>
      <diagonal/>
    </border>
    <border>
      <left style="thin">
        <color indexed="63"/>
      </left>
      <right style="medium">
        <color indexed="63"/>
      </right>
      <top style="thin">
        <color indexed="63"/>
      </top>
      <bottom style="thin">
        <color indexed="63"/>
      </bottom>
      <diagonal/>
    </border>
    <border>
      <left style="medium">
        <color indexed="63"/>
      </left>
      <right style="thin">
        <color indexed="63"/>
      </right>
      <top style="thin">
        <color indexed="63"/>
      </top>
      <bottom style="medium">
        <color indexed="63"/>
      </bottom>
      <diagonal/>
    </border>
    <border>
      <left style="thin">
        <color indexed="63"/>
      </left>
      <right style="thin">
        <color indexed="63"/>
      </right>
      <top style="thin">
        <color indexed="63"/>
      </top>
      <bottom style="medium">
        <color indexed="63"/>
      </bottom>
      <diagonal/>
    </border>
    <border>
      <left style="thin">
        <color indexed="63"/>
      </left>
      <right style="medium">
        <color indexed="63"/>
      </right>
      <top style="thin">
        <color indexed="63"/>
      </top>
      <bottom style="medium">
        <color indexed="63"/>
      </bottom>
      <diagonal/>
    </border>
    <border>
      <left style="medium">
        <color indexed="64"/>
      </left>
      <right style="medium">
        <color indexed="64"/>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thick">
        <color indexed="10"/>
      </left>
      <right/>
      <top/>
      <bottom style="thick">
        <color indexed="10"/>
      </bottom>
      <diagonal/>
    </border>
    <border>
      <left style="thick">
        <color indexed="10"/>
      </left>
      <right style="thin">
        <color indexed="64"/>
      </right>
      <top style="thin">
        <color indexed="64"/>
      </top>
      <bottom style="thick">
        <color indexed="10"/>
      </bottom>
      <diagonal/>
    </border>
    <border>
      <left style="thin">
        <color indexed="64"/>
      </left>
      <right style="thin">
        <color indexed="64"/>
      </right>
      <top style="thin">
        <color indexed="64"/>
      </top>
      <bottom style="thick">
        <color indexed="10"/>
      </bottom>
      <diagonal/>
    </border>
    <border>
      <left style="thick">
        <color indexed="10"/>
      </left>
      <right/>
      <top style="thick">
        <color indexed="10"/>
      </top>
      <bottom style="thick">
        <color indexed="10"/>
      </bottom>
      <diagonal/>
    </border>
    <border>
      <left/>
      <right/>
      <top style="thick">
        <color indexed="10"/>
      </top>
      <bottom style="thick">
        <color indexed="10"/>
      </bottom>
      <diagonal/>
    </border>
    <border>
      <left/>
      <right style="thick">
        <color indexed="10"/>
      </right>
      <top style="thick">
        <color indexed="10"/>
      </top>
      <bottom style="thick">
        <color indexed="10"/>
      </bottom>
      <diagonal/>
    </border>
    <border>
      <left/>
      <right style="medium">
        <color indexed="64"/>
      </right>
      <top/>
      <bottom style="thin">
        <color indexed="64"/>
      </bottom>
      <diagonal/>
    </border>
    <border>
      <left style="thin">
        <color indexed="64"/>
      </left>
      <right/>
      <top/>
      <bottom/>
      <diagonal/>
    </border>
    <border>
      <left style="medium">
        <color indexed="63"/>
      </left>
      <right style="thin">
        <color indexed="63"/>
      </right>
      <top/>
      <bottom/>
      <diagonal/>
    </border>
    <border>
      <left style="medium">
        <color indexed="63"/>
      </left>
      <right style="thin">
        <color indexed="63"/>
      </right>
      <top/>
      <bottom style="medium">
        <color indexed="63"/>
      </bottom>
      <diagonal/>
    </border>
    <border>
      <left style="thin">
        <color indexed="63"/>
      </left>
      <right style="thin">
        <color indexed="63"/>
      </right>
      <top/>
      <bottom/>
      <diagonal/>
    </border>
    <border>
      <left style="thin">
        <color indexed="63"/>
      </left>
      <right style="thin">
        <color indexed="63"/>
      </right>
      <top/>
      <bottom style="medium">
        <color indexed="63"/>
      </bottom>
      <diagonal/>
    </border>
    <border>
      <left style="thin">
        <color indexed="63"/>
      </left>
      <right style="medium">
        <color indexed="63"/>
      </right>
      <top/>
      <bottom/>
      <diagonal/>
    </border>
    <border>
      <left style="thin">
        <color indexed="63"/>
      </left>
      <right style="medium">
        <color indexed="63"/>
      </right>
      <top/>
      <bottom style="medium">
        <color indexed="63"/>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10"/>
      </left>
      <right style="thin">
        <color indexed="64"/>
      </right>
      <top style="thick">
        <color indexed="10"/>
      </top>
      <bottom style="thin">
        <color indexed="64"/>
      </bottom>
      <diagonal/>
    </border>
    <border>
      <left style="thin">
        <color indexed="64"/>
      </left>
      <right style="thin">
        <color indexed="64"/>
      </right>
      <top style="thick">
        <color indexed="10"/>
      </top>
      <bottom style="thin">
        <color indexed="64"/>
      </bottom>
      <diagonal/>
    </border>
    <border>
      <left style="thin">
        <color indexed="64"/>
      </left>
      <right/>
      <top/>
      <bottom style="thick">
        <color indexed="10"/>
      </bottom>
      <diagonal/>
    </border>
    <border>
      <left style="thin">
        <color indexed="63"/>
      </left>
      <right style="medium">
        <color indexed="63"/>
      </right>
      <top style="medium">
        <color indexed="63"/>
      </top>
      <bottom style="thin">
        <color indexed="64"/>
      </bottom>
      <diagonal/>
    </border>
    <border>
      <left style="thin">
        <color indexed="63"/>
      </left>
      <right style="medium">
        <color indexed="63"/>
      </right>
      <top style="thin">
        <color indexed="64"/>
      </top>
      <bottom style="medium">
        <color indexed="63"/>
      </bottom>
      <diagonal/>
    </border>
    <border>
      <left style="medium">
        <color indexed="63"/>
      </left>
      <right style="thin">
        <color indexed="63"/>
      </right>
      <top style="medium">
        <color indexed="63"/>
      </top>
      <bottom style="thin">
        <color indexed="64"/>
      </bottom>
      <diagonal/>
    </border>
    <border>
      <left style="medium">
        <color indexed="63"/>
      </left>
      <right style="thin">
        <color indexed="63"/>
      </right>
      <top style="thin">
        <color indexed="64"/>
      </top>
      <bottom style="medium">
        <color indexed="63"/>
      </bottom>
      <diagonal/>
    </border>
    <border>
      <left style="thin">
        <color indexed="63"/>
      </left>
      <right style="thin">
        <color indexed="63"/>
      </right>
      <top style="medium">
        <color indexed="63"/>
      </top>
      <bottom style="thin">
        <color indexed="64"/>
      </bottom>
      <diagonal/>
    </border>
    <border>
      <left style="thin">
        <color indexed="63"/>
      </left>
      <right style="thin">
        <color indexed="63"/>
      </right>
      <top style="thin">
        <color indexed="64"/>
      </top>
      <bottom style="medium">
        <color indexed="63"/>
      </bottom>
      <diagonal/>
    </border>
    <border>
      <left style="thin">
        <color indexed="64"/>
      </left>
      <right/>
      <top style="medium">
        <color indexed="64"/>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801">
    <xf numFmtId="0" fontId="0" fillId="0" borderId="0" xfId="0"/>
    <xf numFmtId="0" fontId="5" fillId="0" borderId="0" xfId="0" applyFont="1"/>
    <xf numFmtId="0" fontId="5" fillId="0" borderId="0" xfId="0" applyFont="1" applyAlignment="1">
      <alignment horizontal="left" vertical="center"/>
    </xf>
    <xf numFmtId="0" fontId="5" fillId="0" borderId="0" xfId="0" applyFont="1" applyAlignment="1">
      <alignment vertical="center"/>
    </xf>
    <xf numFmtId="0" fontId="4" fillId="0" borderId="0" xfId="0" applyFont="1"/>
    <xf numFmtId="0" fontId="5" fillId="0" borderId="0" xfId="0" applyFont="1" applyAlignment="1">
      <alignment horizontal="center"/>
    </xf>
    <xf numFmtId="0" fontId="5" fillId="0" borderId="0" xfId="0" applyFont="1" applyAlignment="1">
      <alignment horizontal="center" vertical="center"/>
    </xf>
    <xf numFmtId="2" fontId="5" fillId="0" borderId="0" xfId="0" applyNumberFormat="1" applyFont="1"/>
    <xf numFmtId="0" fontId="7" fillId="2" borderId="2" xfId="0" applyFont="1" applyFill="1" applyBorder="1" applyAlignment="1">
      <alignment horizontal="left" vertical="center" wrapText="1"/>
    </xf>
    <xf numFmtId="0" fontId="5" fillId="0" borderId="0" xfId="0" applyFont="1" applyAlignment="1">
      <alignment horizontal="left" vertical="center" wrapText="1"/>
    </xf>
    <xf numFmtId="2" fontId="5" fillId="0" borderId="0" xfId="0" applyNumberFormat="1" applyFont="1" applyAlignment="1">
      <alignment vertical="center"/>
    </xf>
    <xf numFmtId="0" fontId="5" fillId="0" borderId="0" xfId="0" applyFont="1" applyAlignment="1">
      <alignment horizontal="right" vertical="center"/>
    </xf>
    <xf numFmtId="1" fontId="14" fillId="3" borderId="2" xfId="0" applyNumberFormat="1" applyFont="1" applyFill="1" applyBorder="1" applyAlignment="1">
      <alignment horizontal="center" vertical="center"/>
    </xf>
    <xf numFmtId="0" fontId="14" fillId="3" borderId="2" xfId="0" applyFont="1" applyFill="1" applyBorder="1" applyAlignment="1">
      <alignment horizontal="center"/>
    </xf>
    <xf numFmtId="2" fontId="14" fillId="3" borderId="2" xfId="0" applyNumberFormat="1" applyFont="1" applyFill="1" applyBorder="1" applyAlignment="1">
      <alignment horizontal="center" vertical="center"/>
    </xf>
    <xf numFmtId="0" fontId="14" fillId="3" borderId="2" xfId="0" applyFont="1" applyFill="1" applyBorder="1" applyAlignment="1">
      <alignment horizontal="left" vertical="center"/>
    </xf>
    <xf numFmtId="0" fontId="14" fillId="3" borderId="2" xfId="0" applyFont="1" applyFill="1" applyBorder="1"/>
    <xf numFmtId="2" fontId="14" fillId="3" borderId="2" xfId="0" applyNumberFormat="1" applyFont="1" applyFill="1" applyBorder="1" applyAlignment="1">
      <alignment horizontal="center"/>
    </xf>
    <xf numFmtId="0" fontId="14" fillId="0" borderId="0" xfId="0" applyFont="1"/>
    <xf numFmtId="0" fontId="5" fillId="3" borderId="3"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5" fillId="0" borderId="0" xfId="0" applyFont="1" applyAlignment="1">
      <alignment horizontal="center" wrapText="1"/>
    </xf>
    <xf numFmtId="3" fontId="5" fillId="0" borderId="0" xfId="0" applyNumberFormat="1" applyFont="1" applyAlignment="1">
      <alignment horizontal="center" vertical="center"/>
    </xf>
    <xf numFmtId="2" fontId="5" fillId="0" borderId="0" xfId="0" applyNumberFormat="1" applyFont="1" applyAlignment="1">
      <alignment horizontal="center" vertical="center"/>
    </xf>
    <xf numFmtId="0" fontId="0" fillId="0" borderId="0" xfId="0" applyAlignment="1">
      <alignment vertical="center"/>
    </xf>
    <xf numFmtId="3" fontId="3" fillId="0" borderId="0" xfId="0" applyNumberFormat="1" applyFont="1" applyAlignment="1">
      <alignment horizontal="center" vertical="center"/>
    </xf>
    <xf numFmtId="3" fontId="4" fillId="0" borderId="0" xfId="0" applyNumberFormat="1" applyFont="1" applyAlignment="1">
      <alignment horizontal="center" vertical="center"/>
    </xf>
    <xf numFmtId="0" fontId="15" fillId="4" borderId="0" xfId="0" applyFont="1" applyFill="1"/>
    <xf numFmtId="0" fontId="13" fillId="4" borderId="0" xfId="0" applyFont="1" applyFill="1" applyAlignment="1">
      <alignment vertical="center"/>
    </xf>
    <xf numFmtId="0" fontId="5" fillId="4" borderId="0" xfId="0" applyFont="1" applyFill="1" applyAlignment="1">
      <alignment horizontal="center"/>
    </xf>
    <xf numFmtId="0" fontId="6" fillId="4" borderId="0" xfId="0" applyFont="1" applyFill="1" applyAlignment="1">
      <alignment horizontal="left" vertical="center"/>
    </xf>
    <xf numFmtId="0" fontId="5" fillId="4" borderId="0" xfId="0" applyFont="1" applyFill="1" applyAlignment="1">
      <alignment horizontal="center" vertical="center"/>
    </xf>
    <xf numFmtId="0" fontId="5" fillId="4" borderId="0" xfId="0" applyFont="1" applyFill="1"/>
    <xf numFmtId="0" fontId="0" fillId="4" borderId="0" xfId="0" applyFill="1"/>
    <xf numFmtId="0" fontId="15" fillId="4" borderId="0" xfId="0" applyFont="1" applyFill="1" applyAlignment="1">
      <alignment vertical="center"/>
    </xf>
    <xf numFmtId="0" fontId="16" fillId="4" borderId="0" xfId="0" applyFont="1" applyFill="1"/>
    <xf numFmtId="0" fontId="12" fillId="4" borderId="0" xfId="0" applyFont="1" applyFill="1" applyAlignment="1">
      <alignment horizontal="center" vertical="center"/>
    </xf>
    <xf numFmtId="0" fontId="13" fillId="4" borderId="0" xfId="0" applyFont="1" applyFill="1"/>
    <xf numFmtId="0" fontId="15" fillId="4" borderId="0" xfId="0" applyFont="1" applyFill="1" applyAlignment="1">
      <alignment horizontal="center" vertical="center"/>
    </xf>
    <xf numFmtId="0" fontId="5" fillId="4" borderId="0" xfId="0" applyFont="1" applyFill="1" applyAlignment="1">
      <alignment vertical="top"/>
    </xf>
    <xf numFmtId="0" fontId="4" fillId="4" borderId="0" xfId="0" applyFont="1" applyFill="1" applyAlignment="1">
      <alignment vertical="top" wrapText="1"/>
    </xf>
    <xf numFmtId="0" fontId="15" fillId="4" borderId="0" xfId="0" applyFont="1" applyFill="1" applyAlignment="1">
      <alignment horizontal="right" vertical="center"/>
    </xf>
    <xf numFmtId="0" fontId="15" fillId="4" borderId="0" xfId="0" applyFont="1" applyFill="1" applyAlignment="1">
      <alignment horizontal="left" vertical="center"/>
    </xf>
    <xf numFmtId="0" fontId="5" fillId="4" borderId="0" xfId="0" applyFont="1" applyFill="1" applyAlignment="1">
      <alignment horizontal="left" vertical="center"/>
    </xf>
    <xf numFmtId="0" fontId="7" fillId="4" borderId="0" xfId="0" applyFont="1" applyFill="1"/>
    <xf numFmtId="0" fontId="5" fillId="4" borderId="0" xfId="0" applyFont="1" applyFill="1" applyAlignment="1">
      <alignment vertical="center"/>
    </xf>
    <xf numFmtId="0" fontId="7" fillId="4" borderId="0" xfId="0" applyFont="1" applyFill="1" applyAlignment="1">
      <alignment vertical="center"/>
    </xf>
    <xf numFmtId="0" fontId="2" fillId="4" borderId="0" xfId="0" applyFont="1" applyFill="1"/>
    <xf numFmtId="164" fontId="4" fillId="4" borderId="0" xfId="0" applyNumberFormat="1" applyFont="1" applyFill="1"/>
    <xf numFmtId="1" fontId="4" fillId="4" borderId="0" xfId="0" applyNumberFormat="1" applyFont="1" applyFill="1"/>
    <xf numFmtId="0" fontId="4" fillId="4" borderId="0" xfId="0" applyFont="1" applyFill="1" applyAlignment="1">
      <alignment horizontal="center" vertical="center"/>
    </xf>
    <xf numFmtId="0" fontId="21" fillId="4" borderId="0" xfId="0" applyFont="1" applyFill="1" applyAlignment="1">
      <alignment horizontal="center" vertical="center"/>
    </xf>
    <xf numFmtId="0" fontId="3" fillId="0" borderId="0" xfId="0" applyFont="1"/>
    <xf numFmtId="0" fontId="6" fillId="0" borderId="0" xfId="0" applyFont="1" applyAlignment="1">
      <alignment horizontal="right" vertical="center"/>
    </xf>
    <xf numFmtId="0" fontId="0" fillId="0" borderId="0" xfId="0" applyAlignment="1">
      <alignment horizontal="center" vertical="center"/>
    </xf>
    <xf numFmtId="0" fontId="25" fillId="0" borderId="0" xfId="0" applyFont="1" applyAlignment="1">
      <alignment horizontal="center" vertical="center"/>
    </xf>
    <xf numFmtId="0" fontId="22" fillId="4" borderId="0" xfId="0" applyFont="1" applyFill="1" applyAlignment="1">
      <alignment horizontal="center" vertical="center" wrapText="1"/>
    </xf>
    <xf numFmtId="1" fontId="22" fillId="4" borderId="0" xfId="0" applyNumberFormat="1" applyFont="1" applyFill="1" applyAlignment="1">
      <alignment horizontal="center" vertical="center"/>
    </xf>
    <xf numFmtId="0" fontId="26" fillId="4" borderId="0" xfId="0" applyFont="1" applyFill="1" applyAlignment="1">
      <alignment vertical="center" wrapText="1"/>
    </xf>
    <xf numFmtId="0" fontId="4" fillId="0" borderId="0" xfId="0" applyFont="1" applyAlignment="1">
      <alignment horizontal="left" vertical="center"/>
    </xf>
    <xf numFmtId="0" fontId="4" fillId="0" borderId="0" xfId="0" applyFont="1" applyAlignment="1">
      <alignment horizontal="center" vertical="center" wrapText="1"/>
    </xf>
    <xf numFmtId="0" fontId="17" fillId="0" borderId="0" xfId="0" applyFont="1" applyAlignment="1">
      <alignment horizontal="center" vertical="center"/>
    </xf>
    <xf numFmtId="0" fontId="5" fillId="4" borderId="5" xfId="0" applyFont="1" applyFill="1" applyBorder="1" applyAlignment="1">
      <alignment horizontal="center" vertical="center"/>
    </xf>
    <xf numFmtId="0" fontId="1" fillId="4" borderId="0" xfId="0" applyFont="1" applyFill="1"/>
    <xf numFmtId="0" fontId="34" fillId="4" borderId="0" xfId="0" applyFont="1" applyFill="1"/>
    <xf numFmtId="0" fontId="5" fillId="4" borderId="0" xfId="0" applyFont="1" applyFill="1" applyAlignment="1">
      <alignment horizontal="center" vertical="top"/>
    </xf>
    <xf numFmtId="0" fontId="6" fillId="4" borderId="0" xfId="0" applyFont="1" applyFill="1" applyAlignment="1">
      <alignment horizontal="left" vertical="top"/>
    </xf>
    <xf numFmtId="2" fontId="5" fillId="4" borderId="0" xfId="0" applyNumberFormat="1" applyFont="1" applyFill="1" applyAlignment="1">
      <alignment horizontal="center" vertical="center"/>
    </xf>
    <xf numFmtId="0" fontId="6" fillId="4" borderId="0" xfId="0" applyFont="1" applyFill="1"/>
    <xf numFmtId="2" fontId="14" fillId="4" borderId="2" xfId="0" applyNumberFormat="1" applyFont="1" applyFill="1" applyBorder="1" applyAlignment="1">
      <alignment horizontal="center" vertical="center" wrapText="1"/>
    </xf>
    <xf numFmtId="0" fontId="5" fillId="0" borderId="0" xfId="0" applyFont="1" applyAlignment="1" applyProtection="1">
      <alignment horizontal="center" vertical="center"/>
      <protection locked="0"/>
    </xf>
    <xf numFmtId="0" fontId="4" fillId="4" borderId="0" xfId="0" applyFont="1" applyFill="1" applyAlignment="1">
      <alignment horizontal="left" vertical="center"/>
    </xf>
    <xf numFmtId="0" fontId="30" fillId="4" borderId="0" xfId="0" applyFont="1" applyFill="1"/>
    <xf numFmtId="0" fontId="23" fillId="0" borderId="0" xfId="0" applyFont="1" applyAlignment="1">
      <alignment vertical="center"/>
    </xf>
    <xf numFmtId="0" fontId="8" fillId="0" borderId="0" xfId="0" applyFont="1" applyAlignment="1">
      <alignment vertical="center" textRotation="90"/>
    </xf>
    <xf numFmtId="0" fontId="38" fillId="4" borderId="0" xfId="0" applyFont="1" applyFill="1" applyAlignment="1">
      <alignment horizontal="left" vertical="top"/>
    </xf>
    <xf numFmtId="0" fontId="34" fillId="4" borderId="0" xfId="0" applyFont="1" applyFill="1" applyAlignment="1">
      <alignment horizontal="left" vertical="top" wrapText="1"/>
    </xf>
    <xf numFmtId="0" fontId="0" fillId="4" borderId="0" xfId="0" applyFill="1" applyAlignment="1">
      <alignment horizontal="left" vertical="top" wrapText="1"/>
    </xf>
    <xf numFmtId="0" fontId="5" fillId="4" borderId="0" xfId="0" applyFont="1" applyFill="1" applyAlignment="1">
      <alignment horizontal="left" vertical="top" wrapText="1"/>
    </xf>
    <xf numFmtId="0" fontId="39" fillId="4" borderId="0" xfId="0" applyFont="1" applyFill="1" applyAlignment="1">
      <alignment horizontal="left" vertical="top"/>
    </xf>
    <xf numFmtId="0" fontId="39" fillId="4" borderId="0" xfId="0" applyFont="1" applyFill="1" applyAlignment="1">
      <alignment horizontal="left" vertical="top" wrapText="1"/>
    </xf>
    <xf numFmtId="0" fontId="36" fillId="4" borderId="0" xfId="0" applyFont="1" applyFill="1" applyAlignment="1">
      <alignment vertical="center" wrapText="1"/>
    </xf>
    <xf numFmtId="0" fontId="42" fillId="4" borderId="0" xfId="0" applyFont="1" applyFill="1" applyAlignment="1">
      <alignment horizontal="left" vertical="top" wrapText="1"/>
    </xf>
    <xf numFmtId="0" fontId="43" fillId="4" borderId="0" xfId="0" applyFont="1" applyFill="1" applyAlignment="1">
      <alignment horizontal="left" vertical="top" wrapText="1"/>
    </xf>
    <xf numFmtId="0" fontId="3" fillId="4" borderId="0" xfId="0" applyFont="1" applyFill="1"/>
    <xf numFmtId="0" fontId="3" fillId="4" borderId="0" xfId="0" applyFont="1" applyFill="1" applyAlignment="1">
      <alignment horizontal="center"/>
    </xf>
    <xf numFmtId="3" fontId="28" fillId="4" borderId="0" xfId="0" applyNumberFormat="1" applyFont="1" applyFill="1" applyAlignment="1">
      <alignment horizontal="center" vertical="center"/>
    </xf>
    <xf numFmtId="3" fontId="5" fillId="4" borderId="0" xfId="0" applyNumberFormat="1" applyFont="1" applyFill="1" applyAlignment="1">
      <alignment horizontal="center" vertical="center" textRotation="90" wrapText="1"/>
    </xf>
    <xf numFmtId="0" fontId="3" fillId="4" borderId="0" xfId="0" applyFont="1" applyFill="1" applyAlignment="1">
      <alignment horizontal="center" vertical="center" wrapText="1"/>
    </xf>
    <xf numFmtId="1" fontId="28" fillId="4" borderId="0" xfId="0" applyNumberFormat="1" applyFont="1" applyFill="1" applyAlignment="1">
      <alignment horizontal="center" vertical="center"/>
    </xf>
    <xf numFmtId="0" fontId="8" fillId="4" borderId="0" xfId="0" applyFont="1" applyFill="1" applyAlignment="1">
      <alignment horizontal="center" vertical="center"/>
    </xf>
    <xf numFmtId="3" fontId="27" fillId="4" borderId="0" xfId="0" applyNumberFormat="1" applyFont="1" applyFill="1" applyAlignment="1">
      <alignment horizontal="center"/>
    </xf>
    <xf numFmtId="3" fontId="8" fillId="4" borderId="0" xfId="0" applyNumberFormat="1" applyFont="1" applyFill="1" applyAlignment="1">
      <alignment horizontal="center" vertical="center"/>
    </xf>
    <xf numFmtId="3" fontId="28" fillId="4" borderId="0" xfId="0" applyNumberFormat="1" applyFont="1" applyFill="1" applyAlignment="1">
      <alignment horizontal="right" vertical="center"/>
    </xf>
    <xf numFmtId="0" fontId="23" fillId="4" borderId="0" xfId="0" applyFont="1" applyFill="1" applyAlignment="1">
      <alignment horizontal="center" vertical="center" wrapText="1"/>
    </xf>
    <xf numFmtId="0" fontId="23" fillId="4" borderId="0" xfId="0" applyFont="1" applyFill="1" applyAlignment="1">
      <alignment vertical="center"/>
    </xf>
    <xf numFmtId="1" fontId="27" fillId="4" borderId="6" xfId="0" applyNumberFormat="1" applyFont="1" applyFill="1" applyBorder="1" applyAlignment="1">
      <alignment horizontal="left" vertical="center"/>
    </xf>
    <xf numFmtId="1" fontId="3" fillId="4" borderId="7" xfId="0" applyNumberFormat="1" applyFont="1" applyFill="1" applyBorder="1" applyAlignment="1">
      <alignment horizontal="center"/>
    </xf>
    <xf numFmtId="0" fontId="3" fillId="4" borderId="7" xfId="0" applyFont="1" applyFill="1" applyBorder="1"/>
    <xf numFmtId="0" fontId="3" fillId="4" borderId="7" xfId="0" applyFont="1" applyFill="1" applyBorder="1" applyAlignment="1">
      <alignment horizontal="center"/>
    </xf>
    <xf numFmtId="0" fontId="3" fillId="4" borderId="8" xfId="0" applyFont="1" applyFill="1" applyBorder="1" applyAlignment="1">
      <alignment horizontal="center"/>
    </xf>
    <xf numFmtId="0" fontId="23" fillId="4" borderId="0" xfId="0" applyFont="1" applyFill="1" applyAlignment="1">
      <alignment vertical="center" wrapText="1"/>
    </xf>
    <xf numFmtId="0" fontId="27" fillId="4" borderId="0" xfId="0" applyFont="1" applyFill="1" applyAlignment="1">
      <alignment vertical="center" wrapText="1"/>
    </xf>
    <xf numFmtId="0" fontId="8" fillId="4" borderId="0" xfId="0" applyFont="1" applyFill="1" applyAlignment="1">
      <alignment textRotation="90" wrapText="1"/>
    </xf>
    <xf numFmtId="1" fontId="27" fillId="4" borderId="9" xfId="0" applyNumberFormat="1" applyFont="1" applyFill="1" applyBorder="1" applyAlignment="1">
      <alignment horizontal="left" vertical="center"/>
    </xf>
    <xf numFmtId="1" fontId="3" fillId="4" borderId="0" xfId="0" applyNumberFormat="1" applyFont="1" applyFill="1" applyAlignment="1">
      <alignment horizontal="center"/>
    </xf>
    <xf numFmtId="0" fontId="3" fillId="4" borderId="10" xfId="0" applyFont="1" applyFill="1" applyBorder="1" applyAlignment="1">
      <alignment horizontal="center"/>
    </xf>
    <xf numFmtId="0" fontId="24" fillId="4" borderId="0" xfId="0" applyFont="1" applyFill="1"/>
    <xf numFmtId="0" fontId="24" fillId="4" borderId="0" xfId="0" applyFont="1" applyFill="1" applyAlignment="1">
      <alignment horizontal="center"/>
    </xf>
    <xf numFmtId="3" fontId="35" fillId="4" borderId="0" xfId="0" applyNumberFormat="1" applyFont="1" applyFill="1"/>
    <xf numFmtId="1" fontId="24" fillId="4" borderId="9" xfId="0" applyNumberFormat="1" applyFont="1" applyFill="1" applyBorder="1" applyAlignment="1">
      <alignment horizontal="center"/>
    </xf>
    <xf numFmtId="1" fontId="24" fillId="4" borderId="0" xfId="0" applyNumberFormat="1" applyFont="1" applyFill="1" applyAlignment="1">
      <alignment horizontal="center"/>
    </xf>
    <xf numFmtId="0" fontId="24" fillId="4" borderId="10" xfId="0" applyFont="1" applyFill="1" applyBorder="1" applyAlignment="1">
      <alignment horizontal="center"/>
    </xf>
    <xf numFmtId="0" fontId="24" fillId="4" borderId="9" xfId="0" applyFont="1" applyFill="1" applyBorder="1" applyAlignment="1">
      <alignment horizontal="center"/>
    </xf>
    <xf numFmtId="0" fontId="3" fillId="4" borderId="0" xfId="0" applyFont="1" applyFill="1" applyAlignment="1">
      <alignment textRotation="90"/>
    </xf>
    <xf numFmtId="0" fontId="3" fillId="4" borderId="11" xfId="0" applyFont="1" applyFill="1" applyBorder="1" applyAlignment="1">
      <alignment horizontal="center"/>
    </xf>
    <xf numFmtId="0" fontId="8" fillId="4" borderId="6" xfId="0" applyFont="1" applyFill="1" applyBorder="1" applyAlignment="1">
      <alignment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3" fillId="4" borderId="12"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0" xfId="0" applyFont="1" applyFill="1" applyBorder="1" applyAlignment="1">
      <alignment horizontal="center" vertical="center"/>
    </xf>
    <xf numFmtId="0" fontId="8" fillId="4" borderId="0" xfId="0" applyFont="1" applyFill="1" applyAlignment="1">
      <alignment vertical="center" wrapText="1"/>
    </xf>
    <xf numFmtId="0" fontId="27" fillId="4" borderId="15" xfId="0" applyFont="1" applyFill="1" applyBorder="1" applyAlignment="1">
      <alignment vertical="center"/>
    </xf>
    <xf numFmtId="0" fontId="27" fillId="4" borderId="16" xfId="0" applyFont="1" applyFill="1" applyBorder="1" applyAlignment="1">
      <alignment vertical="center"/>
    </xf>
    <xf numFmtId="0" fontId="27" fillId="4" borderId="17" xfId="0" applyFont="1" applyFill="1" applyBorder="1" applyAlignment="1">
      <alignment vertical="center"/>
    </xf>
    <xf numFmtId="0" fontId="5" fillId="4" borderId="11" xfId="0" applyFont="1" applyFill="1" applyBorder="1" applyAlignment="1">
      <alignment horizontal="center" vertical="center" textRotation="90" wrapText="1"/>
    </xf>
    <xf numFmtId="0" fontId="3" fillId="4" borderId="0" xfId="0" applyFont="1" applyFill="1" applyAlignment="1">
      <alignment horizontal="center" vertical="center"/>
    </xf>
    <xf numFmtId="0" fontId="5" fillId="4" borderId="0" xfId="0" applyFont="1" applyFill="1" applyAlignment="1">
      <alignment horizontal="center" textRotation="90" wrapText="1"/>
    </xf>
    <xf numFmtId="0" fontId="5" fillId="4" borderId="9" xfId="0" applyFont="1" applyFill="1" applyBorder="1" applyAlignment="1">
      <alignment horizontal="center" textRotation="90" wrapText="1"/>
    </xf>
    <xf numFmtId="0" fontId="5" fillId="4" borderId="10" xfId="0" applyFont="1" applyFill="1" applyBorder="1" applyAlignment="1">
      <alignment horizontal="center" textRotation="90" wrapText="1"/>
    </xf>
    <xf numFmtId="0" fontId="5" fillId="4" borderId="0" xfId="0" applyFont="1" applyFill="1" applyAlignment="1">
      <alignment horizontal="left" textRotation="90" wrapText="1"/>
    </xf>
    <xf numFmtId="0" fontId="3" fillId="4" borderId="11" xfId="0" applyFont="1" applyFill="1" applyBorder="1" applyAlignment="1">
      <alignment horizontal="center" textRotation="90"/>
    </xf>
    <xf numFmtId="0" fontId="5" fillId="4" borderId="9" xfId="0" applyFont="1" applyFill="1" applyBorder="1" applyAlignment="1">
      <alignment horizontal="left" textRotation="90" wrapText="1"/>
    </xf>
    <xf numFmtId="0" fontId="5" fillId="4" borderId="10" xfId="0" applyFont="1" applyFill="1" applyBorder="1" applyAlignment="1">
      <alignment horizontal="left" textRotation="90" wrapText="1"/>
    </xf>
    <xf numFmtId="0" fontId="8" fillId="4" borderId="11" xfId="0" applyFont="1" applyFill="1" applyBorder="1" applyAlignment="1">
      <alignment horizontal="center" textRotation="90" wrapText="1"/>
    </xf>
    <xf numFmtId="1" fontId="3" fillId="4" borderId="18" xfId="0" applyNumberFormat="1" applyFont="1" applyFill="1" applyBorder="1" applyAlignment="1">
      <alignment horizontal="center"/>
    </xf>
    <xf numFmtId="1" fontId="3" fillId="4" borderId="19" xfId="0" applyNumberFormat="1" applyFont="1" applyFill="1" applyBorder="1" applyAlignment="1">
      <alignment horizontal="center"/>
    </xf>
    <xf numFmtId="0" fontId="3" fillId="4" borderId="20" xfId="0" applyFont="1" applyFill="1" applyBorder="1"/>
    <xf numFmtId="0" fontId="3" fillId="4" borderId="19" xfId="0" applyFont="1" applyFill="1" applyBorder="1"/>
    <xf numFmtId="0" fontId="3" fillId="4" borderId="21" xfId="0" applyFont="1" applyFill="1" applyBorder="1"/>
    <xf numFmtId="0" fontId="3" fillId="4" borderId="19" xfId="0" applyFont="1" applyFill="1" applyBorder="1" applyAlignment="1">
      <alignment horizontal="center"/>
    </xf>
    <xf numFmtId="0" fontId="3" fillId="4" borderId="22" xfId="0" applyFont="1" applyFill="1" applyBorder="1" applyAlignment="1">
      <alignment horizontal="center"/>
    </xf>
    <xf numFmtId="0" fontId="3" fillId="4" borderId="23" xfId="0" applyFont="1" applyFill="1" applyBorder="1" applyAlignment="1">
      <alignment horizontal="center"/>
    </xf>
    <xf numFmtId="0" fontId="3" fillId="4" borderId="24" xfId="0" applyFont="1" applyFill="1" applyBorder="1" applyAlignment="1">
      <alignment horizontal="center"/>
    </xf>
    <xf numFmtId="3" fontId="3" fillId="4" borderId="0" xfId="0" applyNumberFormat="1" applyFont="1" applyFill="1" applyAlignment="1">
      <alignment horizontal="center" vertical="center"/>
    </xf>
    <xf numFmtId="0" fontId="5" fillId="4" borderId="25" xfId="0" applyFont="1" applyFill="1" applyBorder="1" applyAlignment="1">
      <alignment horizontal="center" vertical="center"/>
    </xf>
    <xf numFmtId="3" fontId="3" fillId="4" borderId="11" xfId="0" applyNumberFormat="1" applyFont="1" applyFill="1" applyBorder="1" applyAlignment="1">
      <alignment horizontal="center"/>
    </xf>
    <xf numFmtId="3" fontId="3" fillId="4" borderId="26" xfId="0" applyNumberFormat="1" applyFont="1" applyFill="1" applyBorder="1" applyAlignment="1">
      <alignment horizontal="center" vertical="center"/>
    </xf>
    <xf numFmtId="3" fontId="3" fillId="4" borderId="27" xfId="0" applyNumberFormat="1" applyFont="1" applyFill="1" applyBorder="1" applyAlignment="1">
      <alignment horizontal="center" vertical="center"/>
    </xf>
    <xf numFmtId="3" fontId="3" fillId="4" borderId="28" xfId="0" applyNumberFormat="1" applyFont="1" applyFill="1" applyBorder="1" applyAlignment="1">
      <alignment horizontal="center" vertical="center"/>
    </xf>
    <xf numFmtId="3" fontId="8" fillId="4" borderId="25" xfId="0" applyNumberFormat="1" applyFont="1" applyFill="1" applyBorder="1" applyAlignment="1">
      <alignment horizontal="center" vertical="center"/>
    </xf>
    <xf numFmtId="1" fontId="3" fillId="4" borderId="29" xfId="0" applyNumberFormat="1" applyFont="1" applyFill="1" applyBorder="1" applyAlignment="1">
      <alignment horizontal="center"/>
    </xf>
    <xf numFmtId="1" fontId="3" fillId="4" borderId="30" xfId="0" applyNumberFormat="1" applyFont="1" applyFill="1" applyBorder="1" applyAlignment="1">
      <alignment horizontal="center"/>
    </xf>
    <xf numFmtId="1" fontId="3" fillId="4" borderId="31" xfId="0" applyNumberFormat="1" applyFont="1" applyFill="1" applyBorder="1" applyAlignment="1">
      <alignment horizontal="center"/>
    </xf>
    <xf numFmtId="1" fontId="3" fillId="4" borderId="32" xfId="0" applyNumberFormat="1" applyFont="1" applyFill="1" applyBorder="1" applyAlignment="1">
      <alignment horizontal="center"/>
    </xf>
    <xf numFmtId="1" fontId="3" fillId="4" borderId="33" xfId="0" applyNumberFormat="1" applyFont="1" applyFill="1" applyBorder="1" applyAlignment="1">
      <alignment horizontal="center"/>
    </xf>
    <xf numFmtId="1" fontId="3" fillId="4" borderId="34" xfId="0" applyNumberFormat="1" applyFont="1" applyFill="1" applyBorder="1" applyAlignment="1">
      <alignment horizontal="center"/>
    </xf>
    <xf numFmtId="1" fontId="3" fillId="4" borderId="35" xfId="0" applyNumberFormat="1" applyFont="1" applyFill="1" applyBorder="1" applyAlignment="1">
      <alignment horizontal="center"/>
    </xf>
    <xf numFmtId="3" fontId="3" fillId="4" borderId="36" xfId="0" applyNumberFormat="1" applyFont="1" applyFill="1" applyBorder="1" applyAlignment="1">
      <alignment horizontal="center" vertical="center"/>
    </xf>
    <xf numFmtId="3" fontId="3" fillId="4" borderId="4" xfId="0" applyNumberFormat="1" applyFont="1" applyFill="1" applyBorder="1" applyAlignment="1">
      <alignment horizontal="center" vertical="center"/>
    </xf>
    <xf numFmtId="3" fontId="3" fillId="4" borderId="37" xfId="0" applyNumberFormat="1" applyFont="1" applyFill="1" applyBorder="1" applyAlignment="1">
      <alignment horizontal="center" vertical="center"/>
    </xf>
    <xf numFmtId="3" fontId="8" fillId="4" borderId="5" xfId="0" applyNumberFormat="1" applyFont="1" applyFill="1" applyBorder="1" applyAlignment="1">
      <alignment horizontal="center" vertical="center"/>
    </xf>
    <xf numFmtId="1" fontId="3" fillId="4" borderId="36" xfId="0" applyNumberFormat="1" applyFont="1" applyFill="1" applyBorder="1" applyAlignment="1">
      <alignment horizontal="center"/>
    </xf>
    <xf numFmtId="1" fontId="3" fillId="4" borderId="4" xfId="0" applyNumberFormat="1" applyFont="1" applyFill="1" applyBorder="1" applyAlignment="1">
      <alignment horizontal="center"/>
    </xf>
    <xf numFmtId="1" fontId="3" fillId="4" borderId="3" xfId="0" applyNumberFormat="1" applyFont="1" applyFill="1" applyBorder="1" applyAlignment="1">
      <alignment horizontal="center"/>
    </xf>
    <xf numFmtId="1" fontId="3" fillId="4" borderId="38" xfId="0" applyNumberFormat="1" applyFont="1" applyFill="1" applyBorder="1" applyAlignment="1">
      <alignment horizontal="center"/>
    </xf>
    <xf numFmtId="1" fontId="3" fillId="4" borderId="39" xfId="0" applyNumberFormat="1" applyFont="1" applyFill="1" applyBorder="1" applyAlignment="1">
      <alignment horizontal="center"/>
    </xf>
    <xf numFmtId="1" fontId="3" fillId="4" borderId="2" xfId="0" applyNumberFormat="1" applyFont="1" applyFill="1" applyBorder="1" applyAlignment="1">
      <alignment horizontal="center"/>
    </xf>
    <xf numFmtId="1" fontId="3" fillId="4" borderId="40" xfId="0" applyNumberFormat="1" applyFont="1" applyFill="1" applyBorder="1" applyAlignment="1">
      <alignment horizontal="center"/>
    </xf>
    <xf numFmtId="0" fontId="5" fillId="4" borderId="41" xfId="0" applyFont="1" applyFill="1" applyBorder="1" applyAlignment="1">
      <alignment horizontal="center" vertical="center"/>
    </xf>
    <xf numFmtId="3" fontId="3" fillId="4" borderId="42" xfId="0" applyNumberFormat="1" applyFont="1" applyFill="1" applyBorder="1" applyAlignment="1">
      <alignment horizontal="center" vertical="center"/>
    </xf>
    <xf numFmtId="3" fontId="3" fillId="4" borderId="43" xfId="0" applyNumberFormat="1" applyFont="1" applyFill="1" applyBorder="1" applyAlignment="1">
      <alignment horizontal="center" vertical="center"/>
    </xf>
    <xf numFmtId="3" fontId="3" fillId="4" borderId="44" xfId="0" applyNumberFormat="1" applyFont="1" applyFill="1" applyBorder="1" applyAlignment="1">
      <alignment horizontal="center" vertical="center"/>
    </xf>
    <xf numFmtId="3" fontId="8" fillId="4" borderId="41" xfId="0" applyNumberFormat="1" applyFont="1" applyFill="1" applyBorder="1" applyAlignment="1">
      <alignment horizontal="center" vertical="center"/>
    </xf>
    <xf numFmtId="1" fontId="3" fillId="4" borderId="42" xfId="0" applyNumberFormat="1" applyFont="1" applyFill="1" applyBorder="1" applyAlignment="1">
      <alignment horizontal="center"/>
    </xf>
    <xf numFmtId="1" fontId="3" fillId="4" borderId="43" xfId="0" applyNumberFormat="1" applyFont="1" applyFill="1" applyBorder="1" applyAlignment="1">
      <alignment horizontal="center"/>
    </xf>
    <xf numFmtId="1" fontId="3" fillId="4" borderId="45" xfId="0" applyNumberFormat="1" applyFont="1" applyFill="1" applyBorder="1" applyAlignment="1">
      <alignment horizontal="center"/>
    </xf>
    <xf numFmtId="1" fontId="3" fillId="4" borderId="46" xfId="0" applyNumberFormat="1" applyFont="1" applyFill="1" applyBorder="1" applyAlignment="1">
      <alignment horizontal="center"/>
    </xf>
    <xf numFmtId="1" fontId="3" fillId="4" borderId="47" xfId="0" applyNumberFormat="1" applyFont="1" applyFill="1" applyBorder="1" applyAlignment="1">
      <alignment horizontal="center"/>
    </xf>
    <xf numFmtId="1" fontId="3" fillId="4" borderId="48" xfId="0" applyNumberFormat="1" applyFont="1" applyFill="1" applyBorder="1" applyAlignment="1">
      <alignment horizontal="center"/>
    </xf>
    <xf numFmtId="1" fontId="3" fillId="4" borderId="49" xfId="0" applyNumberFormat="1" applyFont="1" applyFill="1" applyBorder="1" applyAlignment="1">
      <alignment horizontal="center"/>
    </xf>
    <xf numFmtId="0" fontId="10" fillId="4" borderId="18" xfId="0" applyFont="1" applyFill="1" applyBorder="1" applyAlignment="1">
      <alignment horizontal="center" vertical="center"/>
    </xf>
    <xf numFmtId="3" fontId="28" fillId="4" borderId="11" xfId="0" applyNumberFormat="1" applyFont="1" applyFill="1" applyBorder="1" applyAlignment="1">
      <alignment horizontal="center"/>
    </xf>
    <xf numFmtId="3" fontId="10" fillId="4" borderId="19" xfId="0" applyNumberFormat="1" applyFont="1" applyFill="1" applyBorder="1" applyAlignment="1">
      <alignment horizontal="center" vertical="center"/>
    </xf>
    <xf numFmtId="3" fontId="10" fillId="4" borderId="50" xfId="0" applyNumberFormat="1" applyFont="1" applyFill="1" applyBorder="1" applyAlignment="1">
      <alignment horizontal="center" vertical="center"/>
    </xf>
    <xf numFmtId="3" fontId="10" fillId="4" borderId="51" xfId="0" applyNumberFormat="1" applyFont="1" applyFill="1" applyBorder="1" applyAlignment="1">
      <alignment horizontal="center" vertical="center"/>
    </xf>
    <xf numFmtId="0" fontId="8" fillId="4" borderId="0" xfId="0" applyFont="1" applyFill="1" applyAlignment="1">
      <alignment vertical="center"/>
    </xf>
    <xf numFmtId="1" fontId="8" fillId="4" borderId="6" xfId="0" applyNumberFormat="1" applyFont="1" applyFill="1" applyBorder="1" applyAlignment="1">
      <alignment horizontal="center"/>
    </xf>
    <xf numFmtId="1" fontId="8" fillId="4" borderId="7" xfId="0" applyNumberFormat="1" applyFont="1" applyFill="1" applyBorder="1" applyAlignment="1">
      <alignment horizontal="center"/>
    </xf>
    <xf numFmtId="1" fontId="8" fillId="4" borderId="52" xfId="0" applyNumberFormat="1" applyFont="1" applyFill="1" applyBorder="1" applyAlignment="1">
      <alignment horizontal="center"/>
    </xf>
    <xf numFmtId="1" fontId="8" fillId="4" borderId="53" xfId="0" applyNumberFormat="1" applyFont="1" applyFill="1" applyBorder="1" applyAlignment="1">
      <alignment horizontal="center"/>
    </xf>
    <xf numFmtId="1" fontId="8" fillId="4" borderId="8" xfId="0" applyNumberFormat="1" applyFont="1" applyFill="1" applyBorder="1" applyAlignment="1">
      <alignment horizontal="center"/>
    </xf>
    <xf numFmtId="1" fontId="8" fillId="4" borderId="54" xfId="0" applyNumberFormat="1" applyFont="1" applyFill="1" applyBorder="1" applyAlignment="1">
      <alignment horizontal="center"/>
    </xf>
    <xf numFmtId="1" fontId="8" fillId="4" borderId="55" xfId="0" applyNumberFormat="1" applyFont="1" applyFill="1" applyBorder="1" applyAlignment="1">
      <alignment horizontal="center"/>
    </xf>
    <xf numFmtId="1" fontId="8" fillId="4" borderId="56" xfId="0" applyNumberFormat="1" applyFont="1" applyFill="1" applyBorder="1" applyAlignment="1">
      <alignment horizontal="center"/>
    </xf>
    <xf numFmtId="0" fontId="8" fillId="4" borderId="0" xfId="0" applyFont="1" applyFill="1" applyAlignment="1">
      <alignment horizontal="left" vertical="center"/>
    </xf>
    <xf numFmtId="1" fontId="3" fillId="4" borderId="0" xfId="0" applyNumberFormat="1" applyFont="1" applyFill="1" applyAlignment="1">
      <alignment horizontal="center" vertical="center"/>
    </xf>
    <xf numFmtId="0" fontId="27" fillId="4" borderId="16" xfId="0" applyFont="1" applyFill="1" applyBorder="1" applyAlignment="1">
      <alignment vertical="center" wrapText="1"/>
    </xf>
    <xf numFmtId="0" fontId="27" fillId="4" borderId="17" xfId="0" applyFont="1" applyFill="1" applyBorder="1" applyAlignment="1">
      <alignment vertical="center" wrapText="1"/>
    </xf>
    <xf numFmtId="0" fontId="8" fillId="4" borderId="0" xfId="0" applyFont="1" applyFill="1" applyAlignment="1">
      <alignment horizontal="center" textRotation="90" wrapText="1"/>
    </xf>
    <xf numFmtId="3" fontId="10" fillId="4" borderId="0" xfId="0" applyNumberFormat="1" applyFont="1" applyFill="1" applyAlignment="1">
      <alignment horizontal="center" vertical="center"/>
    </xf>
    <xf numFmtId="1" fontId="5" fillId="4" borderId="0" xfId="0" applyNumberFormat="1" applyFont="1" applyFill="1" applyAlignment="1">
      <alignment horizontal="center"/>
    </xf>
    <xf numFmtId="0" fontId="5" fillId="4" borderId="0" xfId="0" applyFont="1" applyFill="1" applyAlignment="1">
      <alignment horizontal="center" vertical="center" textRotation="90" wrapText="1"/>
    </xf>
    <xf numFmtId="0" fontId="3" fillId="4" borderId="0" xfId="0" applyFont="1" applyFill="1" applyAlignment="1">
      <alignment horizontal="center" textRotation="90"/>
    </xf>
    <xf numFmtId="3" fontId="3" fillId="4" borderId="0" xfId="0" applyNumberFormat="1" applyFont="1" applyFill="1" applyAlignment="1">
      <alignment horizontal="center"/>
    </xf>
    <xf numFmtId="0" fontId="8" fillId="4" borderId="0" xfId="0" applyFont="1" applyFill="1" applyAlignment="1">
      <alignment horizontal="center" vertical="center" wrapText="1"/>
    </xf>
    <xf numFmtId="0" fontId="29" fillId="4" borderId="0" xfId="0" applyFont="1" applyFill="1" applyAlignment="1">
      <alignment horizontal="center" vertical="center" wrapText="1"/>
    </xf>
    <xf numFmtId="3" fontId="5" fillId="4" borderId="0" xfId="0" applyNumberFormat="1" applyFont="1" applyFill="1" applyAlignment="1">
      <alignment horizontal="center" vertical="center"/>
    </xf>
    <xf numFmtId="0" fontId="10" fillId="4" borderId="0" xfId="0" applyFont="1" applyFill="1" applyAlignment="1">
      <alignment horizontal="center" vertical="center"/>
    </xf>
    <xf numFmtId="3" fontId="28" fillId="4" borderId="0" xfId="0" applyNumberFormat="1" applyFont="1" applyFill="1" applyAlignment="1">
      <alignment horizontal="center"/>
    </xf>
    <xf numFmtId="0" fontId="8" fillId="4" borderId="0" xfId="0" applyFont="1" applyFill="1" applyAlignment="1">
      <alignment vertical="center" textRotation="90"/>
    </xf>
    <xf numFmtId="0" fontId="8" fillId="4" borderId="0" xfId="0" applyFont="1" applyFill="1"/>
    <xf numFmtId="0" fontId="8" fillId="4" borderId="0" xfId="0" applyFont="1" applyFill="1" applyAlignment="1">
      <alignment horizontal="center"/>
    </xf>
    <xf numFmtId="0" fontId="3" fillId="4" borderId="3" xfId="0" applyFont="1" applyFill="1" applyBorder="1"/>
    <xf numFmtId="0" fontId="3" fillId="4" borderId="4" xfId="0" applyFont="1" applyFill="1" applyBorder="1"/>
    <xf numFmtId="0" fontId="3" fillId="4" borderId="38" xfId="0" applyFont="1" applyFill="1" applyBorder="1" applyAlignment="1">
      <alignment horizontal="center"/>
    </xf>
    <xf numFmtId="0" fontId="3" fillId="4" borderId="2" xfId="0" quotePrefix="1" applyFont="1" applyFill="1" applyBorder="1" applyAlignment="1">
      <alignment horizontal="center"/>
    </xf>
    <xf numFmtId="0" fontId="3" fillId="4" borderId="2" xfId="0" applyFont="1" applyFill="1" applyBorder="1" applyAlignment="1">
      <alignment horizontal="center"/>
    </xf>
    <xf numFmtId="0" fontId="3" fillId="4" borderId="0" xfId="0" quotePrefix="1" applyFont="1" applyFill="1" applyAlignment="1">
      <alignment horizontal="center"/>
    </xf>
    <xf numFmtId="0" fontId="8" fillId="0" borderId="0" xfId="0" applyFont="1" applyAlignment="1">
      <alignment horizontal="center" vertical="center"/>
    </xf>
    <xf numFmtId="3" fontId="27" fillId="0" borderId="0" xfId="0" applyNumberFormat="1" applyFont="1" applyAlignment="1">
      <alignment horizontal="center"/>
    </xf>
    <xf numFmtId="3" fontId="8" fillId="0" borderId="0" xfId="0" applyNumberFormat="1" applyFont="1" applyAlignment="1">
      <alignment horizontal="center" vertical="center"/>
    </xf>
    <xf numFmtId="0" fontId="23" fillId="0" borderId="0" xfId="0" applyFont="1" applyAlignment="1">
      <alignment vertical="center" wrapText="1"/>
    </xf>
    <xf numFmtId="0" fontId="27" fillId="0" borderId="0" xfId="0" applyFont="1" applyAlignment="1">
      <alignment vertical="center" wrapText="1"/>
    </xf>
    <xf numFmtId="0" fontId="8" fillId="0" borderId="0" xfId="0" applyFont="1" applyAlignment="1">
      <alignment textRotation="90" wrapText="1"/>
    </xf>
    <xf numFmtId="0" fontId="3" fillId="0" borderId="0" xfId="0" applyFont="1" applyAlignment="1">
      <alignment horizontal="center"/>
    </xf>
    <xf numFmtId="0" fontId="24" fillId="0" borderId="0" xfId="0" applyFont="1"/>
    <xf numFmtId="0" fontId="24" fillId="0" borderId="0" xfId="0" applyFont="1" applyAlignment="1">
      <alignment horizontal="center"/>
    </xf>
    <xf numFmtId="3" fontId="35" fillId="0" borderId="0" xfId="0" applyNumberFormat="1" applyFont="1"/>
    <xf numFmtId="0" fontId="3" fillId="0" borderId="0" xfId="0" applyFont="1" applyAlignment="1">
      <alignment textRotation="90"/>
    </xf>
    <xf numFmtId="0" fontId="8" fillId="0" borderId="0" xfId="0" applyFont="1" applyAlignment="1">
      <alignment vertical="center" wrapText="1"/>
    </xf>
    <xf numFmtId="0" fontId="5" fillId="0" borderId="0" xfId="0" applyFont="1" applyAlignment="1">
      <alignment horizontal="center" textRotation="90" wrapText="1"/>
    </xf>
    <xf numFmtId="0" fontId="5" fillId="0" borderId="0" xfId="0" applyFont="1" applyAlignment="1">
      <alignment horizontal="left" textRotation="90" wrapText="1"/>
    </xf>
    <xf numFmtId="3" fontId="27" fillId="0" borderId="0" xfId="0" applyNumberFormat="1" applyFont="1" applyAlignment="1">
      <alignment horizontal="center" vertical="center"/>
    </xf>
    <xf numFmtId="3" fontId="28" fillId="0" borderId="0" xfId="0" applyNumberFormat="1" applyFont="1" applyAlignment="1">
      <alignment horizontal="right" vertical="center"/>
    </xf>
    <xf numFmtId="0" fontId="23" fillId="0" borderId="0" xfId="0" applyFont="1" applyAlignment="1">
      <alignment vertical="center" textRotation="90"/>
    </xf>
    <xf numFmtId="0" fontId="7" fillId="0" borderId="0" xfId="0" applyFont="1" applyAlignment="1">
      <alignment horizontal="left" vertical="center"/>
    </xf>
    <xf numFmtId="0" fontId="0" fillId="5" borderId="0" xfId="0" applyFill="1"/>
    <xf numFmtId="0" fontId="7" fillId="4" borderId="0" xfId="0" applyFont="1" applyFill="1" applyAlignment="1">
      <alignment horizontal="left" vertical="top"/>
    </xf>
    <xf numFmtId="0" fontId="3" fillId="0" borderId="19" xfId="0" applyFont="1" applyBorder="1" applyAlignment="1">
      <alignment textRotation="90"/>
    </xf>
    <xf numFmtId="0" fontId="28" fillId="0" borderId="0" xfId="0" applyFont="1" applyAlignment="1">
      <alignment horizontal="center" vertical="center"/>
    </xf>
    <xf numFmtId="0" fontId="5" fillId="0" borderId="0" xfId="0" applyFont="1" applyAlignment="1">
      <alignment textRotation="90"/>
    </xf>
    <xf numFmtId="3" fontId="47" fillId="0" borderId="0" xfId="0" applyNumberFormat="1" applyFont="1" applyAlignment="1">
      <alignment horizontal="center" vertical="center"/>
    </xf>
    <xf numFmtId="3" fontId="48" fillId="0" borderId="0" xfId="0" applyNumberFormat="1" applyFont="1"/>
    <xf numFmtId="0" fontId="28" fillId="0" borderId="2" xfId="0" applyFont="1" applyBorder="1" applyAlignment="1">
      <alignment horizontal="center" vertical="center"/>
    </xf>
    <xf numFmtId="0" fontId="49" fillId="0" borderId="0" xfId="0" applyFont="1" applyAlignment="1">
      <alignment horizontal="center" vertical="center"/>
    </xf>
    <xf numFmtId="3" fontId="28"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0" fontId="28" fillId="0" borderId="2" xfId="0" applyFont="1" applyBorder="1" applyAlignment="1">
      <alignment horizontal="left" vertical="center" wrapText="1"/>
    </xf>
    <xf numFmtId="2" fontId="28" fillId="0" borderId="2" xfId="0" applyNumberFormat="1" applyFont="1" applyBorder="1" applyAlignment="1" applyProtection="1">
      <alignment horizontal="center" vertical="center"/>
      <protection locked="0"/>
    </xf>
    <xf numFmtId="0" fontId="27" fillId="0" borderId="2" xfId="0" applyFont="1" applyBorder="1" applyAlignment="1">
      <alignment horizontal="left" vertical="center"/>
    </xf>
    <xf numFmtId="0" fontId="27" fillId="0" borderId="2" xfId="0" applyFont="1" applyBorder="1" applyAlignment="1">
      <alignment horizontal="center" vertical="center" wrapText="1"/>
    </xf>
    <xf numFmtId="3" fontId="27" fillId="0" borderId="2" xfId="0" applyNumberFormat="1" applyFont="1" applyBorder="1" applyAlignment="1">
      <alignment horizontal="center" vertical="center"/>
    </xf>
    <xf numFmtId="0" fontId="28" fillId="0" borderId="2" xfId="0" applyFont="1" applyBorder="1" applyAlignment="1">
      <alignment horizontal="center"/>
    </xf>
    <xf numFmtId="0" fontId="8" fillId="0" borderId="2" xfId="0" applyFont="1" applyBorder="1" applyAlignment="1">
      <alignment horizontal="left" vertical="center"/>
    </xf>
    <xf numFmtId="0" fontId="8" fillId="0" borderId="2" xfId="0" applyFont="1" applyBorder="1" applyAlignment="1">
      <alignment horizontal="center" vertical="center" wrapText="1"/>
    </xf>
    <xf numFmtId="0" fontId="28" fillId="0" borderId="57" xfId="0" applyFont="1" applyBorder="1" applyAlignment="1">
      <alignment horizontal="center" vertical="center"/>
    </xf>
    <xf numFmtId="0" fontId="27" fillId="0" borderId="57" xfId="0" applyFont="1" applyBorder="1" applyAlignment="1">
      <alignment horizontal="left" vertical="center"/>
    </xf>
    <xf numFmtId="0" fontId="27" fillId="0" borderId="57" xfId="0" applyFont="1" applyBorder="1" applyAlignment="1">
      <alignment horizontal="center" vertical="center" wrapText="1"/>
    </xf>
    <xf numFmtId="3" fontId="27" fillId="0" borderId="57" xfId="0" applyNumberFormat="1" applyFont="1" applyBorder="1" applyAlignment="1">
      <alignment horizontal="center" vertical="center"/>
    </xf>
    <xf numFmtId="0" fontId="28" fillId="0" borderId="34" xfId="0" applyFont="1" applyBorder="1" applyAlignment="1">
      <alignment horizontal="center" vertical="center"/>
    </xf>
    <xf numFmtId="0" fontId="28" fillId="0" borderId="34" xfId="0" applyFont="1" applyBorder="1" applyAlignment="1">
      <alignment horizontal="left" vertical="center" wrapText="1"/>
    </xf>
    <xf numFmtId="3" fontId="28" fillId="0" borderId="34" xfId="0" applyNumberFormat="1" applyFont="1" applyBorder="1" applyAlignment="1" applyProtection="1">
      <alignment horizontal="center" vertical="center"/>
      <protection locked="0"/>
    </xf>
    <xf numFmtId="0" fontId="28" fillId="0" borderId="57" xfId="0" applyFont="1" applyBorder="1" applyAlignment="1">
      <alignment horizontal="left" vertical="center" wrapText="1"/>
    </xf>
    <xf numFmtId="2" fontId="28" fillId="0" borderId="57" xfId="0" applyNumberFormat="1" applyFont="1" applyBorder="1" applyAlignment="1" applyProtection="1">
      <alignment horizontal="center" vertical="center"/>
      <protection locked="0"/>
    </xf>
    <xf numFmtId="0" fontId="27" fillId="0" borderId="34" xfId="0" applyFont="1" applyBorder="1" applyAlignment="1">
      <alignment horizontal="left" vertical="center"/>
    </xf>
    <xf numFmtId="3" fontId="27" fillId="0" borderId="34" xfId="0" applyNumberFormat="1" applyFont="1" applyBorder="1" applyAlignment="1">
      <alignment horizontal="center" vertical="center"/>
    </xf>
    <xf numFmtId="0" fontId="10" fillId="0" borderId="0" xfId="0" applyFont="1" applyAlignment="1">
      <alignment horizontal="center"/>
    </xf>
    <xf numFmtId="0" fontId="28" fillId="0" borderId="0" xfId="0" applyFont="1" applyAlignment="1">
      <alignment horizontal="left" vertical="center" wrapText="1"/>
    </xf>
    <xf numFmtId="0" fontId="28" fillId="0" borderId="0" xfId="0" applyFont="1" applyAlignment="1" applyProtection="1">
      <alignment horizontal="center" vertical="center"/>
      <protection locked="0"/>
    </xf>
    <xf numFmtId="0" fontId="10" fillId="0" borderId="2" xfId="0" applyFont="1" applyBorder="1" applyAlignment="1">
      <alignment horizontal="center"/>
    </xf>
    <xf numFmtId="0" fontId="10" fillId="0" borderId="2" xfId="0" applyFont="1" applyBorder="1"/>
    <xf numFmtId="0" fontId="10" fillId="0" borderId="0" xfId="0" applyFont="1" applyAlignment="1">
      <alignment horizontal="left"/>
    </xf>
    <xf numFmtId="0" fontId="28" fillId="4" borderId="58" xfId="0" applyFont="1" applyFill="1" applyBorder="1" applyAlignment="1">
      <alignment horizontal="center" vertical="center"/>
    </xf>
    <xf numFmtId="2" fontId="28" fillId="4" borderId="59" xfId="0" applyNumberFormat="1" applyFont="1" applyFill="1" applyBorder="1" applyAlignment="1">
      <alignment horizontal="center" vertical="center"/>
    </xf>
    <xf numFmtId="2" fontId="28" fillId="4" borderId="60" xfId="0" applyNumberFormat="1" applyFont="1" applyFill="1" applyBorder="1" applyAlignment="1">
      <alignment horizontal="center" vertical="center"/>
    </xf>
    <xf numFmtId="2" fontId="28" fillId="4" borderId="61" xfId="0" applyNumberFormat="1" applyFont="1" applyFill="1" applyBorder="1" applyAlignment="1">
      <alignment horizontal="center" vertical="center"/>
    </xf>
    <xf numFmtId="2" fontId="28" fillId="4" borderId="62" xfId="0" applyNumberFormat="1" applyFont="1" applyFill="1" applyBorder="1" applyAlignment="1">
      <alignment horizontal="center" vertical="center"/>
    </xf>
    <xf numFmtId="0" fontId="28" fillId="4" borderId="0" xfId="0" applyFont="1" applyFill="1"/>
    <xf numFmtId="1" fontId="28" fillId="4" borderId="59" xfId="0" applyNumberFormat="1" applyFont="1" applyFill="1" applyBorder="1" applyAlignment="1">
      <alignment horizontal="center" vertical="center"/>
    </xf>
    <xf numFmtId="1" fontId="28" fillId="4" borderId="63" xfId="0" applyNumberFormat="1" applyFont="1" applyFill="1" applyBorder="1" applyAlignment="1">
      <alignment horizontal="center" vertical="center"/>
    </xf>
    <xf numFmtId="1" fontId="28" fillId="4" borderId="60" xfId="0" applyNumberFormat="1" applyFont="1" applyFill="1" applyBorder="1" applyAlignment="1">
      <alignment horizontal="center" vertical="center"/>
    </xf>
    <xf numFmtId="1" fontId="28" fillId="4" borderId="61" xfId="0" applyNumberFormat="1" applyFont="1" applyFill="1" applyBorder="1" applyAlignment="1">
      <alignment horizontal="center" vertical="center"/>
    </xf>
    <xf numFmtId="1" fontId="28" fillId="4" borderId="62" xfId="0" applyNumberFormat="1" applyFont="1" applyFill="1" applyBorder="1" applyAlignment="1">
      <alignment horizontal="center" vertical="center"/>
    </xf>
    <xf numFmtId="1" fontId="28" fillId="4" borderId="0" xfId="0" applyNumberFormat="1" applyFont="1" applyFill="1"/>
    <xf numFmtId="1" fontId="28" fillId="4" borderId="6" xfId="0" applyNumberFormat="1" applyFont="1" applyFill="1" applyBorder="1" applyAlignment="1">
      <alignment horizontal="center" vertical="center"/>
    </xf>
    <xf numFmtId="1" fontId="28" fillId="4" borderId="55" xfId="0" applyNumberFormat="1" applyFont="1" applyFill="1" applyBorder="1" applyAlignment="1">
      <alignment horizontal="center" vertical="center"/>
    </xf>
    <xf numFmtId="1" fontId="28" fillId="4" borderId="53" xfId="0" applyNumberFormat="1" applyFont="1" applyFill="1" applyBorder="1" applyAlignment="1">
      <alignment horizontal="center" vertical="center"/>
    </xf>
    <xf numFmtId="1" fontId="28" fillId="4" borderId="56" xfId="0" applyNumberFormat="1" applyFont="1" applyFill="1" applyBorder="1" applyAlignment="1">
      <alignment horizontal="center" vertical="center"/>
    </xf>
    <xf numFmtId="2" fontId="28" fillId="4" borderId="64" xfId="0" applyNumberFormat="1" applyFont="1" applyFill="1" applyBorder="1" applyAlignment="1">
      <alignment horizontal="center" vertical="center"/>
    </xf>
    <xf numFmtId="2" fontId="28" fillId="4" borderId="65" xfId="0" applyNumberFormat="1" applyFont="1" applyFill="1" applyBorder="1" applyAlignment="1">
      <alignment horizontal="center" vertical="center"/>
    </xf>
    <xf numFmtId="2" fontId="28" fillId="4" borderId="66" xfId="0" applyNumberFormat="1" applyFont="1" applyFill="1" applyBorder="1" applyAlignment="1">
      <alignment horizontal="center" vertical="center"/>
    </xf>
    <xf numFmtId="2" fontId="28" fillId="4" borderId="67" xfId="0" applyNumberFormat="1" applyFont="1" applyFill="1" applyBorder="1" applyAlignment="1">
      <alignment horizontal="center" vertical="center"/>
    </xf>
    <xf numFmtId="1" fontId="28" fillId="4" borderId="64" xfId="0" applyNumberFormat="1" applyFont="1" applyFill="1" applyBorder="1" applyAlignment="1">
      <alignment horizontal="center" vertical="center"/>
    </xf>
    <xf numFmtId="1" fontId="28" fillId="4" borderId="68" xfId="0" applyNumberFormat="1" applyFont="1" applyFill="1" applyBorder="1" applyAlignment="1">
      <alignment horizontal="center" vertical="center"/>
    </xf>
    <xf numFmtId="1" fontId="28" fillId="4" borderId="65" xfId="0" applyNumberFormat="1" applyFont="1" applyFill="1" applyBorder="1" applyAlignment="1">
      <alignment horizontal="center" vertical="center"/>
    </xf>
    <xf numFmtId="1" fontId="28" fillId="4" borderId="66" xfId="0" applyNumberFormat="1" applyFont="1" applyFill="1" applyBorder="1" applyAlignment="1">
      <alignment horizontal="center" vertical="center"/>
    </xf>
    <xf numFmtId="1" fontId="28" fillId="4" borderId="67" xfId="0" applyNumberFormat="1" applyFont="1" applyFill="1" applyBorder="1" applyAlignment="1">
      <alignment horizontal="center" vertical="center"/>
    </xf>
    <xf numFmtId="1" fontId="28" fillId="4" borderId="33" xfId="0" applyNumberFormat="1" applyFont="1" applyFill="1" applyBorder="1" applyAlignment="1">
      <alignment horizontal="center" vertical="center"/>
    </xf>
    <xf numFmtId="1" fontId="28" fillId="4" borderId="34" xfId="0" applyNumberFormat="1" applyFont="1" applyFill="1" applyBorder="1" applyAlignment="1">
      <alignment horizontal="center" vertical="center"/>
    </xf>
    <xf numFmtId="1" fontId="28" fillId="4" borderId="35" xfId="0" applyNumberFormat="1" applyFont="1" applyFill="1" applyBorder="1" applyAlignment="1">
      <alignment horizontal="center" vertical="center"/>
    </xf>
    <xf numFmtId="2" fontId="28" fillId="4" borderId="69" xfId="0" applyNumberFormat="1" applyFont="1" applyFill="1" applyBorder="1" applyAlignment="1">
      <alignment horizontal="center" vertical="center"/>
    </xf>
    <xf numFmtId="2" fontId="28" fillId="4" borderId="70" xfId="0" applyNumberFormat="1" applyFont="1" applyFill="1" applyBorder="1" applyAlignment="1">
      <alignment horizontal="center" vertical="center"/>
    </xf>
    <xf numFmtId="2" fontId="28" fillId="4" borderId="71" xfId="0" applyNumberFormat="1" applyFont="1" applyFill="1" applyBorder="1" applyAlignment="1">
      <alignment horizontal="center" vertical="center"/>
    </xf>
    <xf numFmtId="2" fontId="28" fillId="4" borderId="72" xfId="0" applyNumberFormat="1" applyFont="1" applyFill="1" applyBorder="1" applyAlignment="1">
      <alignment horizontal="center" vertical="center"/>
    </xf>
    <xf numFmtId="1" fontId="28" fillId="4" borderId="69" xfId="0" applyNumberFormat="1" applyFont="1" applyFill="1" applyBorder="1" applyAlignment="1">
      <alignment horizontal="center" vertical="center"/>
    </xf>
    <xf numFmtId="1" fontId="28" fillId="4" borderId="73" xfId="0" applyNumberFormat="1" applyFont="1" applyFill="1" applyBorder="1" applyAlignment="1">
      <alignment horizontal="center" vertical="center"/>
    </xf>
    <xf numFmtId="1" fontId="28" fillId="4" borderId="70" xfId="0" applyNumberFormat="1" applyFont="1" applyFill="1" applyBorder="1" applyAlignment="1">
      <alignment horizontal="center" vertical="center"/>
    </xf>
    <xf numFmtId="1" fontId="28" fillId="4" borderId="71" xfId="0" applyNumberFormat="1" applyFont="1" applyFill="1" applyBorder="1" applyAlignment="1">
      <alignment horizontal="center" vertical="center"/>
    </xf>
    <xf numFmtId="1" fontId="28" fillId="4" borderId="72" xfId="0" applyNumberFormat="1" applyFont="1" applyFill="1" applyBorder="1" applyAlignment="1">
      <alignment horizontal="center" vertical="center"/>
    </xf>
    <xf numFmtId="1" fontId="28" fillId="4" borderId="40" xfId="0" applyNumberFormat="1" applyFont="1" applyFill="1" applyBorder="1" applyAlignment="1">
      <alignment horizontal="center" vertical="center"/>
    </xf>
    <xf numFmtId="0" fontId="28" fillId="4" borderId="0" xfId="0" applyFont="1" applyFill="1" applyAlignment="1">
      <alignment vertical="center"/>
    </xf>
    <xf numFmtId="1" fontId="28" fillId="4" borderId="0" xfId="0" applyNumberFormat="1" applyFont="1" applyFill="1" applyAlignment="1">
      <alignment vertical="center"/>
    </xf>
    <xf numFmtId="2" fontId="28" fillId="4" borderId="74" xfId="0" applyNumberFormat="1" applyFont="1" applyFill="1" applyBorder="1" applyAlignment="1">
      <alignment horizontal="center" vertical="center"/>
    </xf>
    <xf numFmtId="2" fontId="28" fillId="4" borderId="75" xfId="0" applyNumberFormat="1" applyFont="1" applyFill="1" applyBorder="1" applyAlignment="1">
      <alignment horizontal="center" vertical="center"/>
    </xf>
    <xf numFmtId="2" fontId="28" fillId="4" borderId="76" xfId="0" applyNumberFormat="1" applyFont="1" applyFill="1" applyBorder="1" applyAlignment="1">
      <alignment horizontal="center" vertical="center"/>
    </xf>
    <xf numFmtId="2" fontId="28" fillId="4" borderId="77" xfId="0" applyNumberFormat="1" applyFont="1" applyFill="1" applyBorder="1" applyAlignment="1">
      <alignment horizontal="center" vertical="center"/>
    </xf>
    <xf numFmtId="1" fontId="28" fillId="4" borderId="74" xfId="0" applyNumberFormat="1" applyFont="1" applyFill="1" applyBorder="1" applyAlignment="1">
      <alignment horizontal="center" vertical="center"/>
    </xf>
    <xf numFmtId="1" fontId="28" fillId="4" borderId="78" xfId="0" applyNumberFormat="1" applyFont="1" applyFill="1" applyBorder="1" applyAlignment="1">
      <alignment horizontal="center" vertical="center"/>
    </xf>
    <xf numFmtId="1" fontId="28" fillId="4" borderId="75" xfId="0" applyNumberFormat="1" applyFont="1" applyFill="1" applyBorder="1" applyAlignment="1">
      <alignment horizontal="center" vertical="center"/>
    </xf>
    <xf numFmtId="1" fontId="28" fillId="4" borderId="76" xfId="0" applyNumberFormat="1" applyFont="1" applyFill="1" applyBorder="1" applyAlignment="1">
      <alignment horizontal="center" vertical="center"/>
    </xf>
    <xf numFmtId="1" fontId="28" fillId="4" borderId="77" xfId="0" applyNumberFormat="1" applyFont="1" applyFill="1" applyBorder="1" applyAlignment="1">
      <alignment horizontal="center" vertical="center"/>
    </xf>
    <xf numFmtId="1" fontId="28" fillId="4" borderId="79" xfId="0" applyNumberFormat="1" applyFont="1" applyFill="1" applyBorder="1" applyAlignment="1">
      <alignment horizontal="center" vertical="center"/>
    </xf>
    <xf numFmtId="0" fontId="8" fillId="4" borderId="80" xfId="0" applyFont="1" applyFill="1" applyBorder="1" applyAlignment="1">
      <alignment horizontal="center" vertical="center"/>
    </xf>
    <xf numFmtId="1" fontId="10" fillId="4" borderId="59" xfId="0" applyNumberFormat="1" applyFont="1" applyFill="1" applyBorder="1" applyAlignment="1">
      <alignment horizontal="center" vertical="center"/>
    </xf>
    <xf numFmtId="1" fontId="10" fillId="4" borderId="60" xfId="0" applyNumberFormat="1" applyFont="1" applyFill="1" applyBorder="1" applyAlignment="1">
      <alignment horizontal="center" vertical="center"/>
    </xf>
    <xf numFmtId="1" fontId="10" fillId="4" borderId="61" xfId="0" applyNumberFormat="1" applyFont="1" applyFill="1" applyBorder="1" applyAlignment="1">
      <alignment horizontal="center" vertical="center"/>
    </xf>
    <xf numFmtId="1" fontId="10" fillId="4" borderId="62" xfId="0" applyNumberFormat="1" applyFont="1" applyFill="1" applyBorder="1" applyAlignment="1">
      <alignment horizontal="center" vertical="center"/>
    </xf>
    <xf numFmtId="164" fontId="10" fillId="4" borderId="0" xfId="0" applyNumberFormat="1" applyFont="1" applyFill="1"/>
    <xf numFmtId="1" fontId="10" fillId="4" borderId="63" xfId="0" applyNumberFormat="1" applyFont="1" applyFill="1" applyBorder="1" applyAlignment="1">
      <alignment horizontal="center" vertical="center"/>
    </xf>
    <xf numFmtId="1" fontId="10" fillId="4" borderId="0" xfId="0" applyNumberFormat="1" applyFont="1" applyFill="1"/>
    <xf numFmtId="1" fontId="10" fillId="4" borderId="54" xfId="0" applyNumberFormat="1" applyFont="1" applyFill="1" applyBorder="1" applyAlignment="1">
      <alignment horizontal="center" vertical="center"/>
    </xf>
    <xf numFmtId="1" fontId="10" fillId="4" borderId="55" xfId="0" applyNumberFormat="1" applyFont="1" applyFill="1" applyBorder="1" applyAlignment="1">
      <alignment horizontal="center" vertical="center"/>
    </xf>
    <xf numFmtId="1" fontId="10" fillId="4" borderId="56" xfId="0" applyNumberFormat="1" applyFont="1" applyFill="1" applyBorder="1" applyAlignment="1">
      <alignment horizontal="center" vertical="center"/>
    </xf>
    <xf numFmtId="0" fontId="28" fillId="4" borderId="0" xfId="0" applyFont="1" applyFill="1" applyAlignment="1">
      <alignment horizontal="center" vertical="center"/>
    </xf>
    <xf numFmtId="0" fontId="10" fillId="4" borderId="71" xfId="0" applyFont="1" applyFill="1" applyBorder="1" applyAlignment="1">
      <alignment horizontal="center" vertical="center"/>
    </xf>
    <xf numFmtId="0" fontId="10" fillId="4" borderId="70"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81" xfId="0" applyFont="1" applyFill="1" applyBorder="1" applyAlignment="1">
      <alignment horizontal="center" vertical="center"/>
    </xf>
    <xf numFmtId="0" fontId="28" fillId="4" borderId="74" xfId="0" applyFont="1" applyFill="1" applyBorder="1" applyAlignment="1">
      <alignment horizontal="center" vertical="center"/>
    </xf>
    <xf numFmtId="0" fontId="28" fillId="4" borderId="75" xfId="0" applyFont="1" applyFill="1" applyBorder="1" applyAlignment="1">
      <alignment horizontal="center" vertical="center"/>
    </xf>
    <xf numFmtId="0" fontId="28" fillId="4" borderId="76" xfId="0" applyFont="1" applyFill="1" applyBorder="1" applyAlignment="1">
      <alignment horizontal="center" vertical="center"/>
    </xf>
    <xf numFmtId="0" fontId="28" fillId="4" borderId="77" xfId="0" applyFont="1" applyFill="1" applyBorder="1" applyAlignment="1">
      <alignment horizontal="center" vertical="center"/>
    </xf>
    <xf numFmtId="0" fontId="28" fillId="4" borderId="78" xfId="0" applyFont="1" applyFill="1" applyBorder="1" applyAlignment="1">
      <alignment horizontal="center" vertical="center"/>
    </xf>
    <xf numFmtId="0" fontId="28" fillId="4" borderId="82" xfId="0" applyFont="1" applyFill="1" applyBorder="1" applyAlignment="1">
      <alignment horizontal="center" vertical="center"/>
    </xf>
    <xf numFmtId="0" fontId="28" fillId="4" borderId="57" xfId="0" applyFont="1" applyFill="1" applyBorder="1" applyAlignment="1">
      <alignment horizontal="center" vertical="center"/>
    </xf>
    <xf numFmtId="0" fontId="28" fillId="4" borderId="79" xfId="0" applyFont="1" applyFill="1" applyBorder="1" applyAlignment="1">
      <alignment horizontal="center" vertical="center"/>
    </xf>
    <xf numFmtId="0" fontId="46" fillId="0" borderId="83" xfId="0" applyFont="1" applyBorder="1" applyAlignment="1">
      <alignment textRotation="90"/>
    </xf>
    <xf numFmtId="0" fontId="8" fillId="0" borderId="0" xfId="0" applyFont="1" applyAlignment="1">
      <alignment wrapText="1"/>
    </xf>
    <xf numFmtId="3" fontId="28" fillId="0" borderId="34" xfId="0" applyNumberFormat="1" applyFont="1" applyBorder="1" applyAlignment="1">
      <alignment horizontal="center" vertical="center"/>
    </xf>
    <xf numFmtId="3" fontId="28" fillId="0" borderId="57" xfId="0" applyNumberFormat="1" applyFont="1" applyBorder="1" applyAlignment="1">
      <alignment horizontal="center" vertical="center"/>
    </xf>
    <xf numFmtId="0" fontId="8" fillId="0" borderId="80" xfId="0" applyFont="1" applyBorder="1" applyAlignment="1">
      <alignment horizontal="center" vertical="center"/>
    </xf>
    <xf numFmtId="3" fontId="8" fillId="0" borderId="54" xfId="0" applyNumberFormat="1" applyFont="1" applyBorder="1" applyAlignment="1">
      <alignment horizontal="center" vertical="center"/>
    </xf>
    <xf numFmtId="3" fontId="8" fillId="0" borderId="55" xfId="0" applyNumberFormat="1" applyFont="1" applyBorder="1" applyAlignment="1">
      <alignment horizontal="center" vertical="center"/>
    </xf>
    <xf numFmtId="3" fontId="8" fillId="0" borderId="56" xfId="0" applyNumberFormat="1" applyFont="1" applyBorder="1" applyAlignment="1">
      <alignment horizontal="center" vertical="center"/>
    </xf>
    <xf numFmtId="0" fontId="50" fillId="0" borderId="84" xfId="0" applyFont="1" applyBorder="1" applyAlignment="1">
      <alignment horizontal="center" vertical="center"/>
    </xf>
    <xf numFmtId="0" fontId="50" fillId="0" borderId="5" xfId="0" applyFont="1" applyBorder="1" applyAlignment="1">
      <alignment horizontal="center" vertical="center"/>
    </xf>
    <xf numFmtId="0" fontId="50" fillId="0" borderId="85" xfId="0" applyFont="1" applyBorder="1" applyAlignment="1">
      <alignment horizontal="center" vertical="center"/>
    </xf>
    <xf numFmtId="3" fontId="28" fillId="0" borderId="33" xfId="0" applyNumberFormat="1" applyFont="1" applyBorder="1" applyAlignment="1">
      <alignment horizontal="center" vertical="center"/>
    </xf>
    <xf numFmtId="3" fontId="28" fillId="0" borderId="35" xfId="0" applyNumberFormat="1" applyFont="1" applyBorder="1" applyAlignment="1">
      <alignment horizontal="center" vertical="center"/>
    </xf>
    <xf numFmtId="3" fontId="28" fillId="0" borderId="39" xfId="0" applyNumberFormat="1" applyFont="1" applyBorder="1" applyAlignment="1">
      <alignment horizontal="center" vertical="center"/>
    </xf>
    <xf numFmtId="3" fontId="28" fillId="0" borderId="40" xfId="0" applyNumberFormat="1" applyFont="1" applyBorder="1" applyAlignment="1">
      <alignment horizontal="center" vertical="center"/>
    </xf>
    <xf numFmtId="3" fontId="28" fillId="0" borderId="82" xfId="0" applyNumberFormat="1" applyFont="1" applyBorder="1" applyAlignment="1">
      <alignment horizontal="center" vertical="center"/>
    </xf>
    <xf numFmtId="3" fontId="28" fillId="0" borderId="79" xfId="0" applyNumberFormat="1" applyFont="1" applyBorder="1" applyAlignment="1">
      <alignment horizontal="center" vertical="center"/>
    </xf>
    <xf numFmtId="0" fontId="10" fillId="0" borderId="80" xfId="0" applyFont="1" applyBorder="1" applyAlignment="1">
      <alignment horizontal="center" vertical="center"/>
    </xf>
    <xf numFmtId="0" fontId="1" fillId="0" borderId="0" xfId="0" applyFont="1" applyAlignment="1">
      <alignment horizontal="center" vertical="center"/>
    </xf>
    <xf numFmtId="2" fontId="6" fillId="4" borderId="0" xfId="0" applyNumberFormat="1" applyFont="1" applyFill="1" applyAlignment="1">
      <alignment horizontal="center" vertical="center"/>
    </xf>
    <xf numFmtId="0" fontId="7" fillId="4" borderId="0" xfId="0" applyFont="1" applyFill="1" applyAlignment="1">
      <alignment horizontal="center" vertical="center"/>
    </xf>
    <xf numFmtId="1" fontId="7" fillId="4" borderId="0" xfId="0" applyNumberFormat="1" applyFont="1" applyFill="1" applyAlignment="1">
      <alignment horizontal="center" vertical="center"/>
    </xf>
    <xf numFmtId="0" fontId="39" fillId="4" borderId="0" xfId="0" applyFont="1" applyFill="1"/>
    <xf numFmtId="1" fontId="6" fillId="4" borderId="0" xfId="0" applyNumberFormat="1" applyFont="1" applyFill="1" applyAlignment="1">
      <alignment horizontal="center" vertical="center"/>
    </xf>
    <xf numFmtId="1" fontId="6" fillId="4" borderId="0" xfId="0" applyNumberFormat="1" applyFont="1" applyFill="1"/>
    <xf numFmtId="0" fontId="6" fillId="4" borderId="0" xfId="0" applyFont="1" applyFill="1" applyAlignment="1">
      <alignment horizontal="center" vertical="center"/>
    </xf>
    <xf numFmtId="3" fontId="6" fillId="4" borderId="0" xfId="0" applyNumberFormat="1" applyFont="1" applyFill="1" applyAlignment="1">
      <alignment horizontal="center" vertical="center"/>
    </xf>
    <xf numFmtId="0" fontId="10" fillId="0" borderId="18" xfId="0" applyFont="1" applyBorder="1" applyAlignment="1">
      <alignment horizontal="center" vertical="center"/>
    </xf>
    <xf numFmtId="0" fontId="5" fillId="0" borderId="0" xfId="0" applyFont="1" applyAlignment="1">
      <alignment textRotation="90" wrapText="1"/>
    </xf>
    <xf numFmtId="3" fontId="5" fillId="0" borderId="0" xfId="0" applyNumberFormat="1" applyFont="1" applyAlignment="1">
      <alignment vertical="center"/>
    </xf>
    <xf numFmtId="3" fontId="8" fillId="0" borderId="0" xfId="0" applyNumberFormat="1" applyFont="1" applyAlignment="1">
      <alignment vertical="center"/>
    </xf>
    <xf numFmtId="0" fontId="28" fillId="0" borderId="5" xfId="0" applyFont="1" applyBorder="1" applyAlignment="1">
      <alignment horizontal="center" vertical="center"/>
    </xf>
    <xf numFmtId="0" fontId="28" fillId="0" borderId="41" xfId="0" applyFont="1" applyBorder="1" applyAlignment="1">
      <alignment horizontal="center" vertical="center"/>
    </xf>
    <xf numFmtId="3" fontId="3" fillId="0" borderId="5" xfId="0" applyNumberFormat="1" applyFont="1" applyBorder="1" applyAlignment="1">
      <alignment horizontal="center" vertical="center"/>
    </xf>
    <xf numFmtId="3" fontId="3" fillId="0" borderId="85" xfId="0" applyNumberFormat="1" applyFont="1" applyBorder="1" applyAlignment="1">
      <alignment horizontal="center" vertical="center"/>
    </xf>
    <xf numFmtId="3" fontId="6" fillId="0" borderId="6" xfId="0" applyNumberFormat="1" applyFont="1" applyBorder="1" applyAlignment="1">
      <alignment horizontal="center" vertical="center"/>
    </xf>
    <xf numFmtId="3" fontId="6" fillId="0" borderId="80" xfId="0" applyNumberFormat="1" applyFont="1" applyBorder="1" applyAlignment="1">
      <alignment horizontal="center" vertical="center"/>
    </xf>
    <xf numFmtId="0" fontId="28" fillId="0" borderId="84" xfId="0" applyFont="1" applyBorder="1" applyAlignment="1">
      <alignment horizontal="center" vertical="center"/>
    </xf>
    <xf numFmtId="3" fontId="3" fillId="0" borderId="84" xfId="0" applyNumberFormat="1" applyFont="1" applyBorder="1" applyAlignment="1">
      <alignment horizontal="center" vertical="center"/>
    </xf>
    <xf numFmtId="0" fontId="27" fillId="0" borderId="51" xfId="0" applyFont="1" applyBorder="1" applyAlignment="1">
      <alignment horizontal="center" textRotation="90"/>
    </xf>
    <xf numFmtId="0" fontId="3" fillId="0" borderId="51" xfId="0" applyFont="1" applyBorder="1" applyAlignment="1">
      <alignment horizontal="center" textRotation="90"/>
    </xf>
    <xf numFmtId="0" fontId="3" fillId="6" borderId="0" xfId="0" applyFont="1" applyFill="1" applyAlignment="1" applyProtection="1">
      <alignment wrapText="1"/>
      <protection locked="0"/>
    </xf>
    <xf numFmtId="0" fontId="3" fillId="0" borderId="0" xfId="0" applyFont="1" applyAlignment="1" applyProtection="1">
      <alignment wrapText="1"/>
      <protection locked="0"/>
    </xf>
    <xf numFmtId="0" fontId="5" fillId="6" borderId="0" xfId="0" applyFont="1" applyFill="1" applyAlignment="1" applyProtection="1">
      <alignment wrapText="1"/>
      <protection locked="0"/>
    </xf>
    <xf numFmtId="0" fontId="5" fillId="0" borderId="0" xfId="0" applyFont="1" applyAlignment="1" applyProtection="1">
      <alignment wrapText="1"/>
      <protection locked="0"/>
    </xf>
    <xf numFmtId="2" fontId="3" fillId="6" borderId="0" xfId="0" applyNumberFormat="1" applyFont="1" applyFill="1" applyProtection="1">
      <protection locked="0"/>
    </xf>
    <xf numFmtId="2" fontId="5" fillId="0" borderId="86" xfId="0" applyNumberFormat="1" applyFont="1" applyBorder="1" applyAlignment="1" applyProtection="1">
      <alignment horizontal="center" vertical="center"/>
      <protection locked="0"/>
    </xf>
    <xf numFmtId="2" fontId="5" fillId="0" borderId="87" xfId="0" applyNumberFormat="1" applyFont="1" applyBorder="1" applyAlignment="1" applyProtection="1">
      <alignment horizontal="center" vertical="center"/>
      <protection locked="0"/>
    </xf>
    <xf numFmtId="2" fontId="5" fillId="0" borderId="88" xfId="0" applyNumberFormat="1" applyFont="1" applyBorder="1" applyAlignment="1" applyProtection="1">
      <alignment horizontal="center" vertical="center"/>
      <protection locked="0"/>
    </xf>
    <xf numFmtId="2" fontId="5" fillId="0" borderId="89" xfId="0" applyNumberFormat="1" applyFont="1" applyBorder="1" applyAlignment="1" applyProtection="1">
      <alignment horizontal="center" vertical="center"/>
      <protection locked="0"/>
    </xf>
    <xf numFmtId="2" fontId="5" fillId="0" borderId="90" xfId="0" applyNumberFormat="1" applyFont="1" applyBorder="1" applyAlignment="1" applyProtection="1">
      <alignment horizontal="center" vertical="center"/>
      <protection locked="0"/>
    </xf>
    <xf numFmtId="2" fontId="3" fillId="0" borderId="0" xfId="0" applyNumberFormat="1" applyFont="1" applyProtection="1">
      <protection locked="0"/>
    </xf>
    <xf numFmtId="2" fontId="5" fillId="0" borderId="91" xfId="0" applyNumberFormat="1" applyFont="1" applyBorder="1" applyAlignment="1" applyProtection="1">
      <alignment horizontal="center" vertical="center"/>
      <protection locked="0"/>
    </xf>
    <xf numFmtId="2" fontId="5" fillId="0" borderId="92" xfId="0" applyNumberFormat="1" applyFont="1" applyBorder="1" applyAlignment="1" applyProtection="1">
      <alignment horizontal="center" vertical="center"/>
      <protection locked="0"/>
    </xf>
    <xf numFmtId="2" fontId="5" fillId="0" borderId="93" xfId="0" applyNumberFormat="1" applyFont="1" applyBorder="1" applyAlignment="1" applyProtection="1">
      <alignment horizontal="center" vertical="center"/>
      <protection locked="0"/>
    </xf>
    <xf numFmtId="2" fontId="5" fillId="0" borderId="94" xfId="0" applyNumberFormat="1" applyFont="1" applyBorder="1" applyAlignment="1" applyProtection="1">
      <alignment horizontal="center" vertical="center"/>
      <protection locked="0"/>
    </xf>
    <xf numFmtId="2" fontId="5" fillId="0" borderId="95" xfId="0" applyNumberFormat="1" applyFont="1" applyBorder="1" applyAlignment="1" applyProtection="1">
      <alignment horizontal="center" vertical="center"/>
      <protection locked="0"/>
    </xf>
    <xf numFmtId="2" fontId="5" fillId="0" borderId="96" xfId="0" applyNumberFormat="1" applyFont="1" applyBorder="1" applyAlignment="1" applyProtection="1">
      <alignment horizontal="center" vertical="center"/>
      <protection locked="0"/>
    </xf>
    <xf numFmtId="2" fontId="5" fillId="0" borderId="97" xfId="0" applyNumberFormat="1" applyFont="1" applyBorder="1" applyAlignment="1" applyProtection="1">
      <alignment horizontal="center" vertical="center"/>
      <protection locked="0"/>
    </xf>
    <xf numFmtId="2" fontId="5" fillId="0" borderId="98" xfId="0" applyNumberFormat="1" applyFont="1" applyBorder="1" applyAlignment="1" applyProtection="1">
      <alignment horizontal="center" vertical="center"/>
      <protection locked="0"/>
    </xf>
    <xf numFmtId="2" fontId="5" fillId="0" borderId="99" xfId="0" applyNumberFormat="1" applyFont="1" applyBorder="1" applyAlignment="1" applyProtection="1">
      <alignment horizontal="center" vertical="center"/>
      <protection locked="0"/>
    </xf>
    <xf numFmtId="2" fontId="5" fillId="0" borderId="100" xfId="0" applyNumberFormat="1" applyFont="1" applyBorder="1" applyAlignment="1" applyProtection="1">
      <alignment horizontal="center" vertical="center"/>
      <protection locked="0"/>
    </xf>
    <xf numFmtId="2" fontId="14" fillId="0" borderId="2" xfId="0" applyNumberFormat="1" applyFont="1" applyBorder="1" applyAlignment="1" applyProtection="1">
      <alignment horizontal="center" vertical="center"/>
      <protection locked="0"/>
    </xf>
    <xf numFmtId="2" fontId="14" fillId="0" borderId="2" xfId="0" quotePrefix="1" applyNumberFormat="1" applyFont="1" applyBorder="1" applyAlignment="1" applyProtection="1">
      <alignment horizontal="center" vertical="center"/>
      <protection locked="0"/>
    </xf>
    <xf numFmtId="2" fontId="14" fillId="0" borderId="57" xfId="0" applyNumberFormat="1" applyFont="1" applyBorder="1" applyAlignment="1" applyProtection="1">
      <alignment horizontal="center" vertical="center"/>
      <protection locked="0"/>
    </xf>
    <xf numFmtId="0" fontId="14" fillId="0" borderId="2" xfId="0" applyFont="1" applyBorder="1" applyAlignment="1" applyProtection="1">
      <alignment horizontal="left" vertical="center" wrapText="1"/>
      <protection locked="0"/>
    </xf>
    <xf numFmtId="1" fontId="14" fillId="0" borderId="2" xfId="0" applyNumberFormat="1" applyFont="1" applyBorder="1" applyAlignment="1" applyProtection="1">
      <alignment horizontal="center" vertical="center"/>
      <protection locked="0"/>
    </xf>
    <xf numFmtId="1" fontId="14" fillId="0" borderId="2" xfId="0" quotePrefix="1" applyNumberFormat="1" applyFont="1" applyBorder="1" applyAlignment="1" applyProtection="1">
      <alignment horizontal="center" vertical="center"/>
      <protection locked="0"/>
    </xf>
    <xf numFmtId="0" fontId="5" fillId="0" borderId="0" xfId="0" applyFont="1" applyAlignment="1" applyProtection="1">
      <alignment vertical="top"/>
      <protection locked="0"/>
    </xf>
    <xf numFmtId="0" fontId="1" fillId="0" borderId="0" xfId="0" applyFont="1" applyAlignment="1" applyProtection="1">
      <alignment vertical="top"/>
      <protection locked="0"/>
    </xf>
    <xf numFmtId="0" fontId="24" fillId="0" borderId="0" xfId="0" applyFont="1" applyAlignment="1">
      <alignment vertical="top" wrapText="1"/>
    </xf>
    <xf numFmtId="0" fontId="34" fillId="0" borderId="0" xfId="0" applyFont="1"/>
    <xf numFmtId="0" fontId="5" fillId="6" borderId="0" xfId="0" applyFont="1" applyFill="1"/>
    <xf numFmtId="0" fontId="0" fillId="6" borderId="0" xfId="0" applyFill="1"/>
    <xf numFmtId="0" fontId="5" fillId="6" borderId="0" xfId="0" applyFont="1" applyFill="1" applyAlignment="1">
      <alignment horizontal="center" vertical="center"/>
    </xf>
    <xf numFmtId="0" fontId="8" fillId="0" borderId="0" xfId="0" applyFont="1" applyAlignment="1">
      <alignment horizontal="left" vertical="center" wrapText="1"/>
    </xf>
    <xf numFmtId="0" fontId="10" fillId="0" borderId="0" xfId="0" applyFont="1" applyAlignment="1">
      <alignment horizontal="left" vertical="center"/>
    </xf>
    <xf numFmtId="2" fontId="5" fillId="0" borderId="0" xfId="0" applyNumberFormat="1" applyFont="1" applyAlignment="1">
      <alignment horizontal="left" vertical="center"/>
    </xf>
    <xf numFmtId="0" fontId="10" fillId="0" borderId="0" xfId="0" quotePrefix="1" applyFont="1" applyAlignment="1">
      <alignment horizontal="left" vertical="center"/>
    </xf>
    <xf numFmtId="0" fontId="3" fillId="6" borderId="0" xfId="0" applyFont="1" applyFill="1"/>
    <xf numFmtId="2" fontId="3" fillId="0" borderId="0" xfId="0" applyNumberFormat="1" applyFont="1"/>
    <xf numFmtId="0" fontId="3" fillId="0" borderId="81" xfId="0" applyFont="1" applyBorder="1"/>
    <xf numFmtId="0" fontId="11" fillId="0" borderId="11" xfId="0" applyFont="1" applyBorder="1"/>
    <xf numFmtId="0" fontId="11" fillId="6" borderId="0" xfId="0" applyFont="1" applyFill="1"/>
    <xf numFmtId="0" fontId="14" fillId="0" borderId="101" xfId="0" applyFont="1" applyBorder="1" applyAlignment="1">
      <alignment horizontal="center" vertical="center" wrapText="1"/>
    </xf>
    <xf numFmtId="0" fontId="14" fillId="0" borderId="102" xfId="0" applyFont="1" applyBorder="1" applyAlignment="1">
      <alignment horizontal="center" vertical="center" wrapText="1"/>
    </xf>
    <xf numFmtId="2" fontId="14" fillId="0" borderId="103" xfId="0" applyNumberFormat="1" applyFont="1" applyBorder="1" applyAlignment="1">
      <alignment horizontal="center" vertical="center" wrapText="1"/>
    </xf>
    <xf numFmtId="0" fontId="14" fillId="0" borderId="104" xfId="0" applyFont="1" applyBorder="1" applyAlignment="1">
      <alignment horizontal="center" vertical="center" wrapText="1"/>
    </xf>
    <xf numFmtId="0" fontId="14" fillId="0" borderId="105" xfId="0" applyFont="1" applyBorder="1" applyAlignment="1">
      <alignment horizontal="center" vertical="center" wrapText="1"/>
    </xf>
    <xf numFmtId="0" fontId="14" fillId="0" borderId="106" xfId="0" applyFont="1" applyBorder="1" applyAlignment="1">
      <alignment horizontal="center" vertical="center" wrapText="1"/>
    </xf>
    <xf numFmtId="0" fontId="14" fillId="0" borderId="103" xfId="0" applyFont="1" applyBorder="1" applyAlignment="1">
      <alignment horizontal="center" vertical="center" wrapText="1"/>
    </xf>
    <xf numFmtId="0" fontId="11" fillId="0" borderId="0" xfId="0" applyFont="1"/>
    <xf numFmtId="0" fontId="19" fillId="6" borderId="0" xfId="0" applyFont="1" applyFill="1"/>
    <xf numFmtId="0" fontId="18" fillId="0" borderId="107" xfId="0" applyFont="1" applyBorder="1" applyAlignment="1">
      <alignment horizontal="center" vertical="center" wrapText="1"/>
    </xf>
    <xf numFmtId="0" fontId="18" fillId="0" borderId="108" xfId="0" applyFont="1" applyBorder="1" applyAlignment="1">
      <alignment horizontal="center" vertical="center" wrapText="1"/>
    </xf>
    <xf numFmtId="2" fontId="18" fillId="0" borderId="103" xfId="0" applyNumberFormat="1" applyFont="1" applyBorder="1" applyAlignment="1">
      <alignment horizontal="center" vertical="center" wrapText="1"/>
    </xf>
    <xf numFmtId="0" fontId="18" fillId="0" borderId="104" xfId="0" applyFont="1" applyBorder="1" applyAlignment="1">
      <alignment horizontal="center" vertical="center" wrapText="1"/>
    </xf>
    <xf numFmtId="0" fontId="18" fillId="0" borderId="109" xfId="0" applyFont="1" applyBorder="1" applyAlignment="1">
      <alignment horizontal="center" vertical="center" wrapText="1"/>
    </xf>
    <xf numFmtId="0" fontId="18" fillId="0" borderId="110" xfId="0" applyFont="1" applyBorder="1" applyAlignment="1">
      <alignment horizontal="center" vertical="center" wrapText="1"/>
    </xf>
    <xf numFmtId="0" fontId="18" fillId="0" borderId="103" xfId="0" applyFont="1" applyBorder="1" applyAlignment="1">
      <alignment horizontal="center" vertical="center" wrapText="1"/>
    </xf>
    <xf numFmtId="0" fontId="19" fillId="0" borderId="0" xfId="0" applyFont="1"/>
    <xf numFmtId="2" fontId="3" fillId="6" borderId="0" xfId="0" applyNumberFormat="1" applyFont="1" applyFill="1"/>
    <xf numFmtId="2" fontId="6" fillId="0" borderId="80" xfId="0" applyNumberFormat="1" applyFont="1" applyBorder="1" applyAlignment="1">
      <alignment horizontal="center" vertical="center"/>
    </xf>
    <xf numFmtId="2" fontId="6" fillId="0" borderId="107" xfId="0" applyNumberFormat="1" applyFont="1" applyBorder="1" applyAlignment="1">
      <alignment horizontal="center" vertical="center"/>
    </xf>
    <xf numFmtId="2" fontId="6" fillId="0" borderId="111" xfId="0" applyNumberFormat="1" applyFont="1" applyBorder="1" applyAlignment="1">
      <alignment horizontal="center" vertical="center"/>
    </xf>
    <xf numFmtId="2" fontId="6" fillId="0" borderId="109" xfId="0" applyNumberFormat="1" applyFont="1" applyBorder="1" applyAlignment="1">
      <alignment horizontal="center" vertical="center"/>
    </xf>
    <xf numFmtId="2" fontId="6" fillId="0" borderId="108" xfId="0" applyNumberFormat="1" applyFont="1" applyBorder="1" applyAlignment="1">
      <alignment horizontal="center" vertical="center"/>
    </xf>
    <xf numFmtId="2" fontId="6" fillId="0" borderId="110" xfId="0" applyNumberFormat="1" applyFont="1" applyBorder="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3" fontId="3" fillId="4" borderId="112" xfId="0" applyNumberFormat="1" applyFont="1" applyFill="1" applyBorder="1" applyAlignment="1">
      <alignment horizontal="center" vertical="center"/>
    </xf>
    <xf numFmtId="3" fontId="3" fillId="4" borderId="113" xfId="0" applyNumberFormat="1" applyFont="1" applyFill="1" applyBorder="1" applyAlignment="1">
      <alignment horizontal="center" vertical="center"/>
    </xf>
    <xf numFmtId="3" fontId="3" fillId="4" borderId="114" xfId="0" applyNumberFormat="1" applyFont="1" applyFill="1" applyBorder="1" applyAlignment="1">
      <alignment horizontal="center" vertical="center"/>
    </xf>
    <xf numFmtId="3" fontId="10" fillId="4" borderId="6" xfId="0" applyNumberFormat="1" applyFont="1" applyFill="1" applyBorder="1" applyAlignment="1">
      <alignment horizontal="center" vertical="center"/>
    </xf>
    <xf numFmtId="3" fontId="10" fillId="4" borderId="7" xfId="0" applyNumberFormat="1" applyFont="1" applyFill="1" applyBorder="1" applyAlignment="1">
      <alignment horizontal="center" vertical="center"/>
    </xf>
    <xf numFmtId="3" fontId="10" fillId="4" borderId="8" xfId="0" applyNumberFormat="1" applyFont="1" applyFill="1" applyBorder="1" applyAlignment="1">
      <alignment horizontal="center" vertical="center"/>
    </xf>
    <xf numFmtId="3" fontId="27" fillId="0" borderId="35" xfId="0" applyNumberFormat="1" applyFont="1" applyBorder="1" applyAlignment="1">
      <alignment horizontal="center" vertical="center"/>
    </xf>
    <xf numFmtId="0" fontId="5" fillId="4" borderId="115" xfId="0" applyFont="1" applyFill="1" applyBorder="1"/>
    <xf numFmtId="0" fontId="5" fillId="4" borderId="116" xfId="0" applyFont="1" applyFill="1" applyBorder="1"/>
    <xf numFmtId="0" fontId="5" fillId="4" borderId="117" xfId="0" applyFont="1" applyFill="1" applyBorder="1"/>
    <xf numFmtId="1" fontId="14" fillId="4" borderId="117" xfId="0" applyNumberFormat="1" applyFont="1" applyFill="1" applyBorder="1" applyAlignment="1">
      <alignment horizontal="center" vertical="center" wrapText="1"/>
    </xf>
    <xf numFmtId="0" fontId="5" fillId="4" borderId="118" xfId="0" applyFont="1" applyFill="1" applyBorder="1"/>
    <xf numFmtId="0" fontId="44" fillId="4" borderId="117" xfId="0" applyFont="1" applyFill="1" applyBorder="1" applyAlignment="1">
      <alignment vertical="center" wrapText="1"/>
    </xf>
    <xf numFmtId="0" fontId="44" fillId="4" borderId="119" xfId="0" applyFont="1" applyFill="1" applyBorder="1" applyAlignment="1">
      <alignment vertical="center" wrapText="1"/>
    </xf>
    <xf numFmtId="0" fontId="6" fillId="4" borderId="120" xfId="0" applyFont="1" applyFill="1" applyBorder="1" applyAlignment="1">
      <alignment horizontal="left" vertical="center"/>
    </xf>
    <xf numFmtId="0" fontId="5" fillId="4" borderId="116" xfId="0" applyFont="1" applyFill="1" applyBorder="1" applyAlignment="1">
      <alignment vertical="center"/>
    </xf>
    <xf numFmtId="0" fontId="5" fillId="4" borderId="118" xfId="0" applyFont="1" applyFill="1" applyBorder="1" applyAlignment="1">
      <alignment horizontal="left"/>
    </xf>
    <xf numFmtId="2" fontId="5" fillId="4" borderId="118" xfId="0" applyNumberFormat="1" applyFont="1" applyFill="1" applyBorder="1" applyAlignment="1">
      <alignment horizontal="left" vertical="center"/>
    </xf>
    <xf numFmtId="0" fontId="5" fillId="4" borderId="118" xfId="0" applyFont="1" applyFill="1" applyBorder="1" applyAlignment="1">
      <alignment vertical="top"/>
    </xf>
    <xf numFmtId="0" fontId="6" fillId="4" borderId="118" xfId="0" applyFont="1" applyFill="1" applyBorder="1" applyAlignment="1">
      <alignment horizontal="left" vertical="center"/>
    </xf>
    <xf numFmtId="0" fontId="5" fillId="4" borderId="117" xfId="0" applyFont="1" applyFill="1" applyBorder="1" applyAlignment="1">
      <alignment horizontal="center" vertical="center"/>
    </xf>
    <xf numFmtId="2" fontId="5" fillId="4" borderId="117" xfId="0" applyNumberFormat="1" applyFont="1" applyFill="1" applyBorder="1" applyAlignment="1">
      <alignment horizontal="center" vertical="center"/>
    </xf>
    <xf numFmtId="0" fontId="6" fillId="4" borderId="121" xfId="0" applyFont="1" applyFill="1" applyBorder="1" applyAlignment="1">
      <alignment horizontal="left" vertical="center"/>
    </xf>
    <xf numFmtId="0" fontId="5" fillId="4" borderId="121" xfId="0" applyFont="1" applyFill="1" applyBorder="1" applyAlignment="1">
      <alignment vertical="center"/>
    </xf>
    <xf numFmtId="2" fontId="5" fillId="4" borderId="119" xfId="0" applyNumberFormat="1" applyFont="1" applyFill="1" applyBorder="1" applyAlignment="1">
      <alignment horizontal="center" vertical="center"/>
    </xf>
    <xf numFmtId="0" fontId="0" fillId="4" borderId="0" xfId="0" applyFill="1" applyAlignment="1">
      <alignment horizontal="left"/>
    </xf>
    <xf numFmtId="0" fontId="6" fillId="4" borderId="122" xfId="0" applyFont="1" applyFill="1" applyBorder="1" applyAlignment="1">
      <alignment horizontal="center"/>
    </xf>
    <xf numFmtId="0" fontId="6" fillId="4" borderId="2" xfId="0" applyFont="1" applyFill="1" applyBorder="1" applyAlignment="1">
      <alignment horizontal="center"/>
    </xf>
    <xf numFmtId="0" fontId="3" fillId="4" borderId="118" xfId="0" applyFont="1" applyFill="1" applyBorder="1" applyAlignment="1">
      <alignment horizontal="left" vertical="center"/>
    </xf>
    <xf numFmtId="3" fontId="24" fillId="0" borderId="54" xfId="0" applyNumberFormat="1" applyFont="1" applyBorder="1" applyAlignment="1">
      <alignment horizontal="center" vertical="center"/>
    </xf>
    <xf numFmtId="3" fontId="24" fillId="0" borderId="55" xfId="0" applyNumberFormat="1" applyFont="1" applyBorder="1" applyAlignment="1">
      <alignment horizontal="center" vertical="center"/>
    </xf>
    <xf numFmtId="3" fontId="24" fillId="0" borderId="56" xfId="0" applyNumberFormat="1" applyFont="1" applyBorder="1" applyAlignment="1">
      <alignment horizontal="center" vertical="center"/>
    </xf>
    <xf numFmtId="0" fontId="24" fillId="0" borderId="0" xfId="0" applyFont="1" applyAlignment="1">
      <alignment horizontal="center" vertical="center"/>
    </xf>
    <xf numFmtId="0" fontId="54" fillId="4" borderId="80" xfId="0" applyFont="1" applyFill="1" applyBorder="1" applyAlignment="1">
      <alignment horizontal="center" vertical="center"/>
    </xf>
    <xf numFmtId="0" fontId="54" fillId="4" borderId="84" xfId="0" applyFont="1" applyFill="1" applyBorder="1" applyAlignment="1">
      <alignment horizontal="center" vertical="center"/>
    </xf>
    <xf numFmtId="0" fontId="54" fillId="4" borderId="5" xfId="0" applyFont="1" applyFill="1" applyBorder="1" applyAlignment="1">
      <alignment horizontal="center" vertical="center"/>
    </xf>
    <xf numFmtId="0" fontId="54" fillId="4" borderId="85" xfId="0" applyFont="1" applyFill="1" applyBorder="1" applyAlignment="1">
      <alignment horizontal="center" vertical="center"/>
    </xf>
    <xf numFmtId="0" fontId="51" fillId="0" borderId="0" xfId="0" applyFont="1"/>
    <xf numFmtId="0" fontId="6" fillId="0" borderId="0" xfId="0" applyFont="1"/>
    <xf numFmtId="3" fontId="57" fillId="0" borderId="123" xfId="0" applyNumberFormat="1" applyFont="1" applyBorder="1" applyAlignment="1">
      <alignment horizontal="center" vertical="center"/>
    </xf>
    <xf numFmtId="3" fontId="57" fillId="0" borderId="124" xfId="0" applyNumberFormat="1" applyFont="1" applyBorder="1" applyAlignment="1">
      <alignment horizontal="center" vertical="center"/>
    </xf>
    <xf numFmtId="3" fontId="57" fillId="0" borderId="125" xfId="0" applyNumberFormat="1" applyFont="1" applyBorder="1" applyAlignment="1">
      <alignment horizontal="center" vertical="center"/>
    </xf>
    <xf numFmtId="3" fontId="57" fillId="0" borderId="126" xfId="0" applyNumberFormat="1" applyFont="1" applyBorder="1" applyAlignment="1">
      <alignment horizontal="center" vertical="center"/>
    </xf>
    <xf numFmtId="3" fontId="57" fillId="0" borderId="1" xfId="0" applyNumberFormat="1" applyFont="1" applyBorder="1" applyAlignment="1">
      <alignment horizontal="center" vertical="center"/>
    </xf>
    <xf numFmtId="3" fontId="57" fillId="0" borderId="127" xfId="0" applyNumberFormat="1" applyFont="1" applyBorder="1" applyAlignment="1">
      <alignment horizontal="center" vertical="center"/>
    </xf>
    <xf numFmtId="3" fontId="57" fillId="0" borderId="128" xfId="0" applyNumberFormat="1" applyFont="1" applyBorder="1" applyAlignment="1">
      <alignment horizontal="center" vertical="center"/>
    </xf>
    <xf numFmtId="3" fontId="57" fillId="0" borderId="129" xfId="0" applyNumberFormat="1" applyFont="1" applyBorder="1" applyAlignment="1">
      <alignment horizontal="center" vertical="center"/>
    </xf>
    <xf numFmtId="3" fontId="57" fillId="0" borderId="130" xfId="0" applyNumberFormat="1" applyFont="1" applyBorder="1" applyAlignment="1">
      <alignment horizontal="center" vertical="center"/>
    </xf>
    <xf numFmtId="0" fontId="3" fillId="0" borderId="0" xfId="0" applyFont="1" applyAlignment="1">
      <alignment horizontal="left" vertical="top" wrapText="1"/>
    </xf>
    <xf numFmtId="0" fontId="4" fillId="0" borderId="51" xfId="0" applyFont="1" applyBorder="1" applyAlignment="1">
      <alignment horizontal="center" vertical="center"/>
    </xf>
    <xf numFmtId="2" fontId="4" fillId="0" borderId="131" xfId="0" applyNumberFormat="1" applyFont="1" applyBorder="1" applyAlignment="1">
      <alignment horizontal="center" vertical="center"/>
    </xf>
    <xf numFmtId="2" fontId="4" fillId="0" borderId="132" xfId="0" applyNumberFormat="1" applyFont="1" applyBorder="1" applyAlignment="1">
      <alignment horizontal="center" vertical="center"/>
    </xf>
    <xf numFmtId="2" fontId="4" fillId="0" borderId="133" xfId="0" applyNumberFormat="1" applyFont="1" applyBorder="1" applyAlignment="1">
      <alignment horizontal="center" vertical="center"/>
    </xf>
    <xf numFmtId="0" fontId="4" fillId="4" borderId="0" xfId="0" applyFont="1" applyFill="1" applyAlignment="1">
      <alignment horizontal="left" vertical="top"/>
    </xf>
    <xf numFmtId="0" fontId="4" fillId="4" borderId="118" xfId="0" applyFont="1" applyFill="1" applyBorder="1" applyAlignment="1">
      <alignment horizontal="center" vertical="center"/>
    </xf>
    <xf numFmtId="0" fontId="4" fillId="4" borderId="134" xfId="0" applyFont="1" applyFill="1" applyBorder="1" applyAlignment="1">
      <alignment horizontal="center" vertical="center"/>
    </xf>
    <xf numFmtId="0" fontId="4" fillId="4" borderId="121" xfId="0" applyFont="1" applyFill="1" applyBorder="1" applyAlignment="1">
      <alignment horizontal="center" vertical="center"/>
    </xf>
    <xf numFmtId="0" fontId="59" fillId="4" borderId="0" xfId="0" applyFont="1" applyFill="1"/>
    <xf numFmtId="0" fontId="59" fillId="4" borderId="0" xfId="0" applyFont="1" applyFill="1" applyAlignment="1">
      <alignment vertical="top"/>
    </xf>
    <xf numFmtId="0" fontId="40" fillId="4" borderId="0" xfId="0" applyFont="1" applyFill="1" applyAlignment="1">
      <alignment vertical="top" wrapText="1"/>
    </xf>
    <xf numFmtId="0" fontId="61" fillId="4" borderId="117" xfId="0" applyFont="1" applyFill="1" applyBorder="1" applyAlignment="1">
      <alignment horizontal="center" vertical="top"/>
    </xf>
    <xf numFmtId="0" fontId="61" fillId="4" borderId="117" xfId="0" applyFont="1" applyFill="1" applyBorder="1"/>
    <xf numFmtId="2" fontId="14" fillId="4" borderId="122" xfId="0" applyNumberFormat="1" applyFont="1" applyFill="1" applyBorder="1" applyAlignment="1">
      <alignment horizontal="center" vertical="center" wrapText="1"/>
    </xf>
    <xf numFmtId="0" fontId="14" fillId="4" borderId="122"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4" fillId="4" borderId="135" xfId="0" applyFont="1" applyFill="1" applyBorder="1" applyAlignment="1">
      <alignment horizontal="center" vertical="center" wrapText="1"/>
    </xf>
    <xf numFmtId="0" fontId="14" fillId="4" borderId="136" xfId="0" applyFont="1" applyFill="1" applyBorder="1" applyAlignment="1">
      <alignment horizontal="center" vertical="center" wrapText="1"/>
    </xf>
    <xf numFmtId="0" fontId="6" fillId="4" borderId="137" xfId="0" applyFont="1" applyFill="1" applyBorder="1" applyAlignment="1">
      <alignment horizontal="left" vertical="center"/>
    </xf>
    <xf numFmtId="0" fontId="6" fillId="4" borderId="138" xfId="0" applyFont="1" applyFill="1" applyBorder="1" applyAlignment="1">
      <alignment horizontal="left" vertical="center"/>
    </xf>
    <xf numFmtId="0" fontId="8" fillId="4" borderId="139" xfId="0" applyFont="1" applyFill="1" applyBorder="1" applyAlignment="1">
      <alignment horizontal="center" vertical="center"/>
    </xf>
    <xf numFmtId="0" fontId="3" fillId="0" borderId="0" xfId="0" applyFont="1" applyAlignment="1">
      <alignment horizontal="left" vertical="center"/>
    </xf>
    <xf numFmtId="0" fontId="3" fillId="0" borderId="0" xfId="0" applyFont="1" applyAlignment="1">
      <alignment vertical="top"/>
    </xf>
    <xf numFmtId="1" fontId="40" fillId="4" borderId="0" xfId="0" applyNumberFormat="1" applyFont="1" applyFill="1" applyAlignment="1">
      <alignment vertical="top" wrapText="1"/>
    </xf>
    <xf numFmtId="1" fontId="63" fillId="7" borderId="162" xfId="0" applyNumberFormat="1" applyFont="1" applyFill="1" applyBorder="1" applyAlignment="1" applyProtection="1">
      <alignment horizontal="center" vertical="center"/>
      <protection locked="0"/>
    </xf>
    <xf numFmtId="164" fontId="63" fillId="7" borderId="162" xfId="0" applyNumberFormat="1" applyFont="1" applyFill="1" applyBorder="1" applyAlignment="1" applyProtection="1">
      <alignment horizontal="center" vertical="center"/>
      <protection locked="0"/>
    </xf>
    <xf numFmtId="0" fontId="64" fillId="0" borderId="0" xfId="0" applyFont="1"/>
    <xf numFmtId="2" fontId="64" fillId="0" borderId="0" xfId="0" applyNumberFormat="1" applyFont="1"/>
    <xf numFmtId="3" fontId="64" fillId="0" borderId="0" xfId="0" applyNumberFormat="1" applyFont="1"/>
    <xf numFmtId="4" fontId="64" fillId="0" borderId="0" xfId="0" applyNumberFormat="1" applyFont="1"/>
    <xf numFmtId="0" fontId="25" fillId="0" borderId="0" xfId="0" applyFont="1"/>
    <xf numFmtId="0" fontId="3" fillId="0" borderId="0" xfId="0" applyFont="1" applyAlignment="1">
      <alignment horizontal="left" vertical="top" wrapText="1"/>
    </xf>
    <xf numFmtId="0" fontId="23" fillId="0" borderId="0" xfId="0" applyFont="1" applyAlignment="1">
      <alignment horizontal="left" vertical="center" wrapText="1"/>
    </xf>
    <xf numFmtId="0" fontId="55" fillId="0" borderId="0" xfId="0" applyFont="1" applyAlignment="1">
      <alignment horizontal="left"/>
    </xf>
    <xf numFmtId="0" fontId="4" fillId="0" borderId="0" xfId="0" applyFont="1" applyAlignment="1">
      <alignment horizontal="left" vertical="top"/>
    </xf>
    <xf numFmtId="1" fontId="3" fillId="4" borderId="141" xfId="0" applyNumberFormat="1" applyFont="1" applyFill="1" applyBorder="1" applyAlignment="1">
      <alignment horizontal="center" textRotation="90" wrapText="1"/>
    </xf>
    <xf numFmtId="1" fontId="3" fillId="4" borderId="0" xfId="0" applyNumberFormat="1" applyFont="1" applyFill="1" applyAlignment="1">
      <alignment horizontal="center" textRotation="90" wrapText="1"/>
    </xf>
    <xf numFmtId="1" fontId="3" fillId="4" borderId="58" xfId="0" applyNumberFormat="1" applyFont="1" applyFill="1" applyBorder="1" applyAlignment="1">
      <alignment horizontal="center" textRotation="90" wrapText="1"/>
    </xf>
    <xf numFmtId="3" fontId="3" fillId="4" borderId="0" xfId="0" applyNumberFormat="1" applyFont="1" applyFill="1" applyAlignment="1">
      <alignment horizontal="center" vertical="center" wrapText="1"/>
    </xf>
    <xf numFmtId="0" fontId="3" fillId="4" borderId="0" xfId="0" applyFont="1" applyFill="1" applyAlignment="1">
      <alignment horizontal="center" vertical="center" wrapText="1"/>
    </xf>
    <xf numFmtId="3" fontId="3" fillId="4" borderId="141" xfId="0" applyNumberFormat="1" applyFont="1" applyFill="1" applyBorder="1" applyAlignment="1">
      <alignment horizontal="center" vertical="center" wrapText="1"/>
    </xf>
    <xf numFmtId="3" fontId="3" fillId="4" borderId="58" xfId="0" applyNumberFormat="1"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3" xfId="0" applyFont="1" applyFill="1" applyBorder="1" applyAlignment="1">
      <alignment horizontal="center" textRotation="90" wrapText="1"/>
    </xf>
    <xf numFmtId="0" fontId="3" fillId="4" borderId="14" xfId="0" applyFont="1" applyFill="1" applyBorder="1" applyAlignment="1">
      <alignment horizontal="center" textRotation="90" wrapText="1"/>
    </xf>
    <xf numFmtId="1" fontId="3" fillId="4" borderId="10" xfId="0" applyNumberFormat="1" applyFont="1" applyFill="1" applyBorder="1" applyAlignment="1">
      <alignment horizontal="center" textRotation="90" wrapText="1"/>
    </xf>
    <xf numFmtId="3" fontId="3" fillId="4" borderId="10" xfId="0" applyNumberFormat="1" applyFont="1" applyFill="1" applyBorder="1" applyAlignment="1">
      <alignment horizontal="center" vertical="center" wrapText="1"/>
    </xf>
    <xf numFmtId="0" fontId="3" fillId="4" borderId="12" xfId="0" applyFont="1" applyFill="1" applyBorder="1" applyAlignment="1">
      <alignment horizontal="center" textRotation="90" wrapText="1"/>
    </xf>
    <xf numFmtId="1" fontId="3" fillId="4" borderId="9" xfId="0" applyNumberFormat="1" applyFont="1" applyFill="1" applyBorder="1" applyAlignment="1">
      <alignment horizontal="center" vertical="center" wrapText="1"/>
    </xf>
    <xf numFmtId="1" fontId="3" fillId="4" borderId="0" xfId="0" applyNumberFormat="1" applyFont="1" applyFill="1" applyAlignment="1">
      <alignment horizontal="center" vertical="center" wrapText="1"/>
    </xf>
    <xf numFmtId="0" fontId="3" fillId="4" borderId="14" xfId="0" applyFont="1" applyFill="1" applyBorder="1" applyAlignment="1">
      <alignment horizontal="center" vertical="center"/>
    </xf>
    <xf numFmtId="1" fontId="3" fillId="4" borderId="12" xfId="0" applyNumberFormat="1" applyFont="1" applyFill="1" applyBorder="1" applyAlignment="1">
      <alignment horizontal="center" vertical="center"/>
    </xf>
    <xf numFmtId="1" fontId="3" fillId="4" borderId="13" xfId="0" applyNumberFormat="1" applyFont="1" applyFill="1" applyBorder="1" applyAlignment="1">
      <alignment horizontal="center" vertical="center"/>
    </xf>
    <xf numFmtId="0" fontId="3" fillId="4" borderId="0" xfId="0" applyFont="1" applyFill="1" applyAlignment="1">
      <alignment horizontal="center" textRotation="90"/>
    </xf>
    <xf numFmtId="0" fontId="23" fillId="4" borderId="0" xfId="0" applyFont="1" applyFill="1" applyAlignment="1">
      <alignment horizontal="center" vertical="center" wrapText="1"/>
    </xf>
    <xf numFmtId="0" fontId="8" fillId="4" borderId="0" xfId="0" applyFont="1" applyFill="1" applyAlignment="1">
      <alignment horizontal="center" vertical="center" wrapText="1"/>
    </xf>
    <xf numFmtId="0" fontId="8" fillId="4" borderId="0" xfId="0" applyFont="1" applyFill="1" applyAlignment="1">
      <alignment horizontal="center" textRotation="90" wrapText="1"/>
    </xf>
    <xf numFmtId="0" fontId="27" fillId="4" borderId="0" xfId="0" applyFont="1" applyFill="1" applyAlignment="1">
      <alignment horizontal="center" vertical="center" wrapText="1"/>
    </xf>
    <xf numFmtId="1" fontId="3" fillId="4" borderId="9" xfId="0" applyNumberFormat="1" applyFont="1" applyFill="1" applyBorder="1" applyAlignment="1">
      <alignment horizontal="center" textRotation="90" wrapText="1"/>
    </xf>
    <xf numFmtId="0" fontId="4" fillId="4" borderId="0" xfId="0" applyFont="1" applyFill="1" applyAlignment="1">
      <alignment horizontal="center" textRotation="90"/>
    </xf>
    <xf numFmtId="0" fontId="8" fillId="4" borderId="81" xfId="0" applyFont="1" applyFill="1" applyBorder="1" applyAlignment="1">
      <alignment horizontal="center" textRotation="90" wrapText="1"/>
    </xf>
    <xf numFmtId="0" fontId="8" fillId="4" borderId="11" xfId="0" applyFont="1" applyFill="1" applyBorder="1" applyAlignment="1">
      <alignment horizontal="center" textRotation="90" wrapText="1"/>
    </xf>
    <xf numFmtId="3" fontId="5" fillId="0" borderId="0" xfId="0" applyNumberFormat="1" applyFont="1" applyAlignment="1">
      <alignment horizontal="center" vertical="center"/>
    </xf>
    <xf numFmtId="3" fontId="8" fillId="0" borderId="0" xfId="0" applyNumberFormat="1" applyFont="1" applyAlignment="1">
      <alignment horizontal="center" vertical="center"/>
    </xf>
    <xf numFmtId="0" fontId="8" fillId="4" borderId="10" xfId="0" applyFont="1" applyFill="1" applyBorder="1" applyAlignment="1">
      <alignment horizontal="center" vertical="center" textRotation="90" wrapText="1"/>
    </xf>
    <xf numFmtId="0" fontId="3" fillId="4" borderId="81" xfId="0" applyFont="1" applyFill="1" applyBorder="1" applyAlignment="1">
      <alignment horizontal="center" textRotation="90"/>
    </xf>
    <xf numFmtId="0" fontId="3" fillId="4" borderId="11" xfId="0" applyFont="1" applyFill="1" applyBorder="1" applyAlignment="1">
      <alignment horizontal="center" textRotation="90"/>
    </xf>
    <xf numFmtId="0" fontId="45" fillId="0" borderId="0" xfId="0" applyFont="1" applyAlignment="1">
      <alignment horizontal="center" vertical="center" wrapText="1"/>
    </xf>
    <xf numFmtId="0" fontId="8" fillId="0" borderId="0" xfId="0" applyFont="1" applyAlignment="1">
      <alignment horizontal="left" vertical="center" textRotation="90"/>
    </xf>
    <xf numFmtId="0" fontId="5" fillId="0" borderId="0" xfId="0" applyFont="1" applyAlignment="1">
      <alignment horizontal="center" vertical="center"/>
    </xf>
    <xf numFmtId="0" fontId="29" fillId="0" borderId="0" xfId="0" applyFont="1" applyAlignment="1">
      <alignment horizontal="center" vertical="center" wrapText="1"/>
    </xf>
    <xf numFmtId="0" fontId="8" fillId="0" borderId="0" xfId="0" applyFont="1" applyAlignment="1">
      <alignment horizontal="center" textRotation="90" wrapText="1"/>
    </xf>
    <xf numFmtId="3" fontId="8" fillId="0" borderId="6" xfId="0" applyNumberFormat="1" applyFont="1" applyBorder="1" applyAlignment="1">
      <alignment horizontal="center" vertical="center"/>
    </xf>
    <xf numFmtId="3" fontId="8" fillId="0" borderId="7" xfId="0" applyNumberFormat="1" applyFont="1" applyBorder="1" applyAlignment="1">
      <alignment horizontal="center" vertical="center"/>
    </xf>
    <xf numFmtId="3" fontId="8" fillId="0" borderId="52" xfId="0" applyNumberFormat="1" applyFont="1" applyBorder="1" applyAlignment="1">
      <alignment horizontal="center" vertical="center"/>
    </xf>
    <xf numFmtId="3" fontId="8" fillId="0" borderId="8" xfId="0" applyNumberFormat="1" applyFont="1" applyBorder="1" applyAlignment="1">
      <alignment horizontal="center" vertical="center"/>
    </xf>
    <xf numFmtId="0" fontId="8" fillId="0" borderId="0" xfId="0" applyFont="1" applyAlignment="1">
      <alignment horizontal="left" vertical="center" textRotation="90" wrapText="1"/>
    </xf>
    <xf numFmtId="0" fontId="8" fillId="0" borderId="42" xfId="0" applyFont="1" applyBorder="1" applyAlignment="1">
      <alignment horizontal="center" vertical="center"/>
    </xf>
    <xf numFmtId="0" fontId="8" fillId="0" borderId="44" xfId="0" applyFont="1" applyBorder="1" applyAlignment="1">
      <alignment horizontal="center" vertical="center"/>
    </xf>
    <xf numFmtId="0" fontId="8" fillId="0" borderId="0" xfId="0" applyFont="1" applyAlignment="1">
      <alignment horizontal="center" vertical="center" wrapText="1"/>
    </xf>
    <xf numFmtId="0" fontId="5" fillId="0" borderId="0" xfId="0" applyFont="1" applyAlignment="1">
      <alignment horizontal="center" textRotation="90" wrapText="1"/>
    </xf>
    <xf numFmtId="3" fontId="27" fillId="0" borderId="33" xfId="0" applyNumberFormat="1" applyFont="1" applyBorder="1" applyAlignment="1">
      <alignment horizontal="center" vertical="center"/>
    </xf>
    <xf numFmtId="3" fontId="27" fillId="0" borderId="34" xfId="0" applyNumberFormat="1" applyFont="1" applyBorder="1" applyAlignment="1">
      <alignment horizontal="center" vertical="center"/>
    </xf>
    <xf numFmtId="3" fontId="27" fillId="0" borderId="35" xfId="0" applyNumberFormat="1" applyFont="1" applyBorder="1" applyAlignment="1">
      <alignment horizontal="center" vertical="center"/>
    </xf>
    <xf numFmtId="3" fontId="8" fillId="0" borderId="112" xfId="0" applyNumberFormat="1" applyFont="1" applyBorder="1" applyAlignment="1">
      <alignment horizontal="center" vertical="center"/>
    </xf>
    <xf numFmtId="3" fontId="8" fillId="0" borderId="114" xfId="0" applyNumberFormat="1" applyFont="1" applyBorder="1" applyAlignment="1">
      <alignment horizontal="center" vertical="center"/>
    </xf>
    <xf numFmtId="0" fontId="27" fillId="0" borderId="36" xfId="0" applyFont="1" applyBorder="1" applyAlignment="1">
      <alignment horizontal="center" vertical="center"/>
    </xf>
    <xf numFmtId="0" fontId="27" fillId="0" borderId="37" xfId="0" applyFont="1" applyBorder="1" applyAlignment="1">
      <alignment horizontal="center" vertical="center"/>
    </xf>
    <xf numFmtId="3" fontId="8" fillId="0" borderId="36" xfId="0" applyNumberFormat="1" applyFont="1" applyBorder="1" applyAlignment="1">
      <alignment horizontal="center" vertical="center"/>
    </xf>
    <xf numFmtId="3" fontId="8" fillId="0" borderId="37" xfId="0" applyNumberFormat="1" applyFont="1" applyBorder="1" applyAlignment="1">
      <alignment horizontal="center" vertical="center"/>
    </xf>
    <xf numFmtId="3" fontId="8" fillId="4" borderId="0" xfId="0" applyNumberFormat="1" applyFont="1" applyFill="1" applyAlignment="1">
      <alignment horizontal="center" vertical="center"/>
    </xf>
    <xf numFmtId="0" fontId="8" fillId="0" borderId="13" xfId="0" applyFont="1" applyBorder="1" applyAlignment="1">
      <alignment horizontal="center" textRotation="90" wrapText="1"/>
    </xf>
    <xf numFmtId="0" fontId="8" fillId="0" borderId="14" xfId="0" applyFont="1" applyBorder="1" applyAlignment="1">
      <alignment horizontal="center" textRotation="90" wrapText="1"/>
    </xf>
    <xf numFmtId="0" fontId="8" fillId="0" borderId="9" xfId="0" applyFont="1" applyBorder="1" applyAlignment="1">
      <alignment horizontal="center" textRotation="90" wrapText="1"/>
    </xf>
    <xf numFmtId="0" fontId="8" fillId="0" borderId="10" xfId="0" applyFont="1" applyBorder="1" applyAlignment="1">
      <alignment horizontal="center" textRotation="90" wrapText="1"/>
    </xf>
    <xf numFmtId="0" fontId="5" fillId="4" borderId="0" xfId="0" applyFont="1" applyFill="1" applyAlignment="1">
      <alignment horizontal="center" textRotation="90" wrapText="1"/>
    </xf>
    <xf numFmtId="3" fontId="27" fillId="0" borderId="0" xfId="0" applyNumberFormat="1" applyFont="1" applyAlignment="1" applyProtection="1">
      <alignment horizontal="right" vertical="center"/>
      <protection locked="0"/>
    </xf>
    <xf numFmtId="3" fontId="5" fillId="4" borderId="0" xfId="0" applyNumberFormat="1" applyFont="1" applyFill="1" applyAlignment="1">
      <alignment horizontal="center" vertical="center"/>
    </xf>
    <xf numFmtId="0" fontId="5" fillId="0" borderId="18" xfId="0" applyFont="1" applyBorder="1" applyAlignment="1">
      <alignment horizontal="center" textRotation="90" wrapText="1"/>
    </xf>
    <xf numFmtId="0" fontId="5" fillId="0" borderId="21" xfId="0" applyFont="1" applyBorder="1" applyAlignment="1">
      <alignment horizontal="center" textRotation="90" wrapText="1"/>
    </xf>
    <xf numFmtId="0" fontId="5" fillId="0" borderId="20" xfId="0" applyFont="1" applyBorder="1" applyAlignment="1">
      <alignment horizontal="center" textRotation="90" wrapText="1"/>
    </xf>
    <xf numFmtId="0" fontId="5" fillId="0" borderId="50" xfId="0" applyFont="1" applyBorder="1" applyAlignment="1">
      <alignment horizontal="center" textRotation="90" wrapText="1"/>
    </xf>
    <xf numFmtId="3" fontId="8" fillId="0" borderId="29" xfId="0" applyNumberFormat="1" applyFont="1" applyBorder="1" applyAlignment="1">
      <alignment horizontal="center" vertical="center"/>
    </xf>
    <xf numFmtId="3" fontId="8" fillId="0" borderId="140" xfId="0" applyNumberFormat="1" applyFont="1" applyBorder="1" applyAlignment="1">
      <alignment horizontal="center" vertical="center"/>
    </xf>
    <xf numFmtId="0" fontId="8" fillId="0" borderId="15" xfId="0" applyFont="1" applyBorder="1" applyAlignment="1">
      <alignment horizontal="center"/>
    </xf>
    <xf numFmtId="0" fontId="8" fillId="0" borderId="17"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7" xfId="0" applyFont="1" applyBorder="1" applyAlignment="1">
      <alignment horizontal="center" vertical="center" wrapText="1"/>
    </xf>
    <xf numFmtId="0" fontId="27" fillId="0" borderId="29" xfId="0" applyFont="1" applyBorder="1" applyAlignment="1">
      <alignment horizontal="center" vertical="center"/>
    </xf>
    <xf numFmtId="0" fontId="27" fillId="0" borderId="140" xfId="0" applyFont="1" applyBorder="1" applyAlignment="1">
      <alignment horizontal="center" vertical="center"/>
    </xf>
    <xf numFmtId="0" fontId="3" fillId="0" borderId="18" xfId="0" applyFont="1" applyBorder="1" applyAlignment="1">
      <alignment horizontal="center" textRotation="90"/>
    </xf>
    <xf numFmtId="0" fontId="3" fillId="0" borderId="50" xfId="0" applyFont="1" applyBorder="1" applyAlignment="1">
      <alignment horizontal="center" textRotation="90"/>
    </xf>
    <xf numFmtId="0" fontId="29" fillId="4" borderId="0" xfId="0" applyFont="1" applyFill="1" applyAlignment="1">
      <alignment horizontal="center" vertical="center" wrapText="1"/>
    </xf>
    <xf numFmtId="0" fontId="5" fillId="4" borderId="0" xfId="0" applyFont="1" applyFill="1" applyAlignment="1">
      <alignment horizontal="center" vertical="center"/>
    </xf>
    <xf numFmtId="0" fontId="8" fillId="4" borderId="14" xfId="0" applyFont="1" applyFill="1" applyBorder="1" applyAlignment="1">
      <alignment horizontal="center" textRotation="90" wrapText="1"/>
    </xf>
    <xf numFmtId="0" fontId="27" fillId="4" borderId="15" xfId="0" applyFont="1" applyFill="1" applyBorder="1" applyAlignment="1">
      <alignment horizontal="center" vertical="center"/>
    </xf>
    <xf numFmtId="0" fontId="27" fillId="4" borderId="16" xfId="0" applyFont="1" applyFill="1" applyBorder="1" applyAlignment="1">
      <alignment horizontal="center" vertical="center"/>
    </xf>
    <xf numFmtId="0" fontId="27" fillId="4" borderId="17" xfId="0" applyFont="1" applyFill="1" applyBorder="1" applyAlignment="1">
      <alignment horizontal="center" vertical="center"/>
    </xf>
    <xf numFmtId="0" fontId="29" fillId="0" borderId="9" xfId="0" applyFont="1" applyBorder="1" applyAlignment="1">
      <alignment horizontal="center" vertical="center" wrapText="1"/>
    </xf>
    <xf numFmtId="0" fontId="29" fillId="0" borderId="10" xfId="0" applyFont="1" applyBorder="1" applyAlignment="1">
      <alignment horizontal="center" vertical="center" wrapText="1"/>
    </xf>
    <xf numFmtId="0" fontId="8" fillId="0" borderId="12" xfId="0" applyFont="1" applyBorder="1" applyAlignment="1">
      <alignment horizontal="center" textRotation="90" wrapText="1"/>
    </xf>
    <xf numFmtId="3" fontId="10" fillId="0" borderId="6" xfId="0" applyNumberFormat="1" applyFont="1" applyBorder="1" applyAlignment="1">
      <alignment horizontal="center" vertical="center"/>
    </xf>
    <xf numFmtId="3" fontId="10" fillId="0" borderId="8" xfId="0" applyNumberFormat="1" applyFont="1" applyBorder="1" applyAlignment="1">
      <alignment horizontal="center" vertical="center"/>
    </xf>
    <xf numFmtId="0" fontId="27" fillId="0" borderId="81" xfId="0" applyFont="1" applyBorder="1" applyAlignment="1">
      <alignment horizontal="center" textRotation="90"/>
    </xf>
    <xf numFmtId="0" fontId="27" fillId="0" borderId="11" xfId="0" applyFont="1" applyBorder="1" applyAlignment="1">
      <alignment horizontal="center" textRotation="90"/>
    </xf>
    <xf numFmtId="0" fontId="8" fillId="0" borderId="15" xfId="0" applyFont="1" applyBorder="1" applyAlignment="1">
      <alignment horizontal="center" textRotation="90"/>
    </xf>
    <xf numFmtId="0" fontId="52" fillId="0" borderId="17" xfId="0" applyFont="1" applyBorder="1" applyAlignment="1"/>
    <xf numFmtId="0" fontId="52" fillId="0" borderId="9" xfId="0" applyFont="1" applyBorder="1" applyAlignment="1"/>
    <xf numFmtId="0" fontId="52" fillId="0" borderId="10" xfId="0" applyFont="1" applyBorder="1" applyAlignment="1"/>
    <xf numFmtId="0" fontId="8" fillId="0" borderId="9" xfId="0" applyFont="1" applyBorder="1" applyAlignment="1">
      <alignment horizontal="right" vertical="center" textRotation="90"/>
    </xf>
    <xf numFmtId="0" fontId="4" fillId="0" borderId="18" xfId="0" applyFont="1" applyBorder="1" applyAlignment="1">
      <alignment horizontal="center" textRotation="90"/>
    </xf>
    <xf numFmtId="0" fontId="4" fillId="0" borderId="50" xfId="0" applyFont="1" applyBorder="1" applyAlignment="1">
      <alignment horizontal="center" textRotation="90"/>
    </xf>
    <xf numFmtId="0" fontId="8" fillId="4" borderId="0" xfId="0" applyFont="1" applyFill="1" applyAlignment="1">
      <alignment horizontal="left" vertical="center" textRotation="90"/>
    </xf>
    <xf numFmtId="0" fontId="3" fillId="0" borderId="81" xfId="0" applyFont="1" applyBorder="1" applyAlignment="1">
      <alignment horizontal="center" textRotation="90"/>
    </xf>
    <xf numFmtId="0" fontId="3" fillId="0" borderId="11" xfId="0" applyFont="1" applyBorder="1" applyAlignment="1">
      <alignment horizontal="center" textRotation="90"/>
    </xf>
    <xf numFmtId="0" fontId="8" fillId="4" borderId="0" xfId="0" applyFont="1" applyFill="1" applyAlignment="1">
      <alignment horizontal="center" vertical="center"/>
    </xf>
    <xf numFmtId="0" fontId="6" fillId="4" borderId="122" xfId="0" applyFont="1" applyFill="1" applyBorder="1" applyAlignment="1">
      <alignment horizontal="center" vertical="center"/>
    </xf>
    <xf numFmtId="0" fontId="6" fillId="4" borderId="2" xfId="0" applyFont="1" applyFill="1" applyBorder="1" applyAlignment="1">
      <alignment horizontal="center" vertical="center"/>
    </xf>
    <xf numFmtId="0" fontId="37" fillId="4" borderId="0" xfId="0" applyFont="1" applyFill="1" applyAlignment="1">
      <alignment horizontal="left" vertical="center"/>
    </xf>
    <xf numFmtId="0" fontId="60" fillId="4" borderId="0" xfId="0" applyFont="1" applyFill="1" applyAlignment="1">
      <alignment horizontal="left" vertical="top" wrapText="1"/>
    </xf>
    <xf numFmtId="3" fontId="58" fillId="0" borderId="155" xfId="0" applyNumberFormat="1" applyFont="1" applyBorder="1" applyAlignment="1">
      <alignment horizontal="center" vertical="center"/>
    </xf>
    <xf numFmtId="3" fontId="58" fillId="0" borderId="156" xfId="0" applyNumberFormat="1" applyFont="1" applyBorder="1" applyAlignment="1">
      <alignment horizontal="center" vertical="center"/>
    </xf>
    <xf numFmtId="0" fontId="8" fillId="0" borderId="149" xfId="0" applyFont="1" applyBorder="1" applyAlignment="1">
      <alignment horizontal="center" vertical="center"/>
    </xf>
    <xf numFmtId="0" fontId="8" fillId="0" borderId="150" xfId="0" applyFont="1" applyBorder="1" applyAlignment="1">
      <alignment horizontal="center" vertical="center"/>
    </xf>
    <xf numFmtId="0" fontId="8" fillId="0" borderId="47" xfId="0" applyFont="1" applyBorder="1" applyAlignment="1">
      <alignment horizontal="center" vertical="center"/>
    </xf>
    <xf numFmtId="0" fontId="8" fillId="0" borderId="48" xfId="0" applyFont="1" applyBorder="1" applyAlignment="1">
      <alignment horizontal="center" vertical="center"/>
    </xf>
    <xf numFmtId="3" fontId="8" fillId="0" borderId="151" xfId="0" applyNumberFormat="1" applyFont="1" applyBorder="1" applyAlignment="1">
      <alignment horizontal="center" vertical="center"/>
    </xf>
    <xf numFmtId="3" fontId="8" fillId="0" borderId="49" xfId="0" applyNumberFormat="1" applyFont="1" applyBorder="1" applyAlignment="1">
      <alignment horizontal="center" vertical="center"/>
    </xf>
    <xf numFmtId="3" fontId="58" fillId="0" borderId="157" xfId="0" applyNumberFormat="1" applyFont="1" applyBorder="1" applyAlignment="1">
      <alignment horizontal="center" vertical="center"/>
    </xf>
    <xf numFmtId="3" fontId="58" fillId="0" borderId="158" xfId="0" applyNumberFormat="1" applyFont="1" applyBorder="1" applyAlignment="1">
      <alignment horizontal="center" vertical="center"/>
    </xf>
    <xf numFmtId="3" fontId="58" fillId="0" borderId="159" xfId="0" applyNumberFormat="1" applyFont="1" applyBorder="1" applyAlignment="1">
      <alignment horizontal="center" vertical="center"/>
    </xf>
    <xf numFmtId="3" fontId="58" fillId="0" borderId="160" xfId="0" applyNumberFormat="1" applyFont="1" applyBorder="1" applyAlignment="1">
      <alignment horizontal="center" vertical="center"/>
    </xf>
    <xf numFmtId="0" fontId="27" fillId="0" borderId="39" xfId="0" applyFont="1" applyBorder="1" applyAlignment="1">
      <alignment horizontal="center" vertical="center"/>
    </xf>
    <xf numFmtId="0" fontId="27" fillId="0" borderId="2" xfId="0" applyFont="1" applyBorder="1" applyAlignment="1">
      <alignment horizontal="center" vertical="center"/>
    </xf>
    <xf numFmtId="0" fontId="27" fillId="0" borderId="82" xfId="0" applyFont="1" applyBorder="1" applyAlignment="1">
      <alignment horizontal="center" vertical="center"/>
    </xf>
    <xf numFmtId="0" fontId="27" fillId="0" borderId="57" xfId="0" applyFont="1" applyBorder="1" applyAlignment="1">
      <alignment horizontal="center" vertical="center"/>
    </xf>
    <xf numFmtId="0" fontId="20" fillId="4" borderId="154" xfId="0" applyFont="1" applyFill="1" applyBorder="1" applyAlignment="1">
      <alignment horizontal="left" vertical="center" wrapText="1"/>
    </xf>
    <xf numFmtId="0" fontId="20" fillId="4" borderId="121" xfId="0" applyFont="1" applyFill="1" applyBorder="1" applyAlignment="1">
      <alignment horizontal="left" vertical="center" wrapText="1"/>
    </xf>
    <xf numFmtId="0" fontId="8" fillId="0" borderId="0" xfId="0" applyFont="1" applyAlignment="1">
      <alignment horizontal="center" vertical="center" textRotation="90"/>
    </xf>
    <xf numFmtId="0" fontId="23" fillId="0" borderId="0" xfId="0" applyFont="1" applyAlignment="1">
      <alignment horizontal="center" vertical="center"/>
    </xf>
    <xf numFmtId="0" fontId="3" fillId="0" borderId="2" xfId="0" applyFont="1" applyBorder="1" applyAlignment="1">
      <alignment horizontal="center" vertical="center" textRotation="90" wrapText="1"/>
    </xf>
    <xf numFmtId="0" fontId="5" fillId="0" borderId="0" xfId="0" applyFont="1" applyAlignment="1">
      <alignment horizontal="center" vertical="center" wrapText="1"/>
    </xf>
    <xf numFmtId="0" fontId="8" fillId="0" borderId="2" xfId="0" applyFont="1" applyBorder="1" applyAlignment="1">
      <alignment horizontal="left" vertical="top" wrapText="1"/>
    </xf>
    <xf numFmtId="0" fontId="8" fillId="0" borderId="2" xfId="0" applyFont="1" applyBorder="1" applyAlignment="1">
      <alignment horizontal="left" vertical="top"/>
    </xf>
    <xf numFmtId="0" fontId="45" fillId="0" borderId="0" xfId="0" applyFont="1" applyAlignment="1">
      <alignment horizontal="center" vertical="center"/>
    </xf>
    <xf numFmtId="0" fontId="27" fillId="0" borderId="0" xfId="0" applyFont="1" applyAlignment="1" applyProtection="1">
      <alignment horizontal="right" vertical="top"/>
      <protection locked="0"/>
    </xf>
    <xf numFmtId="0" fontId="20" fillId="4" borderId="141" xfId="0" applyFont="1" applyFill="1" applyBorder="1" applyAlignment="1">
      <alignment horizontal="left" vertical="center" wrapText="1"/>
    </xf>
    <xf numFmtId="0" fontId="20" fillId="4" borderId="0" xfId="0" applyFont="1" applyFill="1" applyAlignment="1">
      <alignment horizontal="left" vertical="center" wrapText="1"/>
    </xf>
    <xf numFmtId="0" fontId="28" fillId="0" borderId="0" xfId="0" applyFont="1" applyAlignment="1">
      <alignment horizontal="center" vertical="center" wrapText="1"/>
    </xf>
    <xf numFmtId="0" fontId="27" fillId="0" borderId="2" xfId="0" applyFont="1" applyBorder="1" applyAlignment="1">
      <alignment horizontal="center" vertical="center" wrapText="1"/>
    </xf>
    <xf numFmtId="0" fontId="20" fillId="4" borderId="117" xfId="0" applyFont="1" applyFill="1" applyBorder="1" applyAlignment="1">
      <alignment horizontal="left" vertical="center" wrapText="1"/>
    </xf>
    <xf numFmtId="0" fontId="51" fillId="4" borderId="0" xfId="0" applyFont="1" applyFill="1" applyAlignment="1">
      <alignment horizontal="left" vertical="center" wrapText="1"/>
    </xf>
    <xf numFmtId="0" fontId="51" fillId="4" borderId="117" xfId="0" applyFont="1" applyFill="1" applyBorder="1" applyAlignment="1">
      <alignment horizontal="left" vertical="center" wrapText="1"/>
    </xf>
    <xf numFmtId="0" fontId="10" fillId="0" borderId="0" xfId="0" applyFont="1" applyAlignment="1">
      <alignment horizontal="center"/>
    </xf>
    <xf numFmtId="0" fontId="8" fillId="0" borderId="2" xfId="0" applyFont="1" applyBorder="1" applyAlignment="1">
      <alignment horizontal="center" vertical="center" wrapText="1"/>
    </xf>
    <xf numFmtId="0" fontId="50" fillId="0" borderId="2" xfId="0" applyFont="1" applyBorder="1" applyAlignment="1">
      <alignment horizontal="center" vertical="center" wrapText="1"/>
    </xf>
    <xf numFmtId="0" fontId="27" fillId="0" borderId="57" xfId="0" applyFont="1" applyBorder="1" applyAlignment="1">
      <alignment horizontal="center" vertical="center" wrapText="1"/>
    </xf>
    <xf numFmtId="0" fontId="8" fillId="0" borderId="2" xfId="0" applyFont="1" applyBorder="1" applyAlignment="1">
      <alignment horizontal="center" vertical="center"/>
    </xf>
    <xf numFmtId="0" fontId="8" fillId="4" borderId="15" xfId="0" applyFont="1" applyFill="1" applyBorder="1" applyAlignment="1">
      <alignment horizontal="center" vertical="center" wrapText="1"/>
    </xf>
    <xf numFmtId="0" fontId="8" fillId="4" borderId="16" xfId="0" applyFont="1" applyFill="1" applyBorder="1" applyAlignment="1">
      <alignment horizontal="center" vertical="center" wrapText="1"/>
    </xf>
    <xf numFmtId="0" fontId="8" fillId="4" borderId="17" xfId="0" applyFont="1" applyFill="1" applyBorder="1" applyAlignment="1">
      <alignment horizontal="center" vertical="center" wrapText="1"/>
    </xf>
    <xf numFmtId="0" fontId="10" fillId="4" borderId="39" xfId="0" applyFont="1" applyFill="1" applyBorder="1" applyAlignment="1">
      <alignment horizontal="center" vertical="center"/>
    </xf>
    <xf numFmtId="0" fontId="10" fillId="4" borderId="2" xfId="0" applyFont="1" applyFill="1" applyBorder="1" applyAlignment="1">
      <alignment horizontal="center" vertical="center"/>
    </xf>
    <xf numFmtId="0" fontId="28" fillId="4" borderId="2" xfId="0" applyFont="1" applyFill="1" applyBorder="1" applyAlignment="1">
      <alignment horizontal="center" vertical="center"/>
    </xf>
    <xf numFmtId="0" fontId="28" fillId="4" borderId="14" xfId="0" applyFont="1" applyFill="1" applyBorder="1" applyAlignment="1">
      <alignment horizontal="center" vertical="center" wrapText="1"/>
    </xf>
    <xf numFmtId="0" fontId="28" fillId="4" borderId="35" xfId="0" applyFont="1" applyFill="1" applyBorder="1" applyAlignment="1">
      <alignment horizontal="center" vertical="center" wrapText="1"/>
    </xf>
    <xf numFmtId="0" fontId="28" fillId="4" borderId="12" xfId="0" applyFont="1" applyFill="1" applyBorder="1" applyAlignment="1">
      <alignment horizontal="center" vertical="center" wrapText="1"/>
    </xf>
    <xf numFmtId="0" fontId="28" fillId="4" borderId="33" xfId="0" applyFont="1" applyFill="1" applyBorder="1" applyAlignment="1">
      <alignment horizontal="center" vertical="center" wrapText="1"/>
    </xf>
    <xf numFmtId="0" fontId="28" fillId="4" borderId="13" xfId="0" applyFont="1" applyFill="1" applyBorder="1" applyAlignment="1">
      <alignment horizontal="center" vertical="center" wrapText="1"/>
    </xf>
    <xf numFmtId="0" fontId="28" fillId="4" borderId="34"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5" fillId="4" borderId="30" xfId="0" applyFont="1" applyFill="1" applyBorder="1" applyAlignment="1">
      <alignment horizontal="center" vertical="center" wrapText="1"/>
    </xf>
    <xf numFmtId="0" fontId="5" fillId="4" borderId="32" xfId="0" applyFont="1" applyFill="1" applyBorder="1" applyAlignment="1">
      <alignment horizontal="center" vertical="center" wrapText="1"/>
    </xf>
    <xf numFmtId="0" fontId="28" fillId="4" borderId="31" xfId="0" applyFont="1" applyFill="1" applyBorder="1" applyAlignment="1">
      <alignment horizontal="center" vertical="center" wrapText="1"/>
    </xf>
    <xf numFmtId="0" fontId="28" fillId="4" borderId="30" xfId="0" applyFont="1" applyFill="1" applyBorder="1" applyAlignment="1">
      <alignment horizontal="center" vertical="center" wrapText="1"/>
    </xf>
    <xf numFmtId="0" fontId="28" fillId="4" borderId="140" xfId="0" applyFont="1" applyFill="1" applyBorder="1" applyAlignment="1">
      <alignment horizontal="center" vertical="center" wrapText="1"/>
    </xf>
    <xf numFmtId="0" fontId="6" fillId="0" borderId="81" xfId="0" applyFont="1" applyBorder="1" applyAlignment="1">
      <alignment horizontal="center" vertical="center" wrapText="1"/>
    </xf>
    <xf numFmtId="0" fontId="6" fillId="0" borderId="84" xfId="0" applyFont="1" applyBorder="1" applyAlignment="1">
      <alignment horizontal="center" vertical="center" wrapText="1"/>
    </xf>
    <xf numFmtId="0" fontId="5" fillId="0" borderId="85" xfId="0" applyFont="1" applyBorder="1" applyAlignment="1">
      <alignment horizontal="center" vertical="center" wrapText="1"/>
    </xf>
    <xf numFmtId="0" fontId="5" fillId="0" borderId="11" xfId="0" applyFont="1" applyBorder="1" applyAlignment="1">
      <alignment horizontal="center" vertical="center" wrapText="1"/>
    </xf>
    <xf numFmtId="0" fontId="10" fillId="0" borderId="2" xfId="0" applyFont="1" applyBorder="1" applyAlignment="1">
      <alignment horizontal="center"/>
    </xf>
    <xf numFmtId="0" fontId="56" fillId="0" borderId="142" xfId="0" applyFont="1" applyBorder="1" applyAlignment="1">
      <alignment horizontal="center" textRotation="90"/>
    </xf>
    <xf numFmtId="0" fontId="56" fillId="0" borderId="143" xfId="0" applyFont="1" applyBorder="1" applyAlignment="1">
      <alignment horizontal="center" textRotation="90"/>
    </xf>
    <xf numFmtId="0" fontId="4" fillId="0" borderId="6" xfId="0" applyFont="1" applyBorder="1" applyAlignment="1" applyProtection="1">
      <alignment horizontal="left" vertical="center" wrapText="1"/>
      <protection locked="0"/>
    </xf>
    <xf numFmtId="0" fontId="4" fillId="0" borderId="7"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protection locked="0"/>
    </xf>
    <xf numFmtId="0" fontId="53" fillId="4" borderId="0" xfId="0" applyFont="1" applyFill="1" applyAlignment="1">
      <alignment horizontal="left" vertical="center" wrapText="1"/>
    </xf>
    <xf numFmtId="0" fontId="5" fillId="4" borderId="0" xfId="0" applyFont="1" applyFill="1" applyAlignment="1">
      <alignment horizontal="left" vertical="top" wrapText="1"/>
    </xf>
    <xf numFmtId="0" fontId="5" fillId="4" borderId="10" xfId="0" applyFont="1" applyFill="1" applyBorder="1" applyAlignment="1">
      <alignment horizontal="left" vertical="top" wrapText="1"/>
    </xf>
    <xf numFmtId="0" fontId="5" fillId="4" borderId="19" xfId="0" applyFont="1" applyFill="1" applyBorder="1" applyAlignment="1">
      <alignment horizontal="left" vertical="top" wrapText="1"/>
    </xf>
    <xf numFmtId="0" fontId="5" fillId="4" borderId="50" xfId="0" applyFont="1" applyFill="1" applyBorder="1" applyAlignment="1">
      <alignment horizontal="left" vertical="top" wrapText="1"/>
    </xf>
    <xf numFmtId="0" fontId="4" fillId="4" borderId="152" xfId="0" applyFont="1" applyFill="1" applyBorder="1" applyAlignment="1">
      <alignment horizontal="center" vertical="center"/>
    </xf>
    <xf numFmtId="0" fontId="4" fillId="4" borderId="153" xfId="0" applyFont="1" applyFill="1" applyBorder="1" applyAlignment="1">
      <alignment horizontal="center" vertical="center"/>
    </xf>
    <xf numFmtId="0" fontId="27" fillId="0" borderId="34" xfId="0" applyFont="1" applyBorder="1" applyAlignment="1">
      <alignment horizontal="center" vertical="center" wrapText="1"/>
    </xf>
    <xf numFmtId="0" fontId="50" fillId="0" borderId="34" xfId="0" applyFont="1" applyBorder="1" applyAlignment="1">
      <alignment horizontal="center" vertical="center" wrapText="1"/>
    </xf>
    <xf numFmtId="0" fontId="41" fillId="4" borderId="15" xfId="0" applyFont="1" applyFill="1" applyBorder="1" applyAlignment="1">
      <alignment horizontal="left" vertical="top" wrapText="1"/>
    </xf>
    <xf numFmtId="0" fontId="41" fillId="4" borderId="16" xfId="0" applyFont="1" applyFill="1" applyBorder="1" applyAlignment="1">
      <alignment horizontal="left" vertical="top" wrapText="1"/>
    </xf>
    <xf numFmtId="0" fontId="41" fillId="4" borderId="9" xfId="0" applyFont="1" applyFill="1" applyBorder="1" applyAlignment="1">
      <alignment horizontal="left" vertical="top" wrapText="1"/>
    </xf>
    <xf numFmtId="0" fontId="41" fillId="4" borderId="0" xfId="0" applyFont="1" applyFill="1" applyAlignment="1">
      <alignment horizontal="left" vertical="top" wrapText="1"/>
    </xf>
    <xf numFmtId="0" fontId="41" fillId="4" borderId="18" xfId="0" applyFont="1" applyFill="1" applyBorder="1" applyAlignment="1">
      <alignment horizontal="left" vertical="top" wrapText="1"/>
    </xf>
    <xf numFmtId="0" fontId="41" fillId="4" borderId="19" xfId="0" applyFont="1" applyFill="1" applyBorder="1" applyAlignment="1">
      <alignment horizontal="left" vertical="top" wrapText="1"/>
    </xf>
    <xf numFmtId="0" fontId="50" fillId="0" borderId="57" xfId="0" applyFont="1" applyBorder="1" applyAlignment="1">
      <alignment horizontal="center" vertical="center" wrapText="1"/>
    </xf>
    <xf numFmtId="0" fontId="6" fillId="0" borderId="149" xfId="0" applyFont="1" applyBorder="1" applyAlignment="1">
      <alignment horizontal="center" vertical="center" wrapText="1"/>
    </xf>
    <xf numFmtId="0" fontId="6" fillId="0" borderId="150" xfId="0" applyFont="1" applyBorder="1" applyAlignment="1">
      <alignment horizontal="center" vertical="center" wrapText="1"/>
    </xf>
    <xf numFmtId="0" fontId="6" fillId="0" borderId="151"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2" xfId="0" applyFont="1" applyBorder="1" applyAlignment="1">
      <alignment horizontal="center" vertical="center" wrapText="1"/>
    </xf>
    <xf numFmtId="0" fontId="6" fillId="0" borderId="40" xfId="0" applyFont="1" applyBorder="1" applyAlignment="1">
      <alignment horizontal="center" vertical="center" wrapText="1"/>
    </xf>
    <xf numFmtId="0" fontId="5" fillId="0" borderId="3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82" xfId="0" applyFont="1" applyBorder="1" applyAlignment="1">
      <alignment horizontal="center" vertical="center" wrapText="1"/>
    </xf>
    <xf numFmtId="0" fontId="5" fillId="0" borderId="57" xfId="0" applyFont="1" applyBorder="1" applyAlignment="1">
      <alignment horizontal="center" vertical="center" wrapText="1"/>
    </xf>
    <xf numFmtId="0" fontId="5" fillId="0" borderId="79"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4"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112" xfId="0" applyFont="1" applyBorder="1" applyAlignment="1">
      <alignment horizontal="center" vertical="center" wrapText="1"/>
    </xf>
    <xf numFmtId="0" fontId="5" fillId="0" borderId="113" xfId="0" applyFont="1" applyBorder="1" applyAlignment="1">
      <alignment horizontal="center" vertical="center" wrapText="1"/>
    </xf>
    <xf numFmtId="0" fontId="5" fillId="0" borderId="114" xfId="0" applyFont="1" applyBorder="1" applyAlignment="1">
      <alignment horizontal="center" vertical="center" wrapText="1"/>
    </xf>
    <xf numFmtId="0" fontId="45" fillId="5" borderId="0" xfId="0" applyFont="1" applyFill="1" applyAlignment="1">
      <alignment horizontal="center" vertical="center"/>
    </xf>
    <xf numFmtId="0" fontId="4" fillId="0" borderId="6" xfId="0" applyFont="1" applyBorder="1" applyAlignment="1" applyProtection="1">
      <alignment horizontal="left" vertical="center"/>
      <protection locked="0"/>
    </xf>
    <xf numFmtId="0" fontId="4" fillId="0" borderId="7" xfId="0" applyFont="1" applyBorder="1" applyAlignment="1" applyProtection="1">
      <alignment horizontal="left" vertical="center"/>
      <protection locked="0"/>
    </xf>
    <xf numFmtId="0" fontId="4" fillId="0" borderId="8" xfId="0" applyFont="1" applyBorder="1" applyAlignment="1" applyProtection="1">
      <alignment horizontal="left" vertical="center"/>
      <protection locked="0"/>
    </xf>
    <xf numFmtId="0" fontId="4" fillId="0" borderId="6" xfId="0" applyFont="1" applyBorder="1" applyAlignment="1" applyProtection="1">
      <alignment horizontal="center" vertical="center"/>
      <protection locked="0"/>
    </xf>
    <xf numFmtId="0" fontId="4" fillId="0" borderId="8" xfId="0" applyFont="1" applyBorder="1" applyAlignment="1" applyProtection="1">
      <alignment horizontal="center" vertical="center"/>
      <protection locked="0"/>
    </xf>
    <xf numFmtId="0" fontId="41" fillId="0" borderId="0" xfId="0" applyFont="1" applyAlignment="1">
      <alignment horizontal="right" vertical="center"/>
    </xf>
    <xf numFmtId="0" fontId="8" fillId="0" borderId="0" xfId="0" applyFont="1" applyAlignment="1">
      <alignment horizontal="center" vertical="center"/>
    </xf>
    <xf numFmtId="0" fontId="6" fillId="0" borderId="26"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6" xfId="0" applyFont="1" applyBorder="1" applyAlignment="1">
      <alignment horizontal="center" vertical="center" wrapText="1"/>
    </xf>
    <xf numFmtId="0" fontId="6" fillId="0" borderId="4" xfId="0" applyFont="1" applyBorder="1" applyAlignment="1">
      <alignment horizontal="center" vertical="center" wrapText="1"/>
    </xf>
    <xf numFmtId="0" fontId="6" fillId="0" borderId="37" xfId="0" applyFont="1" applyBorder="1" applyAlignment="1">
      <alignment horizontal="center" vertical="center" wrapText="1"/>
    </xf>
    <xf numFmtId="0" fontId="10" fillId="0" borderId="0" xfId="0" applyFont="1" applyAlignment="1">
      <alignment horizontal="center" vertical="center"/>
    </xf>
    <xf numFmtId="0" fontId="27" fillId="0" borderId="33" xfId="0" applyFont="1" applyBorder="1" applyAlignment="1">
      <alignment horizontal="center" vertical="center"/>
    </xf>
    <xf numFmtId="0" fontId="27" fillId="0" borderId="34" xfId="0" applyFont="1" applyBorder="1" applyAlignment="1">
      <alignment horizontal="center" vertical="center"/>
    </xf>
    <xf numFmtId="0" fontId="5" fillId="4" borderId="16" xfId="0" applyFont="1" applyFill="1" applyBorder="1" applyAlignment="1">
      <alignment horizontal="left" vertical="top" wrapText="1"/>
    </xf>
    <xf numFmtId="0" fontId="5" fillId="4" borderId="17" xfId="0" applyFont="1" applyFill="1" applyBorder="1" applyAlignment="1">
      <alignment horizontal="left" vertical="top" wrapText="1"/>
    </xf>
    <xf numFmtId="1" fontId="8" fillId="0" borderId="0" xfId="0" applyNumberFormat="1" applyFont="1" applyAlignment="1">
      <alignment horizontal="left" vertical="top" wrapText="1"/>
    </xf>
    <xf numFmtId="0" fontId="56" fillId="0" borderId="144" xfId="0" applyFont="1" applyBorder="1" applyAlignment="1">
      <alignment horizontal="center" textRotation="90"/>
    </xf>
    <xf numFmtId="0" fontId="56" fillId="0" borderId="145" xfId="0" applyFont="1" applyBorder="1" applyAlignment="1">
      <alignment horizontal="center" textRotation="90"/>
    </xf>
    <xf numFmtId="0" fontId="56" fillId="0" borderId="146" xfId="0" applyFont="1" applyBorder="1" applyAlignment="1">
      <alignment horizontal="center" textRotation="90"/>
    </xf>
    <xf numFmtId="0" fontId="56" fillId="0" borderId="147" xfId="0" applyFont="1" applyBorder="1" applyAlignment="1">
      <alignment horizontal="center" textRotation="90"/>
    </xf>
    <xf numFmtId="0" fontId="8" fillId="0" borderId="148" xfId="0" applyFont="1" applyBorder="1" applyAlignment="1">
      <alignment horizontal="center"/>
    </xf>
    <xf numFmtId="0" fontId="8" fillId="0" borderId="58" xfId="0" applyFont="1" applyBorder="1" applyAlignment="1">
      <alignment horizontal="center"/>
    </xf>
    <xf numFmtId="0" fontId="8" fillId="0" borderId="18" xfId="0" applyFont="1" applyBorder="1" applyAlignment="1">
      <alignment horizontal="center"/>
    </xf>
    <xf numFmtId="0" fontId="8" fillId="0" borderId="21" xfId="0" applyFont="1" applyBorder="1" applyAlignment="1">
      <alignment horizontal="center"/>
    </xf>
    <xf numFmtId="0" fontId="8" fillId="0" borderId="14" xfId="0" applyFont="1" applyBorder="1" applyAlignment="1">
      <alignment horizontal="center" textRotation="90"/>
    </xf>
    <xf numFmtId="0" fontId="8" fillId="0" borderId="24" xfId="0" applyFont="1" applyBorder="1" applyAlignment="1">
      <alignment horizontal="center" textRotation="90"/>
    </xf>
    <xf numFmtId="0" fontId="28" fillId="4" borderId="15" xfId="0" applyFont="1" applyFill="1" applyBorder="1" applyAlignment="1">
      <alignment horizontal="center" vertical="center" wrapText="1"/>
    </xf>
    <xf numFmtId="0" fontId="28" fillId="4" borderId="16" xfId="0" applyFont="1" applyFill="1" applyBorder="1" applyAlignment="1">
      <alignment horizontal="center" vertical="center" wrapText="1"/>
    </xf>
    <xf numFmtId="0" fontId="28" fillId="4" borderId="17" xfId="0" applyFont="1" applyFill="1" applyBorder="1" applyAlignment="1">
      <alignment horizontal="center" vertical="center" wrapText="1"/>
    </xf>
    <xf numFmtId="0" fontId="28" fillId="4" borderId="29" xfId="0" applyFont="1" applyFill="1" applyBorder="1" applyAlignment="1">
      <alignment horizontal="center" vertical="center" wrapText="1"/>
    </xf>
    <xf numFmtId="0" fontId="10" fillId="4" borderId="40" xfId="0" applyFont="1" applyFill="1" applyBorder="1" applyAlignment="1">
      <alignment horizontal="center" vertical="center"/>
    </xf>
    <xf numFmtId="0" fontId="5" fillId="0" borderId="0" xfId="0" applyFont="1" applyAlignment="1" applyProtection="1">
      <alignment horizontal="left" vertical="top" wrapText="1"/>
      <protection locked="0"/>
    </xf>
    <xf numFmtId="0" fontId="4" fillId="0" borderId="15" xfId="0" applyFont="1" applyBorder="1" applyAlignment="1">
      <alignment horizontal="center" vertical="center" wrapText="1"/>
    </xf>
    <xf numFmtId="0" fontId="4" fillId="0" borderId="148"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61" xfId="0" applyFont="1" applyBorder="1" applyAlignment="1">
      <alignment horizontal="center" vertical="center" wrapText="1"/>
    </xf>
    <xf numFmtId="0" fontId="4" fillId="0" borderId="17" xfId="0" applyFont="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lignment horizontal="center" vertical="center" textRotation="90" wrapText="1"/>
    </xf>
    <xf numFmtId="0" fontId="5" fillId="0" borderId="0" xfId="0" applyFont="1" applyAlignment="1" applyProtection="1">
      <alignment vertical="top" wrapText="1"/>
      <protection locked="0"/>
    </xf>
    <xf numFmtId="2" fontId="5" fillId="3" borderId="4" xfId="0" applyNumberFormat="1" applyFont="1" applyFill="1" applyBorder="1" applyAlignment="1">
      <alignment horizontal="center" vertical="center" wrapText="1"/>
    </xf>
    <xf numFmtId="2" fontId="5" fillId="3" borderId="38" xfId="0" applyNumberFormat="1" applyFont="1" applyFill="1" applyBorder="1" applyAlignment="1">
      <alignment horizontal="center" vertical="center" wrapText="1"/>
    </xf>
    <xf numFmtId="0" fontId="14" fillId="0" borderId="0" xfId="0" applyFont="1" applyAlignment="1">
      <alignment horizontal="center" vertical="center" textRotation="90" wrapText="1"/>
    </xf>
    <xf numFmtId="0" fontId="51" fillId="0" borderId="141" xfId="0" applyFont="1" applyBorder="1" applyAlignment="1">
      <alignment horizontal="left" vertical="center" wrapText="1"/>
    </xf>
    <xf numFmtId="0" fontId="51" fillId="0" borderId="0" xfId="0" applyFont="1" applyAlignment="1">
      <alignment horizontal="left" vertical="center" wrapText="1"/>
    </xf>
  </cellXfs>
  <cellStyles count="1">
    <cellStyle name="Normal" xfId="0" builtinId="0"/>
  </cellStyles>
  <dxfs count="24">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manualLayout>
          <c:layoutTarget val="inner"/>
          <c:xMode val="edge"/>
          <c:yMode val="edge"/>
          <c:x val="3.4408606666956311E-2"/>
          <c:y val="4.3402906553627107E-2"/>
          <c:w val="0.76129042250641121"/>
          <c:h val="0.74479387646024142"/>
        </c:manualLayout>
      </c:layout>
      <c:lineChart>
        <c:grouping val="standard"/>
        <c:varyColors val="0"/>
        <c:ser>
          <c:idx val="9"/>
          <c:order val="0"/>
          <c:tx>
            <c:strRef>
              <c:f>Gesamtübersicht!$BA$45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Gesamtübersicht!$BA$47:$BA$71</c:f>
            </c:numRef>
          </c:val>
          <c:smooth val="1"/>
          <c:extLst>
            <c:ext xmlns:c16="http://schemas.microsoft.com/office/drawing/2014/chart" uri="{C3380CC4-5D6E-409C-BE32-E72D297353CC}">
              <c16:uniqueId val="{00000000-3F1A-4255-A016-FC71CB9FDA42}"/>
            </c:ext>
          </c:extLst>
        </c:ser>
        <c:ser>
          <c:idx val="8"/>
          <c:order val="1"/>
          <c:tx>
            <c:strRef>
              <c:f>Gesamtübersicht!$AZ$45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Gesamtübersicht!$AZ$47:$AZ$71</c:f>
            </c:numRef>
          </c:val>
          <c:smooth val="1"/>
          <c:extLst>
            <c:ext xmlns:c16="http://schemas.microsoft.com/office/drawing/2014/chart" uri="{C3380CC4-5D6E-409C-BE32-E72D297353CC}">
              <c16:uniqueId val="{00000001-3F1A-4255-A016-FC71CB9FDA42}"/>
            </c:ext>
          </c:extLst>
        </c:ser>
        <c:ser>
          <c:idx val="7"/>
          <c:order val="2"/>
          <c:tx>
            <c:strRef>
              <c:f>Gesamtübersicht!$AY$45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Gesamtübersicht!$AY$47:$AY$71</c:f>
            </c:numRef>
          </c:val>
          <c:smooth val="1"/>
          <c:extLst>
            <c:ext xmlns:c16="http://schemas.microsoft.com/office/drawing/2014/chart" uri="{C3380CC4-5D6E-409C-BE32-E72D297353CC}">
              <c16:uniqueId val="{00000002-3F1A-4255-A016-FC71CB9FDA42}"/>
            </c:ext>
          </c:extLst>
        </c:ser>
        <c:ser>
          <c:idx val="6"/>
          <c:order val="3"/>
          <c:tx>
            <c:strRef>
              <c:f>Gesamtübersicht!$AX$45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Gesamtübersicht!$AX$47:$AX$71</c:f>
            </c:numRef>
          </c:val>
          <c:smooth val="1"/>
          <c:extLst>
            <c:ext xmlns:c16="http://schemas.microsoft.com/office/drawing/2014/chart" uri="{C3380CC4-5D6E-409C-BE32-E72D297353CC}">
              <c16:uniqueId val="{00000003-3F1A-4255-A016-FC71CB9FDA42}"/>
            </c:ext>
          </c:extLst>
        </c:ser>
        <c:ser>
          <c:idx val="5"/>
          <c:order val="4"/>
          <c:tx>
            <c:strRef>
              <c:f>Gesamtübersicht!$AW$45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Gesamtübersicht!$AW$47:$AW$71</c:f>
            </c:numRef>
          </c:val>
          <c:smooth val="1"/>
          <c:extLst>
            <c:ext xmlns:c16="http://schemas.microsoft.com/office/drawing/2014/chart" uri="{C3380CC4-5D6E-409C-BE32-E72D297353CC}">
              <c16:uniqueId val="{00000004-3F1A-4255-A016-FC71CB9FDA42}"/>
            </c:ext>
          </c:extLst>
        </c:ser>
        <c:ser>
          <c:idx val="4"/>
          <c:order val="5"/>
          <c:tx>
            <c:strRef>
              <c:f>Gesamtübersicht!$AV$45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Gesamtübersicht!$AV$47:$AV$71</c:f>
            </c:numRef>
          </c:val>
          <c:smooth val="1"/>
          <c:extLst>
            <c:ext xmlns:c16="http://schemas.microsoft.com/office/drawing/2014/chart" uri="{C3380CC4-5D6E-409C-BE32-E72D297353CC}">
              <c16:uniqueId val="{00000005-3F1A-4255-A016-FC71CB9FDA42}"/>
            </c:ext>
          </c:extLst>
        </c:ser>
        <c:ser>
          <c:idx val="3"/>
          <c:order val="6"/>
          <c:tx>
            <c:strRef>
              <c:f>Gesamtübersicht!$AU$45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Gesamtübersicht!$AU$47:$AU$71</c:f>
            </c:numRef>
          </c:val>
          <c:smooth val="1"/>
          <c:extLst>
            <c:ext xmlns:c16="http://schemas.microsoft.com/office/drawing/2014/chart" uri="{C3380CC4-5D6E-409C-BE32-E72D297353CC}">
              <c16:uniqueId val="{00000006-3F1A-4255-A016-FC71CB9FDA42}"/>
            </c:ext>
          </c:extLst>
        </c:ser>
        <c:ser>
          <c:idx val="2"/>
          <c:order val="7"/>
          <c:tx>
            <c:strRef>
              <c:f>Gesamtübersicht!$AT$45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Gesamtübersicht!$AT$47:$AT$71</c:f>
            </c:numRef>
          </c:val>
          <c:smooth val="1"/>
          <c:extLst>
            <c:ext xmlns:c16="http://schemas.microsoft.com/office/drawing/2014/chart" uri="{C3380CC4-5D6E-409C-BE32-E72D297353CC}">
              <c16:uniqueId val="{00000007-3F1A-4255-A016-FC71CB9FDA42}"/>
            </c:ext>
          </c:extLst>
        </c:ser>
        <c:ser>
          <c:idx val="0"/>
          <c:order val="8"/>
          <c:tx>
            <c:strRef>
              <c:f>Gesamtübersicht!$AS$45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Gesamtübersicht!$AS$47:$AS$71</c:f>
            </c:numRef>
          </c:val>
          <c:smooth val="1"/>
          <c:extLst>
            <c:ext xmlns:c16="http://schemas.microsoft.com/office/drawing/2014/chart" uri="{C3380CC4-5D6E-409C-BE32-E72D297353CC}">
              <c16:uniqueId val="{00000008-3F1A-4255-A016-FC71CB9FDA42}"/>
            </c:ext>
          </c:extLst>
        </c:ser>
        <c:ser>
          <c:idx val="1"/>
          <c:order val="9"/>
          <c:tx>
            <c:strRef>
              <c:f>Gesamtübersicht!$AR$45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Gesamtübersicht!$AR$47:$AR$71</c:f>
            </c:numRef>
          </c:val>
          <c:smooth val="1"/>
          <c:extLst>
            <c:ext xmlns:c16="http://schemas.microsoft.com/office/drawing/2014/chart" uri="{C3380CC4-5D6E-409C-BE32-E72D297353CC}">
              <c16:uniqueId val="{00000009-3F1A-4255-A016-FC71CB9FDA42}"/>
            </c:ext>
          </c:extLst>
        </c:ser>
        <c:ser>
          <c:idx val="10"/>
          <c:order val="10"/>
          <c:tx>
            <c:strRef>
              <c:f>Gesamtübersicht!$BB$43</c:f>
              <c:strCache>
                <c:ptCount val="1"/>
                <c:pt idx="0">
                  <c:v>SUMME d. Nutzungen</c:v>
                </c:pt>
              </c:strCache>
            </c:strRef>
          </c:tx>
          <c:spPr>
            <a:ln w="38100">
              <a:solidFill>
                <a:srgbClr val="008000"/>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Gesamtübersicht!$BB$47:$BB$71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3F1A-4255-A016-FC71CB9FDA42}"/>
            </c:ext>
          </c:extLst>
        </c:ser>
        <c:dLbls>
          <c:showLegendKey val="0"/>
          <c:showVal val="0"/>
          <c:showCatName val="0"/>
          <c:showSerName val="0"/>
          <c:showPercent val="0"/>
          <c:showBubbleSize val="0"/>
        </c:dLbls>
        <c:smooth val="0"/>
        <c:axId val="310893096"/>
        <c:axId val="310895056"/>
      </c:lineChart>
      <c:catAx>
        <c:axId val="310893096"/>
        <c:scaling>
          <c:orientation val="minMax"/>
        </c:scaling>
        <c:delete val="0"/>
        <c:axPos val="b"/>
        <c:numFmt formatCode="General" sourceLinked="1"/>
        <c:majorTickMark val="out"/>
        <c:minorTickMark val="none"/>
        <c:tickLblPos val="nextTo"/>
        <c:txPr>
          <a:bodyPr rot="-5400000" vert="horz"/>
          <a:lstStyle/>
          <a:p>
            <a:pPr>
              <a:defRPr/>
            </a:pPr>
            <a:endParaRPr lang="en-DE"/>
          </a:p>
        </c:txPr>
        <c:crossAx val="310895056"/>
        <c:crossesAt val="0"/>
        <c:auto val="1"/>
        <c:lblAlgn val="ctr"/>
        <c:lblOffset val="100"/>
        <c:tickLblSkip val="1"/>
        <c:noMultiLvlLbl val="0"/>
      </c:catAx>
      <c:valAx>
        <c:axId val="310895056"/>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310893096"/>
        <c:crosses val="autoZero"/>
        <c:crossBetween val="between"/>
      </c:valAx>
      <c:spPr>
        <a:ln w="3175">
          <a:solidFill>
            <a:schemeClr val="tx1"/>
          </a:solidFill>
        </a:ln>
      </c:spPr>
    </c:plotArea>
    <c:legend>
      <c:legendPos val="r"/>
      <c:layout>
        <c:manualLayout>
          <c:xMode val="edge"/>
          <c:yMode val="edge"/>
          <c:x val="0.81666677386104058"/>
          <c:y val="0.10937532451514002"/>
          <c:w val="0.17365593677229574"/>
          <c:h val="0.61458515679935788"/>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manualLayout>
          <c:layoutTarget val="inner"/>
          <c:xMode val="edge"/>
          <c:yMode val="edge"/>
          <c:x val="3.4408606666956311E-2"/>
          <c:y val="4.6413561874662473E-2"/>
          <c:w val="0.76290332594392152"/>
          <c:h val="0.92194211541943183"/>
        </c:manualLayout>
      </c:layout>
      <c:lineChart>
        <c:grouping val="standard"/>
        <c:varyColors val="0"/>
        <c:ser>
          <c:idx val="9"/>
          <c:order val="0"/>
          <c:tx>
            <c:strRef>
              <c:f>Gesamtübersicht!$AO$45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Gesamtübersicht!$AO$47:$AO$71</c:f>
            </c:numRef>
          </c:val>
          <c:smooth val="1"/>
          <c:extLst>
            <c:ext xmlns:c16="http://schemas.microsoft.com/office/drawing/2014/chart" uri="{C3380CC4-5D6E-409C-BE32-E72D297353CC}">
              <c16:uniqueId val="{00000000-F53F-4552-AAF7-7A83F6DCA234}"/>
            </c:ext>
          </c:extLst>
        </c:ser>
        <c:ser>
          <c:idx val="8"/>
          <c:order val="1"/>
          <c:tx>
            <c:strRef>
              <c:f>Gesamtübersicht!$AN$45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Gesamtübersicht!$AN$47:$AN$71</c:f>
            </c:numRef>
          </c:val>
          <c:smooth val="1"/>
          <c:extLst>
            <c:ext xmlns:c16="http://schemas.microsoft.com/office/drawing/2014/chart" uri="{C3380CC4-5D6E-409C-BE32-E72D297353CC}">
              <c16:uniqueId val="{00000001-F53F-4552-AAF7-7A83F6DCA234}"/>
            </c:ext>
          </c:extLst>
        </c:ser>
        <c:ser>
          <c:idx val="7"/>
          <c:order val="2"/>
          <c:tx>
            <c:strRef>
              <c:f>Gesamtübersicht!$AM$45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Gesamtübersicht!$AM$47:$AM$71</c:f>
            </c:numRef>
          </c:val>
          <c:smooth val="1"/>
          <c:extLst>
            <c:ext xmlns:c16="http://schemas.microsoft.com/office/drawing/2014/chart" uri="{C3380CC4-5D6E-409C-BE32-E72D297353CC}">
              <c16:uniqueId val="{00000002-F53F-4552-AAF7-7A83F6DCA234}"/>
            </c:ext>
          </c:extLst>
        </c:ser>
        <c:ser>
          <c:idx val="6"/>
          <c:order val="3"/>
          <c:tx>
            <c:strRef>
              <c:f>Gesamtübersicht!$AL$45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Gesamtübersicht!$AL$47:$AL$71</c:f>
            </c:numRef>
          </c:val>
          <c:smooth val="1"/>
          <c:extLst>
            <c:ext xmlns:c16="http://schemas.microsoft.com/office/drawing/2014/chart" uri="{C3380CC4-5D6E-409C-BE32-E72D297353CC}">
              <c16:uniqueId val="{00000003-F53F-4552-AAF7-7A83F6DCA234}"/>
            </c:ext>
          </c:extLst>
        </c:ser>
        <c:ser>
          <c:idx val="5"/>
          <c:order val="4"/>
          <c:tx>
            <c:strRef>
              <c:f>Gesamtübersicht!$AK$45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Gesamtübersicht!$AK$47:$AK$71</c:f>
            </c:numRef>
          </c:val>
          <c:smooth val="1"/>
          <c:extLst>
            <c:ext xmlns:c16="http://schemas.microsoft.com/office/drawing/2014/chart" uri="{C3380CC4-5D6E-409C-BE32-E72D297353CC}">
              <c16:uniqueId val="{00000004-F53F-4552-AAF7-7A83F6DCA234}"/>
            </c:ext>
          </c:extLst>
        </c:ser>
        <c:ser>
          <c:idx val="4"/>
          <c:order val="5"/>
          <c:tx>
            <c:strRef>
              <c:f>Gesamtübersicht!$AJ$45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Gesamtübersicht!$AJ$47:$AJ$71</c:f>
            </c:numRef>
          </c:val>
          <c:smooth val="1"/>
          <c:extLst>
            <c:ext xmlns:c16="http://schemas.microsoft.com/office/drawing/2014/chart" uri="{C3380CC4-5D6E-409C-BE32-E72D297353CC}">
              <c16:uniqueId val="{00000005-F53F-4552-AAF7-7A83F6DCA234}"/>
            </c:ext>
          </c:extLst>
        </c:ser>
        <c:ser>
          <c:idx val="3"/>
          <c:order val="6"/>
          <c:tx>
            <c:strRef>
              <c:f>Gesamtübersicht!$AI$45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Gesamtübersicht!$AI$47:$AI$71</c:f>
            </c:numRef>
          </c:val>
          <c:smooth val="1"/>
          <c:extLst>
            <c:ext xmlns:c16="http://schemas.microsoft.com/office/drawing/2014/chart" uri="{C3380CC4-5D6E-409C-BE32-E72D297353CC}">
              <c16:uniqueId val="{00000006-F53F-4552-AAF7-7A83F6DCA234}"/>
            </c:ext>
          </c:extLst>
        </c:ser>
        <c:ser>
          <c:idx val="2"/>
          <c:order val="7"/>
          <c:tx>
            <c:strRef>
              <c:f>Gesamtübersicht!$AH$45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Gesamtübersicht!$AH$47:$AH$71</c:f>
            </c:numRef>
          </c:val>
          <c:smooth val="1"/>
          <c:extLst>
            <c:ext xmlns:c16="http://schemas.microsoft.com/office/drawing/2014/chart" uri="{C3380CC4-5D6E-409C-BE32-E72D297353CC}">
              <c16:uniqueId val="{00000007-F53F-4552-AAF7-7A83F6DCA234}"/>
            </c:ext>
          </c:extLst>
        </c:ser>
        <c:ser>
          <c:idx val="1"/>
          <c:order val="8"/>
          <c:tx>
            <c:strRef>
              <c:f>Gesamtübersicht!$AG$45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Gesamtübersicht!$AG$47:$AG$71</c:f>
            </c:numRef>
          </c:val>
          <c:smooth val="1"/>
          <c:extLst>
            <c:ext xmlns:c16="http://schemas.microsoft.com/office/drawing/2014/chart" uri="{C3380CC4-5D6E-409C-BE32-E72D297353CC}">
              <c16:uniqueId val="{00000008-F53F-4552-AAF7-7A83F6DCA234}"/>
            </c:ext>
          </c:extLst>
        </c:ser>
        <c:ser>
          <c:idx val="0"/>
          <c:order val="9"/>
          <c:tx>
            <c:strRef>
              <c:f>Gesamtübersicht!$AF$45</c:f>
              <c:strCache>
                <c:ptCount val="1"/>
                <c:pt idx="0">
                  <c:v>#REF!</c:v>
                </c:pt>
              </c:strCache>
            </c:strRef>
          </c:tx>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Gesamtübersicht!$AF$47:$AF$71</c:f>
            </c:numRef>
          </c:val>
          <c:smooth val="1"/>
          <c:extLst>
            <c:ext xmlns:c16="http://schemas.microsoft.com/office/drawing/2014/chart" uri="{C3380CC4-5D6E-409C-BE32-E72D297353CC}">
              <c16:uniqueId val="{00000009-F53F-4552-AAF7-7A83F6DCA234}"/>
            </c:ext>
          </c:extLst>
        </c:ser>
        <c:ser>
          <c:idx val="10"/>
          <c:order val="10"/>
          <c:tx>
            <c:strRef>
              <c:f>Gesamtübersicht!$AP$43</c:f>
              <c:strCache>
                <c:ptCount val="1"/>
                <c:pt idx="0">
                  <c:v>SUMME d. Nutzungen</c:v>
                </c:pt>
              </c:strCache>
            </c:strRef>
          </c:tx>
          <c:spPr>
            <a:ln w="38100">
              <a:solidFill>
                <a:srgbClr val="0000FF"/>
              </a:solidFill>
              <a:prstDash val="solid"/>
            </a:ln>
          </c:spPr>
          <c:marker>
            <c:symbol val="none"/>
          </c:marker>
          <c:cat>
            <c:strRef>
              <c:f>Gesamtübersicht!$AD$47:$AD$71</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Gesamtübersicht!$AP$47:$AP$71</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A-F53F-4552-AAF7-7A83F6DCA234}"/>
            </c:ext>
          </c:extLst>
        </c:ser>
        <c:dLbls>
          <c:showLegendKey val="0"/>
          <c:showVal val="0"/>
          <c:showCatName val="0"/>
          <c:showSerName val="0"/>
          <c:showPercent val="0"/>
          <c:showBubbleSize val="0"/>
        </c:dLbls>
        <c:smooth val="0"/>
        <c:axId val="420356544"/>
        <c:axId val="420358112"/>
      </c:lineChart>
      <c:catAx>
        <c:axId val="420356544"/>
        <c:scaling>
          <c:orientation val="minMax"/>
        </c:scaling>
        <c:delete val="1"/>
        <c:axPos val="t"/>
        <c:numFmt formatCode="General" sourceLinked="0"/>
        <c:majorTickMark val="out"/>
        <c:minorTickMark val="none"/>
        <c:tickLblPos val="none"/>
        <c:crossAx val="420358112"/>
        <c:crosses val="autoZero"/>
        <c:auto val="1"/>
        <c:lblAlgn val="ctr"/>
        <c:lblOffset val="100"/>
        <c:noMultiLvlLbl val="0"/>
      </c:catAx>
      <c:valAx>
        <c:axId val="420358112"/>
        <c:scaling>
          <c:orientation val="maxMin"/>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420356544"/>
        <c:crosses val="autoZero"/>
        <c:crossBetween val="between"/>
      </c:valAx>
      <c:spPr>
        <a:ln w="3175">
          <a:solidFill>
            <a:schemeClr val="tx1"/>
          </a:solidFill>
        </a:ln>
      </c:spPr>
    </c:plotArea>
    <c:legend>
      <c:legendPos val="r"/>
      <c:layout>
        <c:manualLayout>
          <c:xMode val="edge"/>
          <c:yMode val="edge"/>
          <c:x val="0.81612913938186993"/>
          <c:y val="0.12658244147635256"/>
          <c:w val="0.17365593677229574"/>
          <c:h val="0.75738494150017543"/>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2.6162811586717495E-2"/>
          <c:y val="2.748691099476451E-2"/>
          <c:w val="0.96947751824114292"/>
          <c:h val="0.74607329842932102"/>
        </c:manualLayout>
      </c:layout>
      <c:lineChart>
        <c:grouping val="standard"/>
        <c:varyColors val="0"/>
        <c:ser>
          <c:idx val="10"/>
          <c:order val="0"/>
          <c:tx>
            <c:strRef>
              <c:f>Gesamtübersicht!$CK$8</c:f>
              <c:strCache>
                <c:ptCount val="1"/>
                <c:pt idx="0">
                  <c:v>SUMME Besucherverkehr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Gesamtübersicht!$CK$12:$CK$36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627-47CE-8EF7-ABCBF7DCF9C0}"/>
            </c:ext>
          </c:extLst>
        </c:ser>
        <c:ser>
          <c:idx val="1"/>
          <c:order val="1"/>
          <c:tx>
            <c:strRef>
              <c:f>Gesamtübersicht!$CL$8</c:f>
              <c:strCache>
                <c:ptCount val="1"/>
                <c:pt idx="0">
                  <c:v>SUMME Bewohnerverkehr</c:v>
                </c:pt>
              </c:strCache>
            </c:strRef>
          </c:tx>
          <c:spPr>
            <a:ln w="12700">
              <a:solidFill>
                <a:srgbClr val="808080"/>
              </a:solidFill>
              <a:prstDash val="lgDash"/>
            </a:ln>
          </c:spPr>
          <c:marker>
            <c:symbol val="diamond"/>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Gesamtübersicht!$CL$12:$CL$36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627-47CE-8EF7-ABCBF7DCF9C0}"/>
            </c:ext>
          </c:extLst>
        </c:ser>
        <c:ser>
          <c:idx val="0"/>
          <c:order val="2"/>
          <c:tx>
            <c:strRef>
              <c:f>Gesamtübersicht!$CM$8</c:f>
              <c:strCache>
                <c:ptCount val="1"/>
                <c:pt idx="0">
                  <c:v>SUMME 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Gesamtübersicht!$CM$12:$CM$36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D627-47CE-8EF7-ABCBF7DCF9C0}"/>
            </c:ext>
          </c:extLst>
        </c:ser>
        <c:ser>
          <c:idx val="2"/>
          <c:order val="3"/>
          <c:tx>
            <c:strRef>
              <c:f>Gesamtübersicht!$CN$8</c:f>
              <c:strCache>
                <c:ptCount val="1"/>
                <c:pt idx="0">
                  <c:v>GESAMTSUMME</c:v>
                </c:pt>
              </c:strCache>
            </c:strRef>
          </c:tx>
          <c:spPr>
            <a:ln w="38100">
              <a:solidFill>
                <a:schemeClr val="tx1"/>
              </a:solidFill>
            </a:ln>
          </c:spPr>
          <c:marker>
            <c:symbol val="none"/>
          </c:marker>
          <c:cat>
            <c:strRef>
              <c:f>Gesamtübersicht!$AD$12:$AD$36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Gesamtübersicht!$CN$12:$CN$36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D627-47CE-8EF7-ABCBF7DCF9C0}"/>
            </c:ext>
          </c:extLst>
        </c:ser>
        <c:dLbls>
          <c:showLegendKey val="0"/>
          <c:showVal val="0"/>
          <c:showCatName val="0"/>
          <c:showSerName val="0"/>
          <c:showPercent val="0"/>
          <c:showBubbleSize val="0"/>
        </c:dLbls>
        <c:marker val="1"/>
        <c:smooth val="0"/>
        <c:axId val="420355368"/>
        <c:axId val="420354192"/>
      </c:lineChart>
      <c:catAx>
        <c:axId val="420355368"/>
        <c:scaling>
          <c:orientation val="minMax"/>
        </c:scaling>
        <c:delete val="0"/>
        <c:axPos val="b"/>
        <c:numFmt formatCode="General" sourceLinked="1"/>
        <c:majorTickMark val="out"/>
        <c:minorTickMark val="none"/>
        <c:tickLblPos val="nextTo"/>
        <c:txPr>
          <a:bodyPr rot="-5400000" vert="horz"/>
          <a:lstStyle/>
          <a:p>
            <a:pPr>
              <a:defRPr/>
            </a:pPr>
            <a:endParaRPr lang="en-DE"/>
          </a:p>
        </c:txPr>
        <c:crossAx val="420354192"/>
        <c:crossesAt val="0"/>
        <c:auto val="1"/>
        <c:lblAlgn val="ctr"/>
        <c:lblOffset val="100"/>
        <c:tickLblSkip val="1"/>
        <c:noMultiLvlLbl val="0"/>
      </c:catAx>
      <c:valAx>
        <c:axId val="420354192"/>
        <c:scaling>
          <c:orientation val="minMax"/>
          <c:min val="0"/>
        </c:scaling>
        <c:delete val="0"/>
        <c:axPos val="l"/>
        <c:majorGridlines/>
        <c:numFmt formatCode="#,##0_);\(#,##0\)" sourceLinked="0"/>
        <c:majorTickMark val="out"/>
        <c:minorTickMark val="none"/>
        <c:tickLblPos val="nextTo"/>
        <c:txPr>
          <a:bodyPr rot="0" vert="horz"/>
          <a:lstStyle/>
          <a:p>
            <a:pPr>
              <a:defRPr sz="1200" b="1" i="0" u="none" strike="noStrike" baseline="0">
                <a:solidFill>
                  <a:srgbClr val="000000"/>
                </a:solidFill>
                <a:latin typeface="Arial"/>
                <a:ea typeface="Arial"/>
                <a:cs typeface="Arial"/>
              </a:defRPr>
            </a:pPr>
            <a:endParaRPr lang="en-DE"/>
          </a:p>
        </c:txPr>
        <c:crossAx val="420355368"/>
        <c:crosses val="autoZero"/>
        <c:crossBetween val="between"/>
      </c:valAx>
      <c:spPr>
        <a:ln w="3175">
          <a:solidFill>
            <a:schemeClr val="tx1"/>
          </a:solidFill>
        </a:ln>
      </c:spPr>
    </c:plotArea>
    <c:legend>
      <c:legendPos val="b"/>
      <c:layout>
        <c:manualLayout>
          <c:xMode val="edge"/>
          <c:yMode val="edge"/>
          <c:x val="3.8517472613778546E-2"/>
          <c:y val="0.94633507853403165"/>
          <c:w val="0.9469484304859157"/>
          <c:h val="4.05759162303665E-2"/>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ln>
      <a:noFill/>
    </a:ln>
  </c:spPr>
  <c:txPr>
    <a:bodyPr/>
    <a:lstStyle/>
    <a:p>
      <a:pPr>
        <a:defRPr>
          <a:latin typeface="Arial" pitchFamily="34" charset="0"/>
          <a:cs typeface="Arial" pitchFamily="34" charset="0"/>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'!$AY$22:$AY$46</c:f>
              <c:numCache>
                <c:formatCode>0</c:formatCode>
                <c:ptCount val="25"/>
                <c:pt idx="0">
                  <c:v>0</c:v>
                </c:pt>
                <c:pt idx="1">
                  <c:v>0</c:v>
                </c:pt>
                <c:pt idx="2">
                  <c:v>0</c:v>
                </c:pt>
                <c:pt idx="3">
                  <c:v>0</c:v>
                </c:pt>
                <c:pt idx="4">
                  <c:v>0</c:v>
                </c:pt>
                <c:pt idx="5">
                  <c:v>0</c:v>
                </c:pt>
                <c:pt idx="6">
                  <c:v>0</c:v>
                </c:pt>
                <c:pt idx="7">
                  <c:v>0</c:v>
                </c:pt>
                <c:pt idx="8">
                  <c:v>0</c:v>
                </c:pt>
                <c:pt idx="9">
                  <c:v>6.8250000000000005E-2</c:v>
                </c:pt>
                <c:pt idx="10">
                  <c:v>0.10530000000000003</c:v>
                </c:pt>
                <c:pt idx="11">
                  <c:v>0.1482</c:v>
                </c:pt>
                <c:pt idx="12">
                  <c:v>0.16769999999999996</c:v>
                </c:pt>
                <c:pt idx="13">
                  <c:v>0.16964999999999997</c:v>
                </c:pt>
                <c:pt idx="14">
                  <c:v>0.11505000000000001</c:v>
                </c:pt>
                <c:pt idx="15">
                  <c:v>0.11699999999999999</c:v>
                </c:pt>
                <c:pt idx="16">
                  <c:v>0.11505000000000001</c:v>
                </c:pt>
                <c:pt idx="17">
                  <c:v>0.1638</c:v>
                </c:pt>
                <c:pt idx="18">
                  <c:v>0.20669999999999999</c:v>
                </c:pt>
                <c:pt idx="19">
                  <c:v>0.26519999999999999</c:v>
                </c:pt>
                <c:pt idx="20">
                  <c:v>0.24569999999999997</c:v>
                </c:pt>
                <c:pt idx="21">
                  <c:v>6.2400000000000011E-2</c:v>
                </c:pt>
                <c:pt idx="22">
                  <c:v>0</c:v>
                </c:pt>
                <c:pt idx="23">
                  <c:v>0</c:v>
                </c:pt>
                <c:pt idx="24">
                  <c:v>0</c:v>
                </c:pt>
              </c:numCache>
            </c:numRef>
          </c:val>
          <c:smooth val="1"/>
          <c:extLst>
            <c:ext xmlns:c16="http://schemas.microsoft.com/office/drawing/2014/chart" uri="{C3380CC4-5D6E-409C-BE32-E72D297353CC}">
              <c16:uniqueId val="{00000000-E078-4132-94D4-90B22B3487E7}"/>
            </c:ext>
          </c:extLst>
        </c:ser>
        <c:ser>
          <c:idx val="2"/>
          <c:order val="1"/>
          <c:tx>
            <c:strRef>
              <c:f>'großfl. Einzelhandel '!$AG$20:$AH$20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'!$BB$22:$BB$46</c:f>
              <c:numCache>
                <c:formatCode>0</c:formatCode>
                <c:ptCount val="25"/>
                <c:pt idx="0">
                  <c:v>0.13</c:v>
                </c:pt>
                <c:pt idx="1">
                  <c:v>0</c:v>
                </c:pt>
                <c:pt idx="2">
                  <c:v>0</c:v>
                </c:pt>
                <c:pt idx="3">
                  <c:v>0</c:v>
                </c:pt>
                <c:pt idx="4">
                  <c:v>0</c:v>
                </c:pt>
                <c:pt idx="5">
                  <c:v>0</c:v>
                </c:pt>
                <c:pt idx="6">
                  <c:v>0.26</c:v>
                </c:pt>
                <c:pt idx="7">
                  <c:v>0.52</c:v>
                </c:pt>
                <c:pt idx="8">
                  <c:v>1.17</c:v>
                </c:pt>
                <c:pt idx="9">
                  <c:v>1.365</c:v>
                </c:pt>
                <c:pt idx="10">
                  <c:v>0.91</c:v>
                </c:pt>
                <c:pt idx="11">
                  <c:v>0.84499999999999997</c:v>
                </c:pt>
                <c:pt idx="12">
                  <c:v>0.65</c:v>
                </c:pt>
                <c:pt idx="13">
                  <c:v>3.38</c:v>
                </c:pt>
                <c:pt idx="14">
                  <c:v>3.0550000000000002</c:v>
                </c:pt>
                <c:pt idx="15">
                  <c:v>1.56</c:v>
                </c:pt>
                <c:pt idx="16">
                  <c:v>1.82</c:v>
                </c:pt>
                <c:pt idx="17">
                  <c:v>3.0550000000000002</c:v>
                </c:pt>
                <c:pt idx="18">
                  <c:v>3.5750000000000002</c:v>
                </c:pt>
                <c:pt idx="19">
                  <c:v>1.82</c:v>
                </c:pt>
                <c:pt idx="20">
                  <c:v>0.65</c:v>
                </c:pt>
                <c:pt idx="21">
                  <c:v>0.52</c:v>
                </c:pt>
                <c:pt idx="22">
                  <c:v>0.32500000000000001</c:v>
                </c:pt>
                <c:pt idx="23">
                  <c:v>0.39</c:v>
                </c:pt>
                <c:pt idx="24">
                  <c:v>0.13</c:v>
                </c:pt>
              </c:numCache>
            </c:numRef>
          </c:val>
          <c:smooth val="1"/>
          <c:extLst>
            <c:ext xmlns:c16="http://schemas.microsoft.com/office/drawing/2014/chart" uri="{C3380CC4-5D6E-409C-BE32-E72D297353CC}">
              <c16:uniqueId val="{00000001-E078-4132-94D4-90B22B3487E7}"/>
            </c:ext>
          </c:extLst>
        </c:ser>
        <c:ser>
          <c:idx val="4"/>
          <c:order val="2"/>
          <c:tx>
            <c:strRef>
              <c:f>'großfl. Einzelhandel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'!$BE$22:$BE$46</c:f>
              <c:numCache>
                <c:formatCode>0</c:formatCode>
                <c:ptCount val="25"/>
                <c:pt idx="0">
                  <c:v>3.2500000000000001E-2</c:v>
                </c:pt>
                <c:pt idx="1">
                  <c:v>0</c:v>
                </c:pt>
                <c:pt idx="2">
                  <c:v>0</c:v>
                </c:pt>
                <c:pt idx="3">
                  <c:v>0</c:v>
                </c:pt>
                <c:pt idx="4">
                  <c:v>0</c:v>
                </c:pt>
                <c:pt idx="5">
                  <c:v>0</c:v>
                </c:pt>
                <c:pt idx="6">
                  <c:v>0.05</c:v>
                </c:pt>
                <c:pt idx="7">
                  <c:v>8.7499999999999994E-2</c:v>
                </c:pt>
                <c:pt idx="8">
                  <c:v>0.23749999999999999</c:v>
                </c:pt>
                <c:pt idx="9">
                  <c:v>0.32500000000000001</c:v>
                </c:pt>
                <c:pt idx="10">
                  <c:v>0.41249999999999998</c:v>
                </c:pt>
                <c:pt idx="11">
                  <c:v>0.45</c:v>
                </c:pt>
                <c:pt idx="12">
                  <c:v>0.51249999999999996</c:v>
                </c:pt>
                <c:pt idx="13">
                  <c:v>0.4375</c:v>
                </c:pt>
                <c:pt idx="14">
                  <c:v>0.38750000000000001</c:v>
                </c:pt>
                <c:pt idx="15">
                  <c:v>0.28000000000000003</c:v>
                </c:pt>
                <c:pt idx="16">
                  <c:v>0.35</c:v>
                </c:pt>
                <c:pt idx="17">
                  <c:v>0.4375</c:v>
                </c:pt>
                <c:pt idx="18">
                  <c:v>0.35</c:v>
                </c:pt>
                <c:pt idx="19">
                  <c:v>0.26250000000000001</c:v>
                </c:pt>
                <c:pt idx="20">
                  <c:v>0.1875</c:v>
                </c:pt>
                <c:pt idx="21">
                  <c:v>8.7499999999999994E-2</c:v>
                </c:pt>
                <c:pt idx="22">
                  <c:v>0.05</c:v>
                </c:pt>
                <c:pt idx="23">
                  <c:v>6.25E-2</c:v>
                </c:pt>
                <c:pt idx="24">
                  <c:v>3.2500000000000001E-2</c:v>
                </c:pt>
              </c:numCache>
            </c:numRef>
          </c:val>
          <c:smooth val="1"/>
          <c:extLst>
            <c:ext xmlns:c16="http://schemas.microsoft.com/office/drawing/2014/chart" uri="{C3380CC4-5D6E-409C-BE32-E72D297353CC}">
              <c16:uniqueId val="{00000002-E078-4132-94D4-90B22B3487E7}"/>
            </c:ext>
          </c:extLst>
        </c:ser>
        <c:ser>
          <c:idx val="6"/>
          <c:order val="3"/>
          <c:tx>
            <c:v>Gesamt-Quellverkehr</c:v>
          </c:tx>
          <c:spPr>
            <a:ln w="38100">
              <a:solidFill>
                <a:srgbClr val="0000FF"/>
              </a:solidFill>
              <a:prstDash val="solid"/>
            </a:ln>
          </c:spPr>
          <c:marker>
            <c:symbol val="none"/>
          </c:marker>
          <c:val>
            <c:numRef>
              <c:f>'großfl. Einzelhandel '!$BH$22:$BH$46</c:f>
              <c:numCache>
                <c:formatCode>0</c:formatCode>
                <c:ptCount val="25"/>
                <c:pt idx="0">
                  <c:v>0.16250000000000001</c:v>
                </c:pt>
                <c:pt idx="1">
                  <c:v>0</c:v>
                </c:pt>
                <c:pt idx="2">
                  <c:v>0</c:v>
                </c:pt>
                <c:pt idx="3">
                  <c:v>0</c:v>
                </c:pt>
                <c:pt idx="4">
                  <c:v>0</c:v>
                </c:pt>
                <c:pt idx="5">
                  <c:v>0</c:v>
                </c:pt>
                <c:pt idx="6">
                  <c:v>0.31</c:v>
                </c:pt>
                <c:pt idx="7">
                  <c:v>0.60750000000000004</c:v>
                </c:pt>
                <c:pt idx="8">
                  <c:v>1.4075</c:v>
                </c:pt>
                <c:pt idx="9">
                  <c:v>1.7582499999999999</c:v>
                </c:pt>
                <c:pt idx="10">
                  <c:v>1.4278</c:v>
                </c:pt>
                <c:pt idx="11">
                  <c:v>1.4432</c:v>
                </c:pt>
                <c:pt idx="12">
                  <c:v>1.3302</c:v>
                </c:pt>
                <c:pt idx="13">
                  <c:v>3.9871499999999997</c:v>
                </c:pt>
                <c:pt idx="14">
                  <c:v>3.5575500000000004</c:v>
                </c:pt>
                <c:pt idx="15">
                  <c:v>1.9570000000000001</c:v>
                </c:pt>
                <c:pt idx="16">
                  <c:v>2.28505</c:v>
                </c:pt>
                <c:pt idx="17">
                  <c:v>3.6563000000000003</c:v>
                </c:pt>
                <c:pt idx="18">
                  <c:v>4.1317000000000004</c:v>
                </c:pt>
                <c:pt idx="19">
                  <c:v>2.3477000000000001</c:v>
                </c:pt>
                <c:pt idx="20">
                  <c:v>1.0831999999999999</c:v>
                </c:pt>
                <c:pt idx="21">
                  <c:v>0.66990000000000005</c:v>
                </c:pt>
                <c:pt idx="22">
                  <c:v>0.375</c:v>
                </c:pt>
                <c:pt idx="23">
                  <c:v>0.45250000000000001</c:v>
                </c:pt>
                <c:pt idx="24">
                  <c:v>0.16250000000000001</c:v>
                </c:pt>
              </c:numCache>
            </c:numRef>
          </c:val>
          <c:smooth val="1"/>
          <c:extLst>
            <c:ext xmlns:c16="http://schemas.microsoft.com/office/drawing/2014/chart" uri="{C3380CC4-5D6E-409C-BE32-E72D297353CC}">
              <c16:uniqueId val="{00000003-E078-4132-94D4-90B22B3487E7}"/>
            </c:ext>
          </c:extLst>
        </c:ser>
        <c:dLbls>
          <c:showLegendKey val="0"/>
          <c:showVal val="0"/>
          <c:showCatName val="0"/>
          <c:showSerName val="0"/>
          <c:showPercent val="0"/>
          <c:showBubbleSize val="0"/>
        </c:dLbls>
        <c:marker val="1"/>
        <c:smooth val="0"/>
        <c:axId val="420358504"/>
        <c:axId val="420358896"/>
      </c:lineChart>
      <c:catAx>
        <c:axId val="420358504"/>
        <c:scaling>
          <c:orientation val="minMax"/>
        </c:scaling>
        <c:delete val="1"/>
        <c:axPos val="t"/>
        <c:numFmt formatCode="General" sourceLinked="0"/>
        <c:majorTickMark val="out"/>
        <c:minorTickMark val="none"/>
        <c:tickLblPos val="none"/>
        <c:crossAx val="420358896"/>
        <c:crosses val="autoZero"/>
        <c:auto val="1"/>
        <c:lblAlgn val="ctr"/>
        <c:lblOffset val="100"/>
        <c:noMultiLvlLbl val="0"/>
      </c:catAx>
      <c:valAx>
        <c:axId val="42035889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0358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'!$AE$21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2F95-4A7A-ACD9-1AB20CB7D04D}"/>
            </c:ext>
          </c:extLst>
        </c:ser>
        <c:ser>
          <c:idx val="1"/>
          <c:order val="1"/>
          <c:tx>
            <c:strRef>
              <c:f>'großfl. Einzelhandel '!$AF$21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2F95-4A7A-ACD9-1AB20CB7D04D}"/>
            </c:ext>
          </c:extLst>
        </c:ser>
        <c:dLbls>
          <c:showLegendKey val="0"/>
          <c:showVal val="0"/>
          <c:showCatName val="0"/>
          <c:showSerName val="0"/>
          <c:showPercent val="0"/>
          <c:showBubbleSize val="0"/>
        </c:dLbls>
        <c:smooth val="0"/>
        <c:axId val="420356936"/>
        <c:axId val="420357328"/>
      </c:lineChart>
      <c:catAx>
        <c:axId val="420356936"/>
        <c:scaling>
          <c:orientation val="minMax"/>
        </c:scaling>
        <c:delete val="1"/>
        <c:axPos val="b"/>
        <c:numFmt formatCode="General" sourceLinked="0"/>
        <c:majorTickMark val="out"/>
        <c:minorTickMark val="none"/>
        <c:tickLblPos val="none"/>
        <c:crossAx val="420357328"/>
        <c:crosses val="autoZero"/>
        <c:auto val="1"/>
        <c:lblAlgn val="ctr"/>
        <c:lblOffset val="100"/>
        <c:noMultiLvlLbl val="0"/>
      </c:catAx>
      <c:valAx>
        <c:axId val="42035732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5693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34"/>
          <c:h val="9.859204219190974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'!$AG$21</c:f>
              <c:strCache>
                <c:ptCount val="1"/>
                <c:pt idx="0">
                  <c:v>QV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3F82-4925-B6C0-359EA521BC78}"/>
            </c:ext>
          </c:extLst>
        </c:ser>
        <c:ser>
          <c:idx val="1"/>
          <c:order val="1"/>
          <c:tx>
            <c:strRef>
              <c:f>'großfl. Einzelhandel '!$AH$21</c:f>
              <c:strCache>
                <c:ptCount val="1"/>
                <c:pt idx="0">
                  <c:v>ZV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3F82-4925-B6C0-359EA521BC78}"/>
            </c:ext>
          </c:extLst>
        </c:ser>
        <c:dLbls>
          <c:showLegendKey val="0"/>
          <c:showVal val="0"/>
          <c:showCatName val="0"/>
          <c:showSerName val="0"/>
          <c:showPercent val="0"/>
          <c:showBubbleSize val="0"/>
        </c:dLbls>
        <c:smooth val="0"/>
        <c:axId val="313872344"/>
        <c:axId val="313874304"/>
      </c:lineChart>
      <c:catAx>
        <c:axId val="313872344"/>
        <c:scaling>
          <c:orientation val="minMax"/>
        </c:scaling>
        <c:delete val="1"/>
        <c:axPos val="b"/>
        <c:numFmt formatCode="General" sourceLinked="0"/>
        <c:majorTickMark val="out"/>
        <c:minorTickMark val="none"/>
        <c:tickLblPos val="none"/>
        <c:crossAx val="313874304"/>
        <c:crosses val="autoZero"/>
        <c:auto val="1"/>
        <c:lblAlgn val="ctr"/>
        <c:lblOffset val="100"/>
        <c:noMultiLvlLbl val="0"/>
      </c:catAx>
      <c:valAx>
        <c:axId val="3138743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7234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'!$AI$21</c:f>
              <c:strCache>
                <c:ptCount val="1"/>
                <c:pt idx="0">
                  <c:v>QV [in %]</c:v>
                </c:pt>
              </c:strCache>
            </c:strRef>
          </c:tx>
          <c:spPr>
            <a:ln w="25400">
              <a:solidFill>
                <a:srgbClr val="008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45E-4A44-80E8-5DA14DB34D96}"/>
            </c:ext>
          </c:extLst>
        </c:ser>
        <c:ser>
          <c:idx val="1"/>
          <c:order val="1"/>
          <c:tx>
            <c:strRef>
              <c:f>'großfl. Einzelhandel '!$AJ$21</c:f>
              <c:strCache>
                <c:ptCount val="1"/>
                <c:pt idx="0">
                  <c:v>ZV [in %]</c:v>
                </c:pt>
              </c:strCache>
            </c:strRef>
          </c:tx>
          <c:spPr>
            <a:ln w="25400">
              <a:solidFill>
                <a:srgbClr val="0000FF"/>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45E-4A44-80E8-5DA14DB34D96}"/>
            </c:ext>
          </c:extLst>
        </c:ser>
        <c:dLbls>
          <c:showLegendKey val="0"/>
          <c:showVal val="0"/>
          <c:showCatName val="0"/>
          <c:showSerName val="0"/>
          <c:showPercent val="0"/>
          <c:showBubbleSize val="0"/>
        </c:dLbls>
        <c:smooth val="0"/>
        <c:axId val="313869208"/>
        <c:axId val="313873520"/>
      </c:lineChart>
      <c:catAx>
        <c:axId val="313869208"/>
        <c:scaling>
          <c:orientation val="minMax"/>
        </c:scaling>
        <c:delete val="1"/>
        <c:axPos val="b"/>
        <c:numFmt formatCode="General" sourceLinked="0"/>
        <c:majorTickMark val="out"/>
        <c:minorTickMark val="none"/>
        <c:tickLblPos val="none"/>
        <c:crossAx val="313873520"/>
        <c:crosses val="autoZero"/>
        <c:auto val="1"/>
        <c:lblAlgn val="ctr"/>
        <c:lblOffset val="100"/>
        <c:noMultiLvlLbl val="0"/>
      </c:catAx>
      <c:valAx>
        <c:axId val="3138735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69208"/>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'!$AZ$22:$AZ$46</c:f>
              <c:numCache>
                <c:formatCode>0</c:formatCode>
                <c:ptCount val="25"/>
                <c:pt idx="0">
                  <c:v>0</c:v>
                </c:pt>
                <c:pt idx="1">
                  <c:v>0</c:v>
                </c:pt>
                <c:pt idx="2">
                  <c:v>0</c:v>
                </c:pt>
                <c:pt idx="3">
                  <c:v>0</c:v>
                </c:pt>
                <c:pt idx="4">
                  <c:v>0</c:v>
                </c:pt>
                <c:pt idx="5">
                  <c:v>0</c:v>
                </c:pt>
                <c:pt idx="6">
                  <c:v>0</c:v>
                </c:pt>
                <c:pt idx="7">
                  <c:v>0</c:v>
                </c:pt>
                <c:pt idx="8">
                  <c:v>5.2650000000000016E-2</c:v>
                </c:pt>
                <c:pt idx="9">
                  <c:v>9.8475000000000007E-2</c:v>
                </c:pt>
                <c:pt idx="10">
                  <c:v>0.16867499999999999</c:v>
                </c:pt>
                <c:pt idx="11">
                  <c:v>0.170625</c:v>
                </c:pt>
                <c:pt idx="12">
                  <c:v>0.14332499999999998</c:v>
                </c:pt>
                <c:pt idx="13">
                  <c:v>0.13162500000000002</c:v>
                </c:pt>
                <c:pt idx="14">
                  <c:v>9.6525000000000014E-2</c:v>
                </c:pt>
                <c:pt idx="15">
                  <c:v>0.117975</c:v>
                </c:pt>
                <c:pt idx="16">
                  <c:v>0.13552500000000001</c:v>
                </c:pt>
                <c:pt idx="17">
                  <c:v>0.18817500000000004</c:v>
                </c:pt>
                <c:pt idx="18">
                  <c:v>0.23399999999999999</c:v>
                </c:pt>
                <c:pt idx="19">
                  <c:v>0.27494999999999997</c:v>
                </c:pt>
                <c:pt idx="20">
                  <c:v>0.13747499999999999</c:v>
                </c:pt>
                <c:pt idx="21">
                  <c:v>0</c:v>
                </c:pt>
                <c:pt idx="22">
                  <c:v>0</c:v>
                </c:pt>
                <c:pt idx="23">
                  <c:v>0</c:v>
                </c:pt>
                <c:pt idx="24">
                  <c:v>0</c:v>
                </c:pt>
              </c:numCache>
            </c:numRef>
          </c:val>
          <c:smooth val="1"/>
          <c:extLst>
            <c:ext xmlns:c16="http://schemas.microsoft.com/office/drawing/2014/chart" uri="{C3380CC4-5D6E-409C-BE32-E72D297353CC}">
              <c16:uniqueId val="{00000000-F8A0-4484-B29E-FE4C1C4F0801}"/>
            </c:ext>
          </c:extLst>
        </c:ser>
        <c:ser>
          <c:idx val="3"/>
          <c:order val="1"/>
          <c:tx>
            <c:strRef>
              <c:f>'großfl. Einzelhandel '!$AG$20:$AH$20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'!$BC$22:$BC$46</c:f>
              <c:numCache>
                <c:formatCode>0</c:formatCode>
                <c:ptCount val="25"/>
                <c:pt idx="0">
                  <c:v>0</c:v>
                </c:pt>
                <c:pt idx="1">
                  <c:v>0</c:v>
                </c:pt>
                <c:pt idx="2">
                  <c:v>0</c:v>
                </c:pt>
                <c:pt idx="3">
                  <c:v>0</c:v>
                </c:pt>
                <c:pt idx="4">
                  <c:v>0</c:v>
                </c:pt>
                <c:pt idx="5">
                  <c:v>0.26</c:v>
                </c:pt>
                <c:pt idx="6">
                  <c:v>1.7549999999999999</c:v>
                </c:pt>
                <c:pt idx="7">
                  <c:v>5.7719999999999994</c:v>
                </c:pt>
                <c:pt idx="8">
                  <c:v>7.4619999999999997</c:v>
                </c:pt>
                <c:pt idx="9">
                  <c:v>2.2749999999999999</c:v>
                </c:pt>
                <c:pt idx="10">
                  <c:v>0.45500000000000002</c:v>
                </c:pt>
                <c:pt idx="11">
                  <c:v>0.26</c:v>
                </c:pt>
                <c:pt idx="12">
                  <c:v>0.13</c:v>
                </c:pt>
                <c:pt idx="13">
                  <c:v>1.3520000000000001</c:v>
                </c:pt>
                <c:pt idx="14">
                  <c:v>3.4840000000000004</c:v>
                </c:pt>
                <c:pt idx="15">
                  <c:v>1.4040000000000001</c:v>
                </c:pt>
                <c:pt idx="16">
                  <c:v>0.45500000000000002</c:v>
                </c:pt>
                <c:pt idx="17">
                  <c:v>0.32500000000000001</c:v>
                </c:pt>
                <c:pt idx="18">
                  <c:v>0.26</c:v>
                </c:pt>
                <c:pt idx="19">
                  <c:v>6.5000000000000002E-2</c:v>
                </c:pt>
                <c:pt idx="20">
                  <c:v>0.10400000000000001</c:v>
                </c:pt>
                <c:pt idx="21">
                  <c:v>0</c:v>
                </c:pt>
                <c:pt idx="22">
                  <c:v>0.182</c:v>
                </c:pt>
                <c:pt idx="23">
                  <c:v>0</c:v>
                </c:pt>
                <c:pt idx="24">
                  <c:v>0</c:v>
                </c:pt>
              </c:numCache>
            </c:numRef>
          </c:val>
          <c:smooth val="1"/>
          <c:extLst>
            <c:ext xmlns:c16="http://schemas.microsoft.com/office/drawing/2014/chart" uri="{C3380CC4-5D6E-409C-BE32-E72D297353CC}">
              <c16:uniqueId val="{00000001-F8A0-4484-B29E-FE4C1C4F0801}"/>
            </c:ext>
          </c:extLst>
        </c:ser>
        <c:ser>
          <c:idx val="5"/>
          <c:order val="2"/>
          <c:tx>
            <c:strRef>
              <c:f>'großfl. Einzelhandel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'!$BF$22:$BF$46</c:f>
              <c:numCache>
                <c:formatCode>0</c:formatCode>
                <c:ptCount val="25"/>
                <c:pt idx="0">
                  <c:v>0</c:v>
                </c:pt>
                <c:pt idx="1">
                  <c:v>0</c:v>
                </c:pt>
                <c:pt idx="2">
                  <c:v>0</c:v>
                </c:pt>
                <c:pt idx="3">
                  <c:v>0</c:v>
                </c:pt>
                <c:pt idx="4">
                  <c:v>0</c:v>
                </c:pt>
                <c:pt idx="5">
                  <c:v>1.2500000000000001E-2</c:v>
                </c:pt>
                <c:pt idx="6">
                  <c:v>7.4999999999999997E-2</c:v>
                </c:pt>
                <c:pt idx="7">
                  <c:v>0.15</c:v>
                </c:pt>
                <c:pt idx="8">
                  <c:v>0.4</c:v>
                </c:pt>
                <c:pt idx="9">
                  <c:v>0.52</c:v>
                </c:pt>
                <c:pt idx="10">
                  <c:v>0.4375</c:v>
                </c:pt>
                <c:pt idx="11">
                  <c:v>0.51249999999999996</c:v>
                </c:pt>
                <c:pt idx="12">
                  <c:v>0.495</c:v>
                </c:pt>
                <c:pt idx="13">
                  <c:v>0.35</c:v>
                </c:pt>
                <c:pt idx="14">
                  <c:v>0.32500000000000001</c:v>
                </c:pt>
                <c:pt idx="15">
                  <c:v>0.3</c:v>
                </c:pt>
                <c:pt idx="16">
                  <c:v>0.38750000000000001</c:v>
                </c:pt>
                <c:pt idx="17">
                  <c:v>0.33750000000000002</c:v>
                </c:pt>
                <c:pt idx="18">
                  <c:v>0.25</c:v>
                </c:pt>
                <c:pt idx="19">
                  <c:v>0.1875</c:v>
                </c:pt>
                <c:pt idx="20">
                  <c:v>0.16250000000000001</c:v>
                </c:pt>
                <c:pt idx="21">
                  <c:v>7.2499999999999995E-2</c:v>
                </c:pt>
                <c:pt idx="22">
                  <c:v>1.2500000000000001E-2</c:v>
                </c:pt>
                <c:pt idx="23">
                  <c:v>1.2500000000000001E-2</c:v>
                </c:pt>
                <c:pt idx="24">
                  <c:v>0</c:v>
                </c:pt>
              </c:numCache>
            </c:numRef>
          </c:val>
          <c:smooth val="1"/>
          <c:extLst>
            <c:ext xmlns:c16="http://schemas.microsoft.com/office/drawing/2014/chart" uri="{C3380CC4-5D6E-409C-BE32-E72D297353CC}">
              <c16:uniqueId val="{00000002-F8A0-4484-B29E-FE4C1C4F0801}"/>
            </c:ext>
          </c:extLst>
        </c:ser>
        <c:ser>
          <c:idx val="7"/>
          <c:order val="3"/>
          <c:tx>
            <c:v>Gesamt-Zielverkehr</c:v>
          </c:tx>
          <c:spPr>
            <a:ln w="38100">
              <a:solidFill>
                <a:srgbClr val="008000"/>
              </a:solidFill>
              <a:prstDash val="solid"/>
            </a:ln>
          </c:spPr>
          <c:marker>
            <c:symbol val="none"/>
          </c:marker>
          <c:val>
            <c:numRef>
              <c:f>'großfl. Einzelhandel '!$BI$22:$BI$46</c:f>
              <c:numCache>
                <c:formatCode>0</c:formatCode>
                <c:ptCount val="25"/>
                <c:pt idx="0">
                  <c:v>0</c:v>
                </c:pt>
                <c:pt idx="1">
                  <c:v>0</c:v>
                </c:pt>
                <c:pt idx="2">
                  <c:v>0</c:v>
                </c:pt>
                <c:pt idx="3">
                  <c:v>0</c:v>
                </c:pt>
                <c:pt idx="4">
                  <c:v>0</c:v>
                </c:pt>
                <c:pt idx="5">
                  <c:v>0.27250000000000002</c:v>
                </c:pt>
                <c:pt idx="6">
                  <c:v>1.8299999999999998</c:v>
                </c:pt>
                <c:pt idx="7">
                  <c:v>5.9219999999999997</c:v>
                </c:pt>
                <c:pt idx="8">
                  <c:v>7.91465</c:v>
                </c:pt>
                <c:pt idx="9">
                  <c:v>2.893475</c:v>
                </c:pt>
                <c:pt idx="10">
                  <c:v>1.061175</c:v>
                </c:pt>
                <c:pt idx="11">
                  <c:v>0.94312499999999999</c:v>
                </c:pt>
                <c:pt idx="12">
                  <c:v>0.76832499999999992</c:v>
                </c:pt>
                <c:pt idx="13">
                  <c:v>1.8336250000000001</c:v>
                </c:pt>
                <c:pt idx="14">
                  <c:v>3.9055250000000008</c:v>
                </c:pt>
                <c:pt idx="15">
                  <c:v>1.8219750000000001</c:v>
                </c:pt>
                <c:pt idx="16">
                  <c:v>0.97802499999999992</c:v>
                </c:pt>
                <c:pt idx="17">
                  <c:v>0.85067500000000007</c:v>
                </c:pt>
                <c:pt idx="18">
                  <c:v>0.74399999999999999</c:v>
                </c:pt>
                <c:pt idx="19">
                  <c:v>0.52744999999999997</c:v>
                </c:pt>
                <c:pt idx="20">
                  <c:v>0.40397499999999997</c:v>
                </c:pt>
                <c:pt idx="21">
                  <c:v>7.2499999999999995E-2</c:v>
                </c:pt>
                <c:pt idx="22">
                  <c:v>0.19450000000000001</c:v>
                </c:pt>
                <c:pt idx="23">
                  <c:v>1.2500000000000001E-2</c:v>
                </c:pt>
                <c:pt idx="24">
                  <c:v>0</c:v>
                </c:pt>
              </c:numCache>
            </c:numRef>
          </c:val>
          <c:smooth val="1"/>
          <c:extLst>
            <c:ext xmlns:c16="http://schemas.microsoft.com/office/drawing/2014/chart" uri="{C3380CC4-5D6E-409C-BE32-E72D297353CC}">
              <c16:uniqueId val="{00000003-F8A0-4484-B29E-FE4C1C4F0801}"/>
            </c:ext>
          </c:extLst>
        </c:ser>
        <c:dLbls>
          <c:showLegendKey val="0"/>
          <c:showVal val="0"/>
          <c:showCatName val="0"/>
          <c:showSerName val="0"/>
          <c:showPercent val="0"/>
          <c:showBubbleSize val="0"/>
        </c:dLbls>
        <c:marker val="1"/>
        <c:smooth val="0"/>
        <c:axId val="313868424"/>
        <c:axId val="313871952"/>
      </c:lineChart>
      <c:catAx>
        <c:axId val="3138684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313871952"/>
        <c:crosses val="autoZero"/>
        <c:auto val="1"/>
        <c:lblAlgn val="ctr"/>
        <c:lblOffset val="100"/>
        <c:tickLblSkip val="1"/>
        <c:noMultiLvlLbl val="0"/>
      </c:catAx>
      <c:valAx>
        <c:axId val="31387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68424"/>
        <c:crosses val="autoZero"/>
        <c:crossBetween val="between"/>
      </c:valAx>
      <c:spPr>
        <a:noFill/>
        <a:ln w="12700">
          <a:solidFill>
            <a:srgbClr val="000000"/>
          </a:solidFill>
          <a:prstDash val="solid"/>
        </a:ln>
      </c:spPr>
    </c:plotArea>
    <c:legend>
      <c:legendPos val="r"/>
      <c:layout>
        <c:manualLayout>
          <c:xMode val="edge"/>
          <c:yMode val="edge"/>
          <c:x val="0.81901172619582263"/>
          <c:y val="0.16339915026961488"/>
          <c:w val="0.17034228516112379"/>
          <c:h val="0.49673316979168458"/>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'!$BY$22:$BY$46</c:f>
              <c:numCache>
                <c:formatCode>0</c:formatCode>
                <c:ptCount val="25"/>
                <c:pt idx="0">
                  <c:v>9.7144514654701197E-17</c:v>
                </c:pt>
                <c:pt idx="1">
                  <c:v>9.7144514654701197E-17</c:v>
                </c:pt>
                <c:pt idx="2">
                  <c:v>9.7144514654701197E-17</c:v>
                </c:pt>
                <c:pt idx="3">
                  <c:v>9.7144514654701197E-17</c:v>
                </c:pt>
                <c:pt idx="4">
                  <c:v>9.7144514654701197E-17</c:v>
                </c:pt>
                <c:pt idx="5">
                  <c:v>9.7144514654701197E-17</c:v>
                </c:pt>
                <c:pt idx="6">
                  <c:v>9.7144514654701197E-17</c:v>
                </c:pt>
                <c:pt idx="7">
                  <c:v>9.7144514654701197E-17</c:v>
                </c:pt>
                <c:pt idx="8">
                  <c:v>5.2650000000000113E-2</c:v>
                </c:pt>
                <c:pt idx="9">
                  <c:v>8.2875000000000115E-2</c:v>
                </c:pt>
                <c:pt idx="10">
                  <c:v>0.14625000000000007</c:v>
                </c:pt>
                <c:pt idx="11">
                  <c:v>0.16867500000000007</c:v>
                </c:pt>
                <c:pt idx="12">
                  <c:v>0.14430000000000009</c:v>
                </c:pt>
                <c:pt idx="13">
                  <c:v>0.10627500000000015</c:v>
                </c:pt>
                <c:pt idx="14">
                  <c:v>8.7750000000000147E-2</c:v>
                </c:pt>
                <c:pt idx="15">
                  <c:v>8.8725000000000151E-2</c:v>
                </c:pt>
                <c:pt idx="16">
                  <c:v>0.10920000000000014</c:v>
                </c:pt>
                <c:pt idx="17">
                  <c:v>0.13357500000000017</c:v>
                </c:pt>
                <c:pt idx="18">
                  <c:v>0.16087500000000016</c:v>
                </c:pt>
                <c:pt idx="19">
                  <c:v>0.17062500000000014</c:v>
                </c:pt>
                <c:pt idx="20">
                  <c:v>6.240000000000015E-2</c:v>
                </c:pt>
                <c:pt idx="21">
                  <c:v>1.3877787807814457E-16</c:v>
                </c:pt>
                <c:pt idx="22">
                  <c:v>1.3877787807814457E-16</c:v>
                </c:pt>
                <c:pt idx="23">
                  <c:v>1.3877787807814457E-16</c:v>
                </c:pt>
                <c:pt idx="24">
                  <c:v>1.3877787807814457E-16</c:v>
                </c:pt>
              </c:numCache>
            </c:numRef>
          </c:val>
          <c:smooth val="1"/>
          <c:extLst>
            <c:ext xmlns:c16="http://schemas.microsoft.com/office/drawing/2014/chart" uri="{C3380CC4-5D6E-409C-BE32-E72D297353CC}">
              <c16:uniqueId val="{00000000-8384-46FC-AE4B-FF3CD87851EF}"/>
            </c:ext>
          </c:extLst>
        </c:ser>
        <c:ser>
          <c:idx val="3"/>
          <c:order val="1"/>
          <c:tx>
            <c:strRef>
              <c:f>'großfl. Einzelhandel '!$BZ$19:$BZ$20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'!$BZ$22:$BZ$46</c:f>
              <c:numCache>
                <c:formatCode>0</c:formatCode>
                <c:ptCount val="25"/>
                <c:pt idx="0">
                  <c:v>6.6613381477509392E-16</c:v>
                </c:pt>
                <c:pt idx="1">
                  <c:v>6.6613381477509392E-16</c:v>
                </c:pt>
                <c:pt idx="2">
                  <c:v>6.6613381477509392E-16</c:v>
                </c:pt>
                <c:pt idx="3">
                  <c:v>6.6613381477509392E-16</c:v>
                </c:pt>
                <c:pt idx="4">
                  <c:v>6.6613381477509392E-16</c:v>
                </c:pt>
                <c:pt idx="5">
                  <c:v>0.26000000000000068</c:v>
                </c:pt>
                <c:pt idx="6">
                  <c:v>1.7550000000000006</c:v>
                </c:pt>
                <c:pt idx="7">
                  <c:v>7.0069999999999997</c:v>
                </c:pt>
                <c:pt idx="8">
                  <c:v>13.298999999999999</c:v>
                </c:pt>
                <c:pt idx="9">
                  <c:v>14.209</c:v>
                </c:pt>
                <c:pt idx="10">
                  <c:v>13.754</c:v>
                </c:pt>
                <c:pt idx="11">
                  <c:v>13.169</c:v>
                </c:pt>
                <c:pt idx="12">
                  <c:v>12.649000000000001</c:v>
                </c:pt>
                <c:pt idx="13">
                  <c:v>10.621000000000002</c:v>
                </c:pt>
                <c:pt idx="14">
                  <c:v>11.050000000000002</c:v>
                </c:pt>
                <c:pt idx="15">
                  <c:v>10.894000000000002</c:v>
                </c:pt>
                <c:pt idx="16">
                  <c:v>9.5290000000000017</c:v>
                </c:pt>
                <c:pt idx="17">
                  <c:v>6.7990000000000013</c:v>
                </c:pt>
                <c:pt idx="18">
                  <c:v>3.4840000000000009</c:v>
                </c:pt>
                <c:pt idx="19">
                  <c:v>1.7290000000000008</c:v>
                </c:pt>
                <c:pt idx="20">
                  <c:v>1.1830000000000007</c:v>
                </c:pt>
                <c:pt idx="21">
                  <c:v>0.6630000000000007</c:v>
                </c:pt>
                <c:pt idx="22">
                  <c:v>0.52000000000000068</c:v>
                </c:pt>
                <c:pt idx="23">
                  <c:v>0.13000000000000067</c:v>
                </c:pt>
                <c:pt idx="24">
                  <c:v>6.6613381477509392E-16</c:v>
                </c:pt>
              </c:numCache>
            </c:numRef>
          </c:val>
          <c:smooth val="1"/>
          <c:extLst>
            <c:ext xmlns:c16="http://schemas.microsoft.com/office/drawing/2014/chart" uri="{C3380CC4-5D6E-409C-BE32-E72D297353CC}">
              <c16:uniqueId val="{00000001-8384-46FC-AE4B-FF3CD87851EF}"/>
            </c:ext>
          </c:extLst>
        </c:ser>
        <c:ser>
          <c:idx val="5"/>
          <c:order val="2"/>
          <c:tx>
            <c:strRef>
              <c:f>'großfl. Einzelhandel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'!$CA$22:$CA$46</c:f>
              <c:numCache>
                <c:formatCode>0</c:formatCode>
                <c:ptCount val="25"/>
                <c:pt idx="0">
                  <c:v>0</c:v>
                </c:pt>
                <c:pt idx="1">
                  <c:v>0</c:v>
                </c:pt>
                <c:pt idx="2">
                  <c:v>0</c:v>
                </c:pt>
                <c:pt idx="3">
                  <c:v>0</c:v>
                </c:pt>
                <c:pt idx="4">
                  <c:v>0</c:v>
                </c:pt>
                <c:pt idx="5">
                  <c:v>1.2500000000000001E-2</c:v>
                </c:pt>
                <c:pt idx="6">
                  <c:v>3.7499999999999992E-2</c:v>
                </c:pt>
                <c:pt idx="7">
                  <c:v>9.9999999999999992E-2</c:v>
                </c:pt>
                <c:pt idx="8">
                  <c:v>0.26250000000000001</c:v>
                </c:pt>
                <c:pt idx="9">
                  <c:v>0.45750000000000002</c:v>
                </c:pt>
                <c:pt idx="10">
                  <c:v>0.48250000000000004</c:v>
                </c:pt>
                <c:pt idx="11">
                  <c:v>0.54499999999999993</c:v>
                </c:pt>
                <c:pt idx="12">
                  <c:v>0.52749999999999997</c:v>
                </c:pt>
                <c:pt idx="13">
                  <c:v>0.43999999999999995</c:v>
                </c:pt>
                <c:pt idx="14">
                  <c:v>0.37749999999999995</c:v>
                </c:pt>
                <c:pt idx="15">
                  <c:v>0.39749999999999991</c:v>
                </c:pt>
                <c:pt idx="16">
                  <c:v>0.43499999999999994</c:v>
                </c:pt>
                <c:pt idx="17">
                  <c:v>0.33499999999999996</c:v>
                </c:pt>
                <c:pt idx="18">
                  <c:v>0.23499999999999999</c:v>
                </c:pt>
                <c:pt idx="19">
                  <c:v>0.15999999999999998</c:v>
                </c:pt>
                <c:pt idx="20">
                  <c:v>0.13499999999999998</c:v>
                </c:pt>
                <c:pt idx="21">
                  <c:v>0.11999999999999998</c:v>
                </c:pt>
                <c:pt idx="22">
                  <c:v>8.2499999999999976E-2</c:v>
                </c:pt>
                <c:pt idx="23">
                  <c:v>3.2499999999999973E-2</c:v>
                </c:pt>
                <c:pt idx="24">
                  <c:v>0</c:v>
                </c:pt>
              </c:numCache>
            </c:numRef>
          </c:val>
          <c:smooth val="1"/>
          <c:extLst>
            <c:ext xmlns:c16="http://schemas.microsoft.com/office/drawing/2014/chart" uri="{C3380CC4-5D6E-409C-BE32-E72D297353CC}">
              <c16:uniqueId val="{00000002-8384-46FC-AE4B-FF3CD87851EF}"/>
            </c:ext>
          </c:extLst>
        </c:ser>
        <c:ser>
          <c:idx val="7"/>
          <c:order val="3"/>
          <c:tx>
            <c:v>Gesamtanzahl Stellplätze</c:v>
          </c:tx>
          <c:spPr>
            <a:ln w="38100">
              <a:solidFill>
                <a:srgbClr val="000000"/>
              </a:solidFill>
              <a:prstDash val="solid"/>
            </a:ln>
          </c:spPr>
          <c:marker>
            <c:symbol val="none"/>
          </c:marker>
          <c:cat>
            <c:strRef>
              <c:f>'großfl. Einzelhandel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'!$CB$22:$CB$46</c:f>
              <c:numCache>
                <c:formatCode>0</c:formatCode>
                <c:ptCount val="25"/>
                <c:pt idx="0">
                  <c:v>8.0491169285323849E-16</c:v>
                </c:pt>
                <c:pt idx="1">
                  <c:v>7.6327832942979512E-16</c:v>
                </c:pt>
                <c:pt idx="2">
                  <c:v>7.6327832942979512E-16</c:v>
                </c:pt>
                <c:pt idx="3">
                  <c:v>7.6327832942979512E-16</c:v>
                </c:pt>
                <c:pt idx="4">
                  <c:v>7.6327832942979512E-16</c:v>
                </c:pt>
                <c:pt idx="5">
                  <c:v>0.2725000000000008</c:v>
                </c:pt>
                <c:pt idx="6">
                  <c:v>1.7925000000000006</c:v>
                </c:pt>
                <c:pt idx="7">
                  <c:v>7.1069999999999993</c:v>
                </c:pt>
                <c:pt idx="8">
                  <c:v>13.614149999999999</c:v>
                </c:pt>
                <c:pt idx="9">
                  <c:v>14.749374999999999</c:v>
                </c:pt>
                <c:pt idx="10">
                  <c:v>14.38275</c:v>
                </c:pt>
                <c:pt idx="11">
                  <c:v>13.882675000000001</c:v>
                </c:pt>
                <c:pt idx="12">
                  <c:v>13.3208</c:v>
                </c:pt>
                <c:pt idx="13">
                  <c:v>11.167275000000002</c:v>
                </c:pt>
                <c:pt idx="14">
                  <c:v>11.515250000000002</c:v>
                </c:pt>
                <c:pt idx="15">
                  <c:v>11.380225000000001</c:v>
                </c:pt>
                <c:pt idx="16">
                  <c:v>10.073200000000002</c:v>
                </c:pt>
                <c:pt idx="17">
                  <c:v>7.2675750000000017</c:v>
                </c:pt>
                <c:pt idx="18">
                  <c:v>3.8798750000000011</c:v>
                </c:pt>
                <c:pt idx="19">
                  <c:v>2.0596250000000009</c:v>
                </c:pt>
                <c:pt idx="20">
                  <c:v>1.380400000000001</c:v>
                </c:pt>
                <c:pt idx="21">
                  <c:v>0.78300000000000081</c:v>
                </c:pt>
                <c:pt idx="22">
                  <c:v>0.60250000000000081</c:v>
                </c:pt>
                <c:pt idx="23">
                  <c:v>0.16250000000000078</c:v>
                </c:pt>
                <c:pt idx="24">
                  <c:v>8.0491169285323849E-16</c:v>
                </c:pt>
              </c:numCache>
            </c:numRef>
          </c:val>
          <c:smooth val="1"/>
          <c:extLst>
            <c:ext xmlns:c16="http://schemas.microsoft.com/office/drawing/2014/chart" uri="{C3380CC4-5D6E-409C-BE32-E72D297353CC}">
              <c16:uniqueId val="{00000003-8384-46FC-AE4B-FF3CD87851EF}"/>
            </c:ext>
          </c:extLst>
        </c:ser>
        <c:dLbls>
          <c:showLegendKey val="0"/>
          <c:showVal val="0"/>
          <c:showCatName val="0"/>
          <c:showSerName val="0"/>
          <c:showPercent val="0"/>
          <c:showBubbleSize val="0"/>
        </c:dLbls>
        <c:marker val="1"/>
        <c:smooth val="0"/>
        <c:axId val="313870776"/>
        <c:axId val="313873128"/>
      </c:lineChart>
      <c:catAx>
        <c:axId val="31387077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313873128"/>
        <c:crosses val="autoZero"/>
        <c:auto val="1"/>
        <c:lblAlgn val="ctr"/>
        <c:lblOffset val="100"/>
        <c:tickLblSkip val="1"/>
        <c:noMultiLvlLbl val="0"/>
      </c:catAx>
      <c:valAx>
        <c:axId val="3138731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70776"/>
        <c:crosses val="autoZero"/>
        <c:crossBetween val="between"/>
      </c:valAx>
      <c:spPr>
        <a:noFill/>
        <a:ln w="12700">
          <a:solidFill>
            <a:srgbClr val="000000"/>
          </a:solidFill>
          <a:prstDash val="solid"/>
        </a:ln>
      </c:spPr>
    </c:plotArea>
    <c:legend>
      <c:legendPos val="b"/>
      <c:layout>
        <c:manualLayout>
          <c:xMode val="edge"/>
          <c:yMode val="edge"/>
          <c:x val="8.333346094586305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'großfl. Einzelhandel BT A'!$AE$20:$AF$20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A'!$AY$22:$AY$46</c:f>
              <c:numCache>
                <c:formatCode>0</c:formatCode>
                <c:ptCount val="25"/>
                <c:pt idx="0">
                  <c:v>1.6209374999999999</c:v>
                </c:pt>
                <c:pt idx="1">
                  <c:v>0.15437500000000001</c:v>
                </c:pt>
                <c:pt idx="2">
                  <c:v>0</c:v>
                </c:pt>
                <c:pt idx="3">
                  <c:v>0</c:v>
                </c:pt>
                <c:pt idx="4">
                  <c:v>0.1235</c:v>
                </c:pt>
                <c:pt idx="5">
                  <c:v>7.7187500000000006E-2</c:v>
                </c:pt>
                <c:pt idx="6">
                  <c:v>0</c:v>
                </c:pt>
                <c:pt idx="7">
                  <c:v>0.61750000000000005</c:v>
                </c:pt>
                <c:pt idx="8">
                  <c:v>0.92625000000000002</c:v>
                </c:pt>
                <c:pt idx="9">
                  <c:v>1.0806249999999999</c:v>
                </c:pt>
                <c:pt idx="10">
                  <c:v>0.54031249999999997</c:v>
                </c:pt>
                <c:pt idx="11">
                  <c:v>0.38593749999999999</c:v>
                </c:pt>
                <c:pt idx="12">
                  <c:v>1.0806249999999999</c:v>
                </c:pt>
                <c:pt idx="13">
                  <c:v>1.389375</c:v>
                </c:pt>
                <c:pt idx="14">
                  <c:v>1.0034374999999998</c:v>
                </c:pt>
                <c:pt idx="15">
                  <c:v>1.389375</c:v>
                </c:pt>
                <c:pt idx="16">
                  <c:v>1.04975</c:v>
                </c:pt>
                <c:pt idx="17">
                  <c:v>1.4665625</c:v>
                </c:pt>
                <c:pt idx="18">
                  <c:v>2.4700000000000002</c:v>
                </c:pt>
                <c:pt idx="19">
                  <c:v>3.5506250000000001</c:v>
                </c:pt>
                <c:pt idx="20">
                  <c:v>3.921125</c:v>
                </c:pt>
                <c:pt idx="21">
                  <c:v>2.933125</c:v>
                </c:pt>
                <c:pt idx="22">
                  <c:v>2.6243750000000001</c:v>
                </c:pt>
                <c:pt idx="23">
                  <c:v>2.4700000000000002</c:v>
                </c:pt>
                <c:pt idx="24">
                  <c:v>1.6209374999999999</c:v>
                </c:pt>
              </c:numCache>
            </c:numRef>
          </c:val>
          <c:smooth val="1"/>
          <c:extLst>
            <c:ext xmlns:c16="http://schemas.microsoft.com/office/drawing/2014/chart" uri="{C3380CC4-5D6E-409C-BE32-E72D297353CC}">
              <c16:uniqueId val="{00000000-42A6-4841-9D9F-AAAF9DBBB3EE}"/>
            </c:ext>
          </c:extLst>
        </c:ser>
        <c:ser>
          <c:idx val="2"/>
          <c:order val="1"/>
          <c:tx>
            <c:strRef>
              <c:f>'großfl. Einzelhandel BT A'!$AG$20:$AH$20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A'!$BB$22:$BB$46</c:f>
              <c:numCache>
                <c:formatCode>0</c:formatCode>
                <c:ptCount val="25"/>
                <c:pt idx="0">
                  <c:v>0.73750000000000004</c:v>
                </c:pt>
                <c:pt idx="1">
                  <c:v>0</c:v>
                </c:pt>
                <c:pt idx="2">
                  <c:v>0</c:v>
                </c:pt>
                <c:pt idx="3">
                  <c:v>0</c:v>
                </c:pt>
                <c:pt idx="4">
                  <c:v>0</c:v>
                </c:pt>
                <c:pt idx="5">
                  <c:v>0</c:v>
                </c:pt>
                <c:pt idx="6">
                  <c:v>1.4750000000000001</c:v>
                </c:pt>
                <c:pt idx="7">
                  <c:v>2.95</c:v>
                </c:pt>
                <c:pt idx="8">
                  <c:v>6.6375000000000002</c:v>
                </c:pt>
                <c:pt idx="9">
                  <c:v>7.7437500000000004</c:v>
                </c:pt>
                <c:pt idx="10">
                  <c:v>5.1624999999999996</c:v>
                </c:pt>
                <c:pt idx="11">
                  <c:v>4.7937500000000002</c:v>
                </c:pt>
                <c:pt idx="12">
                  <c:v>3.6875</c:v>
                </c:pt>
                <c:pt idx="13">
                  <c:v>19.175000000000001</c:v>
                </c:pt>
                <c:pt idx="14">
                  <c:v>17.331250000000001</c:v>
                </c:pt>
                <c:pt idx="15">
                  <c:v>8.85</c:v>
                </c:pt>
                <c:pt idx="16">
                  <c:v>10.324999999999999</c:v>
                </c:pt>
                <c:pt idx="17">
                  <c:v>17.331250000000001</c:v>
                </c:pt>
                <c:pt idx="18">
                  <c:v>20.28125</c:v>
                </c:pt>
                <c:pt idx="19">
                  <c:v>10.324999999999999</c:v>
                </c:pt>
                <c:pt idx="20">
                  <c:v>3.6875</c:v>
                </c:pt>
                <c:pt idx="21">
                  <c:v>2.95</c:v>
                </c:pt>
                <c:pt idx="22">
                  <c:v>1.84375</c:v>
                </c:pt>
                <c:pt idx="23">
                  <c:v>2.2124999999999999</c:v>
                </c:pt>
                <c:pt idx="24">
                  <c:v>0.73750000000000004</c:v>
                </c:pt>
              </c:numCache>
            </c:numRef>
          </c:val>
          <c:smooth val="1"/>
          <c:extLst>
            <c:ext xmlns:c16="http://schemas.microsoft.com/office/drawing/2014/chart" uri="{C3380CC4-5D6E-409C-BE32-E72D297353CC}">
              <c16:uniqueId val="{00000001-42A6-4841-9D9F-AAAF9DBBB3EE}"/>
            </c:ext>
          </c:extLst>
        </c:ser>
        <c:ser>
          <c:idx val="4"/>
          <c:order val="2"/>
          <c:tx>
            <c:strRef>
              <c:f>'großfl. Einzelhandel BT A'!$AI$20:$AJ$20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A'!$BE$22:$BE$46</c:f>
              <c:numCache>
                <c:formatCode>0</c:formatCode>
                <c:ptCount val="25"/>
                <c:pt idx="0">
                  <c:v>0.23400000000000001</c:v>
                </c:pt>
                <c:pt idx="1">
                  <c:v>0</c:v>
                </c:pt>
                <c:pt idx="2">
                  <c:v>0</c:v>
                </c:pt>
                <c:pt idx="3">
                  <c:v>0</c:v>
                </c:pt>
                <c:pt idx="4">
                  <c:v>0</c:v>
                </c:pt>
                <c:pt idx="5">
                  <c:v>0</c:v>
                </c:pt>
                <c:pt idx="6">
                  <c:v>0.36</c:v>
                </c:pt>
                <c:pt idx="7">
                  <c:v>0.63</c:v>
                </c:pt>
                <c:pt idx="8">
                  <c:v>1.71</c:v>
                </c:pt>
                <c:pt idx="9">
                  <c:v>2.34</c:v>
                </c:pt>
                <c:pt idx="10">
                  <c:v>2.97</c:v>
                </c:pt>
                <c:pt idx="11">
                  <c:v>3.24</c:v>
                </c:pt>
                <c:pt idx="12">
                  <c:v>3.69</c:v>
                </c:pt>
                <c:pt idx="13">
                  <c:v>3.15</c:v>
                </c:pt>
                <c:pt idx="14">
                  <c:v>2.79</c:v>
                </c:pt>
                <c:pt idx="15">
                  <c:v>2.016</c:v>
                </c:pt>
                <c:pt idx="16">
                  <c:v>2.52</c:v>
                </c:pt>
                <c:pt idx="17">
                  <c:v>3.15</c:v>
                </c:pt>
                <c:pt idx="18">
                  <c:v>2.52</c:v>
                </c:pt>
                <c:pt idx="19">
                  <c:v>1.89</c:v>
                </c:pt>
                <c:pt idx="20">
                  <c:v>1.35</c:v>
                </c:pt>
                <c:pt idx="21">
                  <c:v>0.63</c:v>
                </c:pt>
                <c:pt idx="22">
                  <c:v>0.36</c:v>
                </c:pt>
                <c:pt idx="23">
                  <c:v>0.45</c:v>
                </c:pt>
                <c:pt idx="24">
                  <c:v>0.23400000000000001</c:v>
                </c:pt>
              </c:numCache>
            </c:numRef>
          </c:val>
          <c:smooth val="1"/>
          <c:extLst>
            <c:ext xmlns:c16="http://schemas.microsoft.com/office/drawing/2014/chart" uri="{C3380CC4-5D6E-409C-BE32-E72D297353CC}">
              <c16:uniqueId val="{00000002-42A6-4841-9D9F-AAAF9DBBB3EE}"/>
            </c:ext>
          </c:extLst>
        </c:ser>
        <c:ser>
          <c:idx val="6"/>
          <c:order val="3"/>
          <c:tx>
            <c:v>Gesamt-Quellverkehr</c:v>
          </c:tx>
          <c:spPr>
            <a:ln w="38100">
              <a:solidFill>
                <a:srgbClr val="0000FF"/>
              </a:solidFill>
              <a:prstDash val="solid"/>
            </a:ln>
          </c:spPr>
          <c:marker>
            <c:symbol val="none"/>
          </c:marker>
          <c:val>
            <c:numRef>
              <c:f>'großfl. Einzelhandel BT A'!$BH$22:$BH$46</c:f>
              <c:numCache>
                <c:formatCode>0</c:formatCode>
                <c:ptCount val="25"/>
                <c:pt idx="0">
                  <c:v>2.5924375</c:v>
                </c:pt>
                <c:pt idx="1">
                  <c:v>0.15437500000000001</c:v>
                </c:pt>
                <c:pt idx="2">
                  <c:v>0</c:v>
                </c:pt>
                <c:pt idx="3">
                  <c:v>0</c:v>
                </c:pt>
                <c:pt idx="4">
                  <c:v>0.1235</c:v>
                </c:pt>
                <c:pt idx="5">
                  <c:v>7.7187500000000006E-2</c:v>
                </c:pt>
                <c:pt idx="6">
                  <c:v>1.835</c:v>
                </c:pt>
                <c:pt idx="7">
                  <c:v>4.1975000000000007</c:v>
                </c:pt>
                <c:pt idx="8">
                  <c:v>9.2737499999999997</c:v>
                </c:pt>
                <c:pt idx="9">
                  <c:v>11.164375</c:v>
                </c:pt>
                <c:pt idx="10">
                  <c:v>8.6728124999999991</c:v>
                </c:pt>
                <c:pt idx="11">
                  <c:v>8.4196875000000002</c:v>
                </c:pt>
                <c:pt idx="12">
                  <c:v>8.458124999999999</c:v>
                </c:pt>
                <c:pt idx="13">
                  <c:v>23.714375</c:v>
                </c:pt>
                <c:pt idx="14">
                  <c:v>21.1246875</c:v>
                </c:pt>
                <c:pt idx="15">
                  <c:v>12.255374999999999</c:v>
                </c:pt>
                <c:pt idx="16">
                  <c:v>13.894749999999998</c:v>
                </c:pt>
                <c:pt idx="17">
                  <c:v>21.947812499999998</c:v>
                </c:pt>
                <c:pt idx="18">
                  <c:v>25.271249999999998</c:v>
                </c:pt>
                <c:pt idx="19">
                  <c:v>15.765625</c:v>
                </c:pt>
                <c:pt idx="20">
                  <c:v>8.9586249999999996</c:v>
                </c:pt>
                <c:pt idx="21">
                  <c:v>6.5131249999999996</c:v>
                </c:pt>
                <c:pt idx="22">
                  <c:v>4.8281250000000009</c:v>
                </c:pt>
                <c:pt idx="23">
                  <c:v>5.1325000000000003</c:v>
                </c:pt>
                <c:pt idx="24">
                  <c:v>2.5924375</c:v>
                </c:pt>
              </c:numCache>
            </c:numRef>
          </c:val>
          <c:smooth val="1"/>
          <c:extLst>
            <c:ext xmlns:c16="http://schemas.microsoft.com/office/drawing/2014/chart" uri="{C3380CC4-5D6E-409C-BE32-E72D297353CC}">
              <c16:uniqueId val="{00000003-42A6-4841-9D9F-AAAF9DBBB3EE}"/>
            </c:ext>
          </c:extLst>
        </c:ser>
        <c:dLbls>
          <c:showLegendKey val="0"/>
          <c:showVal val="0"/>
          <c:showCatName val="0"/>
          <c:showSerName val="0"/>
          <c:showPercent val="0"/>
          <c:showBubbleSize val="0"/>
        </c:dLbls>
        <c:marker val="1"/>
        <c:smooth val="0"/>
        <c:axId val="313868032"/>
        <c:axId val="313871168"/>
      </c:lineChart>
      <c:catAx>
        <c:axId val="313868032"/>
        <c:scaling>
          <c:orientation val="minMax"/>
        </c:scaling>
        <c:delete val="1"/>
        <c:axPos val="t"/>
        <c:numFmt formatCode="General" sourceLinked="0"/>
        <c:majorTickMark val="out"/>
        <c:minorTickMark val="none"/>
        <c:tickLblPos val="none"/>
        <c:crossAx val="313871168"/>
        <c:crosses val="autoZero"/>
        <c:auto val="1"/>
        <c:lblAlgn val="ctr"/>
        <c:lblOffset val="100"/>
        <c:noMultiLvlLbl val="0"/>
      </c:catAx>
      <c:valAx>
        <c:axId val="313871168"/>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3138680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'großfl. Einzelhandel BT A'!$AE$21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A'!$AE$22:$AE$46</c:f>
              <c:numCache>
                <c:formatCode>0.00</c:formatCode>
                <c:ptCount val="25"/>
                <c:pt idx="0">
                  <c:v>-5.25</c:v>
                </c:pt>
                <c:pt idx="1">
                  <c:v>-0.5</c:v>
                </c:pt>
                <c:pt idx="2">
                  <c:v>0</c:v>
                </c:pt>
                <c:pt idx="3">
                  <c:v>0</c:v>
                </c:pt>
                <c:pt idx="4">
                  <c:v>-0.4</c:v>
                </c:pt>
                <c:pt idx="5">
                  <c:v>-0.25</c:v>
                </c:pt>
                <c:pt idx="6">
                  <c:v>0</c:v>
                </c:pt>
                <c:pt idx="7">
                  <c:v>-2</c:v>
                </c:pt>
                <c:pt idx="8">
                  <c:v>-3</c:v>
                </c:pt>
                <c:pt idx="9">
                  <c:v>-3.5</c:v>
                </c:pt>
                <c:pt idx="10">
                  <c:v>-1.75</c:v>
                </c:pt>
                <c:pt idx="11">
                  <c:v>-1.25</c:v>
                </c:pt>
                <c:pt idx="12">
                  <c:v>-3.5</c:v>
                </c:pt>
                <c:pt idx="13">
                  <c:v>-4.5</c:v>
                </c:pt>
                <c:pt idx="14">
                  <c:v>-3.25</c:v>
                </c:pt>
                <c:pt idx="15">
                  <c:v>-4.5</c:v>
                </c:pt>
                <c:pt idx="16">
                  <c:v>-3.4</c:v>
                </c:pt>
                <c:pt idx="17">
                  <c:v>-4.75</c:v>
                </c:pt>
                <c:pt idx="18">
                  <c:v>-8</c:v>
                </c:pt>
                <c:pt idx="19">
                  <c:v>-11.5</c:v>
                </c:pt>
                <c:pt idx="20">
                  <c:v>-12.7</c:v>
                </c:pt>
                <c:pt idx="21">
                  <c:v>-9.5</c:v>
                </c:pt>
                <c:pt idx="22">
                  <c:v>-8.5</c:v>
                </c:pt>
                <c:pt idx="23">
                  <c:v>-8</c:v>
                </c:pt>
                <c:pt idx="24">
                  <c:v>-5.25</c:v>
                </c:pt>
              </c:numCache>
            </c:numRef>
          </c:val>
          <c:smooth val="1"/>
          <c:extLst>
            <c:ext xmlns:c16="http://schemas.microsoft.com/office/drawing/2014/chart" uri="{C3380CC4-5D6E-409C-BE32-E72D297353CC}">
              <c16:uniqueId val="{00000000-B3F4-4C0A-B45F-0C751DA42976}"/>
            </c:ext>
          </c:extLst>
        </c:ser>
        <c:ser>
          <c:idx val="1"/>
          <c:order val="1"/>
          <c:tx>
            <c:strRef>
              <c:f>'großfl. Einzelhandel BT A'!$AF$21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A'!$AF$22:$AF$46</c:f>
              <c:numCache>
                <c:formatCode>0.00</c:formatCode>
                <c:ptCount val="25"/>
                <c:pt idx="0">
                  <c:v>1</c:v>
                </c:pt>
                <c:pt idx="1">
                  <c:v>0</c:v>
                </c:pt>
                <c:pt idx="2">
                  <c:v>0</c:v>
                </c:pt>
                <c:pt idx="3">
                  <c:v>0</c:v>
                </c:pt>
                <c:pt idx="4">
                  <c:v>0</c:v>
                </c:pt>
                <c:pt idx="5">
                  <c:v>0</c:v>
                </c:pt>
                <c:pt idx="6">
                  <c:v>0</c:v>
                </c:pt>
                <c:pt idx="7">
                  <c:v>3</c:v>
                </c:pt>
                <c:pt idx="8">
                  <c:v>3.25</c:v>
                </c:pt>
                <c:pt idx="9">
                  <c:v>1.5</c:v>
                </c:pt>
                <c:pt idx="10">
                  <c:v>2</c:v>
                </c:pt>
                <c:pt idx="11">
                  <c:v>2.25</c:v>
                </c:pt>
                <c:pt idx="12">
                  <c:v>4</c:v>
                </c:pt>
                <c:pt idx="13">
                  <c:v>4.9000000000000004</c:v>
                </c:pt>
                <c:pt idx="14">
                  <c:v>3.5</c:v>
                </c:pt>
                <c:pt idx="15">
                  <c:v>5</c:v>
                </c:pt>
                <c:pt idx="16">
                  <c:v>5.25</c:v>
                </c:pt>
                <c:pt idx="17">
                  <c:v>6</c:v>
                </c:pt>
                <c:pt idx="18">
                  <c:v>12</c:v>
                </c:pt>
                <c:pt idx="19">
                  <c:v>15.2</c:v>
                </c:pt>
                <c:pt idx="20">
                  <c:v>17.75</c:v>
                </c:pt>
                <c:pt idx="21">
                  <c:v>9.9</c:v>
                </c:pt>
                <c:pt idx="22">
                  <c:v>2.25</c:v>
                </c:pt>
                <c:pt idx="23">
                  <c:v>1.25</c:v>
                </c:pt>
                <c:pt idx="24">
                  <c:v>1</c:v>
                </c:pt>
              </c:numCache>
            </c:numRef>
          </c:val>
          <c:smooth val="1"/>
          <c:extLst>
            <c:ext xmlns:c16="http://schemas.microsoft.com/office/drawing/2014/chart" uri="{C3380CC4-5D6E-409C-BE32-E72D297353CC}">
              <c16:uniqueId val="{00000001-B3F4-4C0A-B45F-0C751DA42976}"/>
            </c:ext>
          </c:extLst>
        </c:ser>
        <c:dLbls>
          <c:showLegendKey val="0"/>
          <c:showVal val="0"/>
          <c:showCatName val="0"/>
          <c:showSerName val="0"/>
          <c:showPercent val="0"/>
          <c:showBubbleSize val="0"/>
        </c:dLbls>
        <c:smooth val="0"/>
        <c:axId val="313873912"/>
        <c:axId val="313868816"/>
      </c:lineChart>
      <c:catAx>
        <c:axId val="313873912"/>
        <c:scaling>
          <c:orientation val="minMax"/>
        </c:scaling>
        <c:delete val="1"/>
        <c:axPos val="b"/>
        <c:numFmt formatCode="General" sourceLinked="0"/>
        <c:majorTickMark val="out"/>
        <c:minorTickMark val="none"/>
        <c:tickLblPos val="none"/>
        <c:crossAx val="313868816"/>
        <c:crosses val="autoZero"/>
        <c:auto val="1"/>
        <c:lblAlgn val="ctr"/>
        <c:lblOffset val="100"/>
        <c:noMultiLvlLbl val="0"/>
      </c:catAx>
      <c:valAx>
        <c:axId val="31386881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3138739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68"/>
          <c:h val="9.8592042191908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'großfl. Einzelhandel BT A'!$AG$21</c:f>
              <c:strCache>
                <c:ptCount val="1"/>
                <c:pt idx="0">
                  <c:v>QV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479-4457-9992-312D75CAA851}"/>
            </c:ext>
          </c:extLst>
        </c:ser>
        <c:ser>
          <c:idx val="1"/>
          <c:order val="1"/>
          <c:tx>
            <c:strRef>
              <c:f>'großfl. Einzelhandel BT A'!$AH$21</c:f>
              <c:strCache>
                <c:ptCount val="1"/>
                <c:pt idx="0">
                  <c:v>ZV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479-4457-9992-312D75CAA851}"/>
            </c:ext>
          </c:extLst>
        </c:ser>
        <c:dLbls>
          <c:showLegendKey val="0"/>
          <c:showVal val="0"/>
          <c:showCatName val="0"/>
          <c:showSerName val="0"/>
          <c:showPercent val="0"/>
          <c:showBubbleSize val="0"/>
        </c:dLbls>
        <c:smooth val="0"/>
        <c:axId val="420360072"/>
        <c:axId val="420360856"/>
      </c:lineChart>
      <c:catAx>
        <c:axId val="420360072"/>
        <c:scaling>
          <c:orientation val="minMax"/>
        </c:scaling>
        <c:delete val="1"/>
        <c:axPos val="b"/>
        <c:numFmt formatCode="General" sourceLinked="0"/>
        <c:majorTickMark val="out"/>
        <c:minorTickMark val="none"/>
        <c:tickLblPos val="none"/>
        <c:crossAx val="420360856"/>
        <c:crosses val="autoZero"/>
        <c:auto val="1"/>
        <c:lblAlgn val="ctr"/>
        <c:lblOffset val="100"/>
        <c:noMultiLvlLbl val="0"/>
      </c:catAx>
      <c:valAx>
        <c:axId val="420360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6007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'großfl. Einzelhandel BT A'!$AI$21</c:f>
              <c:strCache>
                <c:ptCount val="1"/>
                <c:pt idx="0">
                  <c:v>QV [in %]</c:v>
                </c:pt>
              </c:strCache>
            </c:strRef>
          </c:tx>
          <c:spPr>
            <a:ln w="25400">
              <a:solidFill>
                <a:srgbClr val="008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04B5-457E-B2F8-F8252EB3E25C}"/>
            </c:ext>
          </c:extLst>
        </c:ser>
        <c:ser>
          <c:idx val="1"/>
          <c:order val="1"/>
          <c:tx>
            <c:strRef>
              <c:f>'großfl. Einzelhandel BT A'!$AJ$21</c:f>
              <c:strCache>
                <c:ptCount val="1"/>
                <c:pt idx="0">
                  <c:v>ZV [in %]</c:v>
                </c:pt>
              </c:strCache>
            </c:strRef>
          </c:tx>
          <c:spPr>
            <a:ln w="25400">
              <a:solidFill>
                <a:srgbClr val="0000FF"/>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04B5-457E-B2F8-F8252EB3E25C}"/>
            </c:ext>
          </c:extLst>
        </c:ser>
        <c:dLbls>
          <c:showLegendKey val="0"/>
          <c:showVal val="0"/>
          <c:showCatName val="0"/>
          <c:showSerName val="0"/>
          <c:showPercent val="0"/>
          <c:showBubbleSize val="0"/>
        </c:dLbls>
        <c:smooth val="0"/>
        <c:axId val="420354976"/>
        <c:axId val="422222600"/>
      </c:lineChart>
      <c:catAx>
        <c:axId val="420354976"/>
        <c:scaling>
          <c:orientation val="minMax"/>
        </c:scaling>
        <c:delete val="1"/>
        <c:axPos val="b"/>
        <c:numFmt formatCode="General" sourceLinked="0"/>
        <c:majorTickMark val="out"/>
        <c:minorTickMark val="none"/>
        <c:tickLblPos val="none"/>
        <c:crossAx val="422222600"/>
        <c:crosses val="autoZero"/>
        <c:auto val="1"/>
        <c:lblAlgn val="ctr"/>
        <c:lblOffset val="100"/>
        <c:noMultiLvlLbl val="0"/>
      </c:catAx>
      <c:valAx>
        <c:axId val="42222260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035497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'großfl. Einzelhandel BT A'!$AE$20:$AF$20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A'!$AZ$22:$AZ$46</c:f>
              <c:numCache>
                <c:formatCode>0</c:formatCode>
                <c:ptCount val="25"/>
                <c:pt idx="0">
                  <c:v>0.30875000000000002</c:v>
                </c:pt>
                <c:pt idx="1">
                  <c:v>0</c:v>
                </c:pt>
                <c:pt idx="2">
                  <c:v>0</c:v>
                </c:pt>
                <c:pt idx="3">
                  <c:v>0</c:v>
                </c:pt>
                <c:pt idx="4">
                  <c:v>0</c:v>
                </c:pt>
                <c:pt idx="5">
                  <c:v>0</c:v>
                </c:pt>
                <c:pt idx="6">
                  <c:v>0</c:v>
                </c:pt>
                <c:pt idx="7">
                  <c:v>0.92625000000000002</c:v>
                </c:pt>
                <c:pt idx="8">
                  <c:v>1.0034374999999998</c:v>
                </c:pt>
                <c:pt idx="9">
                  <c:v>0.46312500000000001</c:v>
                </c:pt>
                <c:pt idx="10">
                  <c:v>0.61750000000000005</c:v>
                </c:pt>
                <c:pt idx="11">
                  <c:v>0.69468750000000001</c:v>
                </c:pt>
                <c:pt idx="12">
                  <c:v>1.2350000000000001</c:v>
                </c:pt>
                <c:pt idx="13">
                  <c:v>1.512875</c:v>
                </c:pt>
                <c:pt idx="14">
                  <c:v>1.0806249999999999</c:v>
                </c:pt>
                <c:pt idx="15">
                  <c:v>1.54375</c:v>
                </c:pt>
                <c:pt idx="16">
                  <c:v>1.6209374999999999</c:v>
                </c:pt>
                <c:pt idx="17">
                  <c:v>1.8525</c:v>
                </c:pt>
                <c:pt idx="18">
                  <c:v>3.7050000000000001</c:v>
                </c:pt>
                <c:pt idx="19">
                  <c:v>4.6930000000000005</c:v>
                </c:pt>
                <c:pt idx="20">
                  <c:v>5.4803125000000001</c:v>
                </c:pt>
                <c:pt idx="21">
                  <c:v>3.0566249999999995</c:v>
                </c:pt>
                <c:pt idx="22">
                  <c:v>0.69468750000000001</c:v>
                </c:pt>
                <c:pt idx="23">
                  <c:v>0.38593749999999999</c:v>
                </c:pt>
                <c:pt idx="24">
                  <c:v>0.30875000000000002</c:v>
                </c:pt>
              </c:numCache>
            </c:numRef>
          </c:val>
          <c:smooth val="1"/>
          <c:extLst>
            <c:ext xmlns:c16="http://schemas.microsoft.com/office/drawing/2014/chart" uri="{C3380CC4-5D6E-409C-BE32-E72D297353CC}">
              <c16:uniqueId val="{00000000-8C87-4129-84C6-FF13B03BFBF5}"/>
            </c:ext>
          </c:extLst>
        </c:ser>
        <c:ser>
          <c:idx val="3"/>
          <c:order val="1"/>
          <c:tx>
            <c:strRef>
              <c:f>'großfl. Einzelhandel BT A'!$AG$20:$AH$20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A'!$BC$22:$BC$46</c:f>
              <c:numCache>
                <c:formatCode>0</c:formatCode>
                <c:ptCount val="25"/>
                <c:pt idx="0">
                  <c:v>0</c:v>
                </c:pt>
                <c:pt idx="1">
                  <c:v>0</c:v>
                </c:pt>
                <c:pt idx="2">
                  <c:v>0</c:v>
                </c:pt>
                <c:pt idx="3">
                  <c:v>0</c:v>
                </c:pt>
                <c:pt idx="4">
                  <c:v>0</c:v>
                </c:pt>
                <c:pt idx="5">
                  <c:v>1.4750000000000001</c:v>
                </c:pt>
                <c:pt idx="6">
                  <c:v>9.9562500000000007</c:v>
                </c:pt>
                <c:pt idx="7">
                  <c:v>32.744999999999997</c:v>
                </c:pt>
                <c:pt idx="8">
                  <c:v>42.332500000000003</c:v>
                </c:pt>
                <c:pt idx="9">
                  <c:v>12.90625</c:v>
                </c:pt>
                <c:pt idx="10">
                  <c:v>2.5812499999999998</c:v>
                </c:pt>
                <c:pt idx="11">
                  <c:v>1.4750000000000001</c:v>
                </c:pt>
                <c:pt idx="12">
                  <c:v>0.73750000000000004</c:v>
                </c:pt>
                <c:pt idx="13">
                  <c:v>7.67</c:v>
                </c:pt>
                <c:pt idx="14">
                  <c:v>19.765000000000001</c:v>
                </c:pt>
                <c:pt idx="15">
                  <c:v>7.9649999999999999</c:v>
                </c:pt>
                <c:pt idx="16">
                  <c:v>2.5812499999999998</c:v>
                </c:pt>
                <c:pt idx="17">
                  <c:v>1.84375</c:v>
                </c:pt>
                <c:pt idx="18">
                  <c:v>1.4750000000000001</c:v>
                </c:pt>
                <c:pt idx="19">
                  <c:v>0.36875000000000002</c:v>
                </c:pt>
                <c:pt idx="20">
                  <c:v>0.59</c:v>
                </c:pt>
                <c:pt idx="21">
                  <c:v>0</c:v>
                </c:pt>
                <c:pt idx="22">
                  <c:v>1.0325</c:v>
                </c:pt>
                <c:pt idx="23">
                  <c:v>0</c:v>
                </c:pt>
                <c:pt idx="24">
                  <c:v>0</c:v>
                </c:pt>
              </c:numCache>
            </c:numRef>
          </c:val>
          <c:smooth val="1"/>
          <c:extLst>
            <c:ext xmlns:c16="http://schemas.microsoft.com/office/drawing/2014/chart" uri="{C3380CC4-5D6E-409C-BE32-E72D297353CC}">
              <c16:uniqueId val="{00000001-8C87-4129-84C6-FF13B03BFBF5}"/>
            </c:ext>
          </c:extLst>
        </c:ser>
        <c:ser>
          <c:idx val="5"/>
          <c:order val="2"/>
          <c:tx>
            <c:strRef>
              <c:f>'großfl. Einzelhandel BT A'!$AI$20:$AJ$20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A'!$BF$22:$BF$46</c:f>
              <c:numCache>
                <c:formatCode>0</c:formatCode>
                <c:ptCount val="25"/>
                <c:pt idx="0">
                  <c:v>0</c:v>
                </c:pt>
                <c:pt idx="1">
                  <c:v>0</c:v>
                </c:pt>
                <c:pt idx="2">
                  <c:v>0</c:v>
                </c:pt>
                <c:pt idx="3">
                  <c:v>0</c:v>
                </c:pt>
                <c:pt idx="4">
                  <c:v>0</c:v>
                </c:pt>
                <c:pt idx="5">
                  <c:v>0.09</c:v>
                </c:pt>
                <c:pt idx="6">
                  <c:v>0.54</c:v>
                </c:pt>
                <c:pt idx="7">
                  <c:v>1.08</c:v>
                </c:pt>
                <c:pt idx="8">
                  <c:v>2.88</c:v>
                </c:pt>
                <c:pt idx="9">
                  <c:v>3.7440000000000002</c:v>
                </c:pt>
                <c:pt idx="10">
                  <c:v>3.15</c:v>
                </c:pt>
                <c:pt idx="11">
                  <c:v>3.69</c:v>
                </c:pt>
                <c:pt idx="12">
                  <c:v>3.5640000000000005</c:v>
                </c:pt>
                <c:pt idx="13">
                  <c:v>2.52</c:v>
                </c:pt>
                <c:pt idx="14">
                  <c:v>2.34</c:v>
                </c:pt>
                <c:pt idx="15">
                  <c:v>2.16</c:v>
                </c:pt>
                <c:pt idx="16">
                  <c:v>2.79</c:v>
                </c:pt>
                <c:pt idx="17">
                  <c:v>2.4300000000000002</c:v>
                </c:pt>
                <c:pt idx="18">
                  <c:v>1.8</c:v>
                </c:pt>
                <c:pt idx="19">
                  <c:v>1.35</c:v>
                </c:pt>
                <c:pt idx="20">
                  <c:v>1.17</c:v>
                </c:pt>
                <c:pt idx="21">
                  <c:v>0.52199999999999991</c:v>
                </c:pt>
                <c:pt idx="22">
                  <c:v>0.09</c:v>
                </c:pt>
                <c:pt idx="23">
                  <c:v>0.09</c:v>
                </c:pt>
                <c:pt idx="24">
                  <c:v>0</c:v>
                </c:pt>
              </c:numCache>
            </c:numRef>
          </c:val>
          <c:smooth val="1"/>
          <c:extLst>
            <c:ext xmlns:c16="http://schemas.microsoft.com/office/drawing/2014/chart" uri="{C3380CC4-5D6E-409C-BE32-E72D297353CC}">
              <c16:uniqueId val="{00000002-8C87-4129-84C6-FF13B03BFBF5}"/>
            </c:ext>
          </c:extLst>
        </c:ser>
        <c:ser>
          <c:idx val="7"/>
          <c:order val="3"/>
          <c:tx>
            <c:v>Gesamt-Zielverkehr</c:v>
          </c:tx>
          <c:spPr>
            <a:ln w="38100">
              <a:solidFill>
                <a:srgbClr val="008000"/>
              </a:solidFill>
              <a:prstDash val="solid"/>
            </a:ln>
          </c:spPr>
          <c:marker>
            <c:symbol val="none"/>
          </c:marker>
          <c:val>
            <c:numRef>
              <c:f>'großfl. Einzelhandel BT A'!$BI$22:$BI$46</c:f>
              <c:numCache>
                <c:formatCode>0</c:formatCode>
                <c:ptCount val="25"/>
                <c:pt idx="0">
                  <c:v>0.30875000000000002</c:v>
                </c:pt>
                <c:pt idx="1">
                  <c:v>0</c:v>
                </c:pt>
                <c:pt idx="2">
                  <c:v>0</c:v>
                </c:pt>
                <c:pt idx="3">
                  <c:v>0</c:v>
                </c:pt>
                <c:pt idx="4">
                  <c:v>0</c:v>
                </c:pt>
                <c:pt idx="5">
                  <c:v>1.5650000000000002</c:v>
                </c:pt>
                <c:pt idx="6">
                  <c:v>10.49625</c:v>
                </c:pt>
                <c:pt idx="7">
                  <c:v>34.751249999999999</c:v>
                </c:pt>
                <c:pt idx="8">
                  <c:v>46.215937500000003</c:v>
                </c:pt>
                <c:pt idx="9">
                  <c:v>17.113375000000001</c:v>
                </c:pt>
                <c:pt idx="10">
                  <c:v>6.3487499999999999</c:v>
                </c:pt>
                <c:pt idx="11">
                  <c:v>5.8596874999999997</c:v>
                </c:pt>
                <c:pt idx="12">
                  <c:v>5.5365000000000002</c:v>
                </c:pt>
                <c:pt idx="13">
                  <c:v>11.702874999999999</c:v>
                </c:pt>
                <c:pt idx="14">
                  <c:v>23.185625000000002</c:v>
                </c:pt>
                <c:pt idx="15">
                  <c:v>11.668749999999999</c:v>
                </c:pt>
                <c:pt idx="16">
                  <c:v>6.9921875</c:v>
                </c:pt>
                <c:pt idx="17">
                  <c:v>6.1262500000000006</c:v>
                </c:pt>
                <c:pt idx="18">
                  <c:v>6.9799999999999995</c:v>
                </c:pt>
                <c:pt idx="19">
                  <c:v>6.4117500000000014</c:v>
                </c:pt>
                <c:pt idx="20">
                  <c:v>7.2403124999999999</c:v>
                </c:pt>
                <c:pt idx="21">
                  <c:v>3.5786249999999993</c:v>
                </c:pt>
                <c:pt idx="22">
                  <c:v>1.8171875</c:v>
                </c:pt>
                <c:pt idx="23">
                  <c:v>0.47593750000000001</c:v>
                </c:pt>
                <c:pt idx="24">
                  <c:v>0.30875000000000002</c:v>
                </c:pt>
              </c:numCache>
            </c:numRef>
          </c:val>
          <c:smooth val="1"/>
          <c:extLst>
            <c:ext xmlns:c16="http://schemas.microsoft.com/office/drawing/2014/chart" uri="{C3380CC4-5D6E-409C-BE32-E72D297353CC}">
              <c16:uniqueId val="{00000003-8C87-4129-84C6-FF13B03BFBF5}"/>
            </c:ext>
          </c:extLst>
        </c:ser>
        <c:dLbls>
          <c:showLegendKey val="0"/>
          <c:showVal val="0"/>
          <c:showCatName val="0"/>
          <c:showSerName val="0"/>
          <c:showPercent val="0"/>
          <c:showBubbleSize val="0"/>
        </c:dLbls>
        <c:marker val="1"/>
        <c:smooth val="0"/>
        <c:axId val="422221816"/>
        <c:axId val="422219072"/>
      </c:lineChart>
      <c:catAx>
        <c:axId val="42222181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219072"/>
        <c:crosses val="autoZero"/>
        <c:auto val="1"/>
        <c:lblAlgn val="ctr"/>
        <c:lblOffset val="100"/>
        <c:tickLblSkip val="1"/>
        <c:noMultiLvlLbl val="0"/>
      </c:catAx>
      <c:valAx>
        <c:axId val="42221907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2181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'großfl. Einzelhandel BT A'!$BY$19:$BY$20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A'!$BY$22:$BY$46</c:f>
              <c:numCache>
                <c:formatCode>0</c:formatCode>
                <c:ptCount val="25"/>
                <c:pt idx="0">
                  <c:v>0.58662499999999973</c:v>
                </c:pt>
                <c:pt idx="1">
                  <c:v>0.43224999999999969</c:v>
                </c:pt>
                <c:pt idx="2">
                  <c:v>0.43224999999999969</c:v>
                </c:pt>
                <c:pt idx="3">
                  <c:v>0.43224999999999969</c:v>
                </c:pt>
                <c:pt idx="4">
                  <c:v>0.30874999999999969</c:v>
                </c:pt>
                <c:pt idx="5">
                  <c:v>0.23156249999999967</c:v>
                </c:pt>
                <c:pt idx="6">
                  <c:v>0.23156249999999967</c:v>
                </c:pt>
                <c:pt idx="7">
                  <c:v>0.54031249999999964</c:v>
                </c:pt>
                <c:pt idx="8">
                  <c:v>0.61749999999999938</c:v>
                </c:pt>
                <c:pt idx="9">
                  <c:v>0</c:v>
                </c:pt>
                <c:pt idx="10">
                  <c:v>7.7187500000000075E-2</c:v>
                </c:pt>
                <c:pt idx="11">
                  <c:v>0.3859375000000001</c:v>
                </c:pt>
                <c:pt idx="12">
                  <c:v>0.5403125000000002</c:v>
                </c:pt>
                <c:pt idx="13">
                  <c:v>0.66381250000000014</c:v>
                </c:pt>
                <c:pt idx="14">
                  <c:v>0.74100000000000033</c:v>
                </c:pt>
                <c:pt idx="15">
                  <c:v>0.89537500000000025</c:v>
                </c:pt>
                <c:pt idx="16">
                  <c:v>1.4665625000000002</c:v>
                </c:pt>
                <c:pt idx="17">
                  <c:v>1.8525000000000003</c:v>
                </c:pt>
                <c:pt idx="18">
                  <c:v>3.0875000000000004</c:v>
                </c:pt>
                <c:pt idx="19">
                  <c:v>4.2298750000000007</c:v>
                </c:pt>
                <c:pt idx="20">
                  <c:v>5.7890625000000009</c:v>
                </c:pt>
                <c:pt idx="21">
                  <c:v>5.9125624999999999</c:v>
                </c:pt>
                <c:pt idx="22">
                  <c:v>3.9828749999999999</c:v>
                </c:pt>
                <c:pt idx="23">
                  <c:v>1.8988124999999996</c:v>
                </c:pt>
                <c:pt idx="24">
                  <c:v>0.58662499999999973</c:v>
                </c:pt>
              </c:numCache>
            </c:numRef>
          </c:val>
          <c:smooth val="1"/>
          <c:extLst>
            <c:ext xmlns:c16="http://schemas.microsoft.com/office/drawing/2014/chart" uri="{C3380CC4-5D6E-409C-BE32-E72D297353CC}">
              <c16:uniqueId val="{00000000-8580-47A8-9ADC-B2441BEF61A7}"/>
            </c:ext>
          </c:extLst>
        </c:ser>
        <c:ser>
          <c:idx val="3"/>
          <c:order val="1"/>
          <c:tx>
            <c:strRef>
              <c:f>'großfl. Einzelhandel BT A'!$BZ$19:$BZ$20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A'!$BZ$22:$BZ$46</c:f>
              <c:numCache>
                <c:formatCode>0</c:formatCode>
                <c:ptCount val="25"/>
                <c:pt idx="0">
                  <c:v>0</c:v>
                </c:pt>
                <c:pt idx="1">
                  <c:v>0</c:v>
                </c:pt>
                <c:pt idx="2">
                  <c:v>0</c:v>
                </c:pt>
                <c:pt idx="3">
                  <c:v>0</c:v>
                </c:pt>
                <c:pt idx="4">
                  <c:v>0</c:v>
                </c:pt>
                <c:pt idx="5">
                  <c:v>1.4750000000000001</c:v>
                </c:pt>
                <c:pt idx="6">
                  <c:v>9.9562500000000007</c:v>
                </c:pt>
                <c:pt idx="7">
                  <c:v>39.751249999999999</c:v>
                </c:pt>
                <c:pt idx="8">
                  <c:v>75.446249999999992</c:v>
                </c:pt>
                <c:pt idx="9">
                  <c:v>80.608749999999986</c:v>
                </c:pt>
                <c:pt idx="10">
                  <c:v>78.027499999999989</c:v>
                </c:pt>
                <c:pt idx="11">
                  <c:v>74.708749999999995</c:v>
                </c:pt>
                <c:pt idx="12">
                  <c:v>71.758749999999992</c:v>
                </c:pt>
                <c:pt idx="13">
                  <c:v>60.253749999999989</c:v>
                </c:pt>
                <c:pt idx="14">
                  <c:v>62.687499999999986</c:v>
                </c:pt>
                <c:pt idx="15">
                  <c:v>61.802499999999988</c:v>
                </c:pt>
                <c:pt idx="16">
                  <c:v>54.058749999999989</c:v>
                </c:pt>
                <c:pt idx="17">
                  <c:v>38.571249999999992</c:v>
                </c:pt>
                <c:pt idx="18">
                  <c:v>19.764999999999993</c:v>
                </c:pt>
                <c:pt idx="19">
                  <c:v>9.8087499999999945</c:v>
                </c:pt>
                <c:pt idx="20">
                  <c:v>6.7112499999999944</c:v>
                </c:pt>
                <c:pt idx="21">
                  <c:v>3.7612499999999942</c:v>
                </c:pt>
                <c:pt idx="22">
                  <c:v>2.949999999999994</c:v>
                </c:pt>
                <c:pt idx="23">
                  <c:v>0.73749999999999405</c:v>
                </c:pt>
                <c:pt idx="24">
                  <c:v>0</c:v>
                </c:pt>
              </c:numCache>
            </c:numRef>
          </c:val>
          <c:smooth val="1"/>
          <c:extLst>
            <c:ext xmlns:c16="http://schemas.microsoft.com/office/drawing/2014/chart" uri="{C3380CC4-5D6E-409C-BE32-E72D297353CC}">
              <c16:uniqueId val="{00000001-8580-47A8-9ADC-B2441BEF61A7}"/>
            </c:ext>
          </c:extLst>
        </c:ser>
        <c:ser>
          <c:idx val="5"/>
          <c:order val="2"/>
          <c:tx>
            <c:strRef>
              <c:f>'großfl. Einzelhandel BT A'!$CA$19:$CA$20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A'!$CA$22:$CA$46</c:f>
              <c:numCache>
                <c:formatCode>0</c:formatCode>
                <c:ptCount val="25"/>
                <c:pt idx="0">
                  <c:v>7.4940054162198066E-16</c:v>
                </c:pt>
                <c:pt idx="1">
                  <c:v>7.4940054162198066E-16</c:v>
                </c:pt>
                <c:pt idx="2">
                  <c:v>7.4940054162198066E-16</c:v>
                </c:pt>
                <c:pt idx="3">
                  <c:v>7.4940054162198066E-16</c:v>
                </c:pt>
                <c:pt idx="4">
                  <c:v>7.4940054162198066E-16</c:v>
                </c:pt>
                <c:pt idx="5">
                  <c:v>9.0000000000000746E-2</c:v>
                </c:pt>
                <c:pt idx="6">
                  <c:v>0.27000000000000079</c:v>
                </c:pt>
                <c:pt idx="7">
                  <c:v>0.72000000000000086</c:v>
                </c:pt>
                <c:pt idx="8">
                  <c:v>1.8900000000000008</c:v>
                </c:pt>
                <c:pt idx="9">
                  <c:v>3.2940000000000014</c:v>
                </c:pt>
                <c:pt idx="10">
                  <c:v>3.4740000000000011</c:v>
                </c:pt>
                <c:pt idx="11">
                  <c:v>3.9240000000000008</c:v>
                </c:pt>
                <c:pt idx="12">
                  <c:v>3.7980000000000014</c:v>
                </c:pt>
                <c:pt idx="13">
                  <c:v>3.1680000000000015</c:v>
                </c:pt>
                <c:pt idx="14">
                  <c:v>2.7180000000000013</c:v>
                </c:pt>
                <c:pt idx="15">
                  <c:v>2.8620000000000014</c:v>
                </c:pt>
                <c:pt idx="16">
                  <c:v>3.1320000000000014</c:v>
                </c:pt>
                <c:pt idx="17">
                  <c:v>2.4120000000000017</c:v>
                </c:pt>
                <c:pt idx="18">
                  <c:v>1.6920000000000017</c:v>
                </c:pt>
                <c:pt idx="19">
                  <c:v>1.1520000000000019</c:v>
                </c:pt>
                <c:pt idx="20">
                  <c:v>0.97200000000000175</c:v>
                </c:pt>
                <c:pt idx="21">
                  <c:v>0.86400000000000166</c:v>
                </c:pt>
                <c:pt idx="22">
                  <c:v>0.59400000000000164</c:v>
                </c:pt>
                <c:pt idx="23">
                  <c:v>0.23400000000000165</c:v>
                </c:pt>
                <c:pt idx="24">
                  <c:v>1.6375789613221059E-15</c:v>
                </c:pt>
              </c:numCache>
            </c:numRef>
          </c:val>
          <c:smooth val="1"/>
          <c:extLst>
            <c:ext xmlns:c16="http://schemas.microsoft.com/office/drawing/2014/chart" uri="{C3380CC4-5D6E-409C-BE32-E72D297353CC}">
              <c16:uniqueId val="{00000002-8580-47A8-9ADC-B2441BEF61A7}"/>
            </c:ext>
          </c:extLst>
        </c:ser>
        <c:ser>
          <c:idx val="7"/>
          <c:order val="3"/>
          <c:tx>
            <c:v>Gesamtanzahl Stellplätze</c:v>
          </c:tx>
          <c:spPr>
            <a:ln w="38100">
              <a:solidFill>
                <a:srgbClr val="000000"/>
              </a:solidFill>
              <a:prstDash val="solid"/>
            </a:ln>
          </c:spPr>
          <c:marker>
            <c:symbol val="none"/>
          </c:marker>
          <c:cat>
            <c:strRef>
              <c:f>'großfl. Einzelhandel BT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'großfl. Einzelhandel BT A'!$CB$22:$CB$46</c:f>
              <c:numCache>
                <c:formatCode>0</c:formatCode>
                <c:ptCount val="25"/>
                <c:pt idx="0">
                  <c:v>0.5866250000000014</c:v>
                </c:pt>
                <c:pt idx="1">
                  <c:v>0.43225000000000047</c:v>
                </c:pt>
                <c:pt idx="2">
                  <c:v>0.43225000000000047</c:v>
                </c:pt>
                <c:pt idx="3">
                  <c:v>0.43225000000000047</c:v>
                </c:pt>
                <c:pt idx="4">
                  <c:v>0.30875000000000041</c:v>
                </c:pt>
                <c:pt idx="5">
                  <c:v>1.7965625000000005</c:v>
                </c:pt>
                <c:pt idx="6">
                  <c:v>10.457812500000001</c:v>
                </c:pt>
                <c:pt idx="7">
                  <c:v>41.011562499999997</c:v>
                </c:pt>
                <c:pt idx="8">
                  <c:v>77.953749999999985</c:v>
                </c:pt>
                <c:pt idx="9">
                  <c:v>83.902749999999983</c:v>
                </c:pt>
                <c:pt idx="10">
                  <c:v>81.578687499999987</c:v>
                </c:pt>
                <c:pt idx="11">
                  <c:v>79.018687499999999</c:v>
                </c:pt>
                <c:pt idx="12">
                  <c:v>76.097062499999993</c:v>
                </c:pt>
                <c:pt idx="13">
                  <c:v>64.085562499999995</c:v>
                </c:pt>
                <c:pt idx="14">
                  <c:v>66.146499999999989</c:v>
                </c:pt>
                <c:pt idx="15">
                  <c:v>65.559874999999991</c:v>
                </c:pt>
                <c:pt idx="16">
                  <c:v>58.657312499999989</c:v>
                </c:pt>
                <c:pt idx="17">
                  <c:v>42.83574999999999</c:v>
                </c:pt>
                <c:pt idx="18">
                  <c:v>24.544499999999992</c:v>
                </c:pt>
                <c:pt idx="19">
                  <c:v>15.190624999999997</c:v>
                </c:pt>
                <c:pt idx="20">
                  <c:v>13.472312499999997</c:v>
                </c:pt>
                <c:pt idx="21">
                  <c:v>10.537812499999994</c:v>
                </c:pt>
                <c:pt idx="22">
                  <c:v>7.5268749999999951</c:v>
                </c:pt>
                <c:pt idx="23">
                  <c:v>2.8703124999999954</c:v>
                </c:pt>
                <c:pt idx="24">
                  <c:v>0.5866250000000014</c:v>
                </c:pt>
              </c:numCache>
            </c:numRef>
          </c:val>
          <c:smooth val="1"/>
          <c:extLst>
            <c:ext xmlns:c16="http://schemas.microsoft.com/office/drawing/2014/chart" uri="{C3380CC4-5D6E-409C-BE32-E72D297353CC}">
              <c16:uniqueId val="{00000003-8580-47A8-9ADC-B2441BEF61A7}"/>
            </c:ext>
          </c:extLst>
        </c:ser>
        <c:dLbls>
          <c:showLegendKey val="0"/>
          <c:showVal val="0"/>
          <c:showCatName val="0"/>
          <c:showSerName val="0"/>
          <c:showPercent val="0"/>
          <c:showBubbleSize val="0"/>
        </c:dLbls>
        <c:marker val="1"/>
        <c:smooth val="0"/>
        <c:axId val="422222992"/>
        <c:axId val="422215544"/>
      </c:lineChart>
      <c:catAx>
        <c:axId val="4222229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215544"/>
        <c:crosses val="autoZero"/>
        <c:auto val="1"/>
        <c:lblAlgn val="ctr"/>
        <c:lblOffset val="100"/>
        <c:tickLblSkip val="1"/>
        <c:noMultiLvlLbl val="0"/>
      </c:catAx>
      <c:valAx>
        <c:axId val="422215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22992"/>
        <c:crosses val="autoZero"/>
        <c:crossBetween val="between"/>
      </c:valAx>
      <c:spPr>
        <a:noFill/>
        <a:ln w="12700">
          <a:solidFill>
            <a:srgbClr val="000000"/>
          </a:solidFill>
          <a:prstDash val="solid"/>
        </a:ln>
      </c:spPr>
    </c:plotArea>
    <c:legend>
      <c:legendPos val="b"/>
      <c:layout>
        <c:manualLayout>
          <c:xMode val="edge"/>
          <c:yMode val="edge"/>
          <c:x val="6.3620169109206925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'Logistikzentrum Bushof'!$AE$20:$AF$20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5C-42D5-9FD1-74315E81C06E}"/>
            </c:ext>
          </c:extLst>
        </c:ser>
        <c:ser>
          <c:idx val="2"/>
          <c:order val="1"/>
          <c:tx>
            <c:strRef>
              <c:f>'Logistikzentrum Bushof'!$AG$20:$AH$20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5C-42D5-9FD1-74315E81C06E}"/>
            </c:ext>
          </c:extLst>
        </c:ser>
        <c:ser>
          <c:idx val="4"/>
          <c:order val="2"/>
          <c:tx>
            <c:strRef>
              <c:f>'Logistikzentrum Bushof'!$AI$20:$AJ$20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5C-42D5-9FD1-74315E81C06E}"/>
            </c:ext>
          </c:extLst>
        </c:ser>
        <c:ser>
          <c:idx val="6"/>
          <c:order val="3"/>
          <c:tx>
            <c:v>Gesamt-Quellverkehr</c:v>
          </c:tx>
          <c:spPr>
            <a:ln w="38100">
              <a:solidFill>
                <a:srgbClr val="0000FF"/>
              </a:solidFill>
              <a:prstDash val="solid"/>
            </a:ln>
          </c:spPr>
          <c:marker>
            <c:symbol val="none"/>
          </c:marker>
          <c:val>
            <c:numRef>
              <c:f>'Logistikzentrum Bushof'!$BH$22:$BH$46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5C-42D5-9FD1-74315E81C06E}"/>
            </c:ext>
          </c:extLst>
        </c:ser>
        <c:dLbls>
          <c:showLegendKey val="0"/>
          <c:showVal val="0"/>
          <c:showCatName val="0"/>
          <c:showSerName val="0"/>
          <c:showPercent val="0"/>
          <c:showBubbleSize val="0"/>
        </c:dLbls>
        <c:marker val="1"/>
        <c:smooth val="0"/>
        <c:axId val="423829888"/>
        <c:axId val="423834984"/>
      </c:lineChart>
      <c:catAx>
        <c:axId val="423829888"/>
        <c:scaling>
          <c:orientation val="minMax"/>
        </c:scaling>
        <c:delete val="1"/>
        <c:axPos val="t"/>
        <c:numFmt formatCode="General" sourceLinked="0"/>
        <c:majorTickMark val="out"/>
        <c:minorTickMark val="none"/>
        <c:tickLblPos val="none"/>
        <c:crossAx val="423834984"/>
        <c:crosses val="autoZero"/>
        <c:auto val="1"/>
        <c:lblAlgn val="ctr"/>
        <c:lblOffset val="100"/>
        <c:noMultiLvlLbl val="0"/>
      </c:catAx>
      <c:valAx>
        <c:axId val="42383498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2988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'Logistikzentrum Bushof'!$AE$21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B77-4D27-A815-E0A1DF4BFE8B}"/>
            </c:ext>
          </c:extLst>
        </c:ser>
        <c:ser>
          <c:idx val="1"/>
          <c:order val="1"/>
          <c:tx>
            <c:strRef>
              <c:f>'Logistikzentrum Bushof'!$AF$21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B77-4D27-A815-E0A1DF4BFE8B}"/>
            </c:ext>
          </c:extLst>
        </c:ser>
        <c:dLbls>
          <c:showLegendKey val="0"/>
          <c:showVal val="0"/>
          <c:showCatName val="0"/>
          <c:showSerName val="0"/>
          <c:showPercent val="0"/>
          <c:showBubbleSize val="0"/>
        </c:dLbls>
        <c:smooth val="0"/>
        <c:axId val="423885032"/>
        <c:axId val="423884248"/>
      </c:lineChart>
      <c:catAx>
        <c:axId val="423885032"/>
        <c:scaling>
          <c:orientation val="minMax"/>
        </c:scaling>
        <c:delete val="1"/>
        <c:axPos val="b"/>
        <c:numFmt formatCode="General" sourceLinked="0"/>
        <c:majorTickMark val="out"/>
        <c:minorTickMark val="none"/>
        <c:tickLblPos val="none"/>
        <c:crossAx val="423884248"/>
        <c:crosses val="autoZero"/>
        <c:auto val="1"/>
        <c:lblAlgn val="ctr"/>
        <c:lblOffset val="100"/>
        <c:noMultiLvlLbl val="0"/>
      </c:catAx>
      <c:valAx>
        <c:axId val="4238842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503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'Logistikzentrum Bushof'!$AG$21</c:f>
              <c:strCache>
                <c:ptCount val="1"/>
                <c:pt idx="0">
                  <c:v>QV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698-48EC-8DD9-8493CDB33E0E}"/>
            </c:ext>
          </c:extLst>
        </c:ser>
        <c:ser>
          <c:idx val="1"/>
          <c:order val="1"/>
          <c:tx>
            <c:strRef>
              <c:f>'Logistikzentrum Bushof'!$AH$21</c:f>
              <c:strCache>
                <c:ptCount val="1"/>
                <c:pt idx="0">
                  <c:v>ZV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698-48EC-8DD9-8493CDB33E0E}"/>
            </c:ext>
          </c:extLst>
        </c:ser>
        <c:dLbls>
          <c:showLegendKey val="0"/>
          <c:showVal val="0"/>
          <c:showCatName val="0"/>
          <c:showSerName val="0"/>
          <c:showPercent val="0"/>
          <c:showBubbleSize val="0"/>
        </c:dLbls>
        <c:smooth val="0"/>
        <c:axId val="423886992"/>
        <c:axId val="423883856"/>
      </c:lineChart>
      <c:catAx>
        <c:axId val="423886992"/>
        <c:scaling>
          <c:orientation val="minMax"/>
        </c:scaling>
        <c:delete val="1"/>
        <c:axPos val="b"/>
        <c:numFmt formatCode="General" sourceLinked="0"/>
        <c:majorTickMark val="out"/>
        <c:minorTickMark val="none"/>
        <c:tickLblPos val="none"/>
        <c:crossAx val="423883856"/>
        <c:crosses val="autoZero"/>
        <c:auto val="1"/>
        <c:lblAlgn val="ctr"/>
        <c:lblOffset val="100"/>
        <c:noMultiLvlLbl val="0"/>
      </c:catAx>
      <c:valAx>
        <c:axId val="42388385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6992"/>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'Logistikzentrum Bushof'!$AI$21</c:f>
              <c:strCache>
                <c:ptCount val="1"/>
                <c:pt idx="0">
                  <c:v>QV [in %]</c:v>
                </c:pt>
              </c:strCache>
            </c:strRef>
          </c:tx>
          <c:spPr>
            <a:ln w="25400">
              <a:solidFill>
                <a:srgbClr val="008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C5F-4A38-AFB7-6AA33F4B243B}"/>
            </c:ext>
          </c:extLst>
        </c:ser>
        <c:ser>
          <c:idx val="1"/>
          <c:order val="1"/>
          <c:tx>
            <c:strRef>
              <c:f>'Logistikzentrum Bushof'!$AJ$21</c:f>
              <c:strCache>
                <c:ptCount val="1"/>
                <c:pt idx="0">
                  <c:v>ZV [in %]</c:v>
                </c:pt>
              </c:strCache>
            </c:strRef>
          </c:tx>
          <c:spPr>
            <a:ln w="25400">
              <a:solidFill>
                <a:srgbClr val="0000FF"/>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C5F-4A38-AFB7-6AA33F4B243B}"/>
            </c:ext>
          </c:extLst>
        </c:ser>
        <c:dLbls>
          <c:showLegendKey val="0"/>
          <c:showVal val="0"/>
          <c:showCatName val="0"/>
          <c:showSerName val="0"/>
          <c:showPercent val="0"/>
          <c:showBubbleSize val="0"/>
        </c:dLbls>
        <c:smooth val="0"/>
        <c:axId val="423888952"/>
        <c:axId val="423885424"/>
      </c:lineChart>
      <c:catAx>
        <c:axId val="423888952"/>
        <c:scaling>
          <c:orientation val="minMax"/>
        </c:scaling>
        <c:delete val="1"/>
        <c:axPos val="b"/>
        <c:numFmt formatCode="General" sourceLinked="0"/>
        <c:majorTickMark val="out"/>
        <c:minorTickMark val="none"/>
        <c:tickLblPos val="none"/>
        <c:crossAx val="423885424"/>
        <c:crosses val="autoZero"/>
        <c:auto val="1"/>
        <c:lblAlgn val="ctr"/>
        <c:lblOffset val="100"/>
        <c:noMultiLvlLbl val="0"/>
      </c:catAx>
      <c:valAx>
        <c:axId val="42388542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895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'Logistikzentrum Bushof'!$AE$20:$AF$20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3FC-4C43-B4B3-93761718081A}"/>
            </c:ext>
          </c:extLst>
        </c:ser>
        <c:ser>
          <c:idx val="3"/>
          <c:order val="1"/>
          <c:tx>
            <c:strRef>
              <c:f>'Logistikzentrum Bushof'!$AG$20:$AH$20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3FC-4C43-B4B3-93761718081A}"/>
            </c:ext>
          </c:extLst>
        </c:ser>
        <c:ser>
          <c:idx val="5"/>
          <c:order val="2"/>
          <c:tx>
            <c:strRef>
              <c:f>'Logistikzentrum Bushof'!$AI$20:$AJ$20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3FC-4C43-B4B3-93761718081A}"/>
            </c:ext>
          </c:extLst>
        </c:ser>
        <c:ser>
          <c:idx val="7"/>
          <c:order val="3"/>
          <c:tx>
            <c:v>Gesamt-Zielverkehr</c:v>
          </c:tx>
          <c:spPr>
            <a:ln w="38100">
              <a:solidFill>
                <a:srgbClr val="008000"/>
              </a:solidFill>
              <a:prstDash val="solid"/>
            </a:ln>
          </c:spPr>
          <c:marker>
            <c:symbol val="none"/>
          </c:marker>
          <c:val>
            <c:numRef>
              <c:f>'Logistikzentrum Bushof'!$BI$22:$BI$46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3FC-4C43-B4B3-93761718081A}"/>
            </c:ext>
          </c:extLst>
        </c:ser>
        <c:dLbls>
          <c:showLegendKey val="0"/>
          <c:showVal val="0"/>
          <c:showCatName val="0"/>
          <c:showSerName val="0"/>
          <c:showPercent val="0"/>
          <c:showBubbleSize val="0"/>
        </c:dLbls>
        <c:marker val="1"/>
        <c:smooth val="0"/>
        <c:axId val="423889736"/>
        <c:axId val="423888168"/>
      </c:lineChart>
      <c:catAx>
        <c:axId val="4238897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88168"/>
        <c:crosses val="autoZero"/>
        <c:auto val="1"/>
        <c:lblAlgn val="ctr"/>
        <c:lblOffset val="100"/>
        <c:tickLblSkip val="1"/>
        <c:noMultiLvlLbl val="0"/>
      </c:catAx>
      <c:valAx>
        <c:axId val="42388816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97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'Logistikzentrum Bushof'!$BY$19:$BY$20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01-4F28-BFBF-E5016BF2332C}"/>
            </c:ext>
          </c:extLst>
        </c:ser>
        <c:ser>
          <c:idx val="3"/>
          <c:order val="1"/>
          <c:tx>
            <c:strRef>
              <c:f>'Logistikzentrum Bushof'!$BZ$19:$BZ$20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01-4F28-BFBF-E5016BF2332C}"/>
            </c:ext>
          </c:extLst>
        </c:ser>
        <c:ser>
          <c:idx val="5"/>
          <c:order val="2"/>
          <c:tx>
            <c:strRef>
              <c:f>'Logistikzentrum Bushof'!$CA$19:$CA$20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401-4F28-BFBF-E5016BF2332C}"/>
            </c:ext>
          </c:extLst>
        </c:ser>
        <c:ser>
          <c:idx val="7"/>
          <c:order val="3"/>
          <c:tx>
            <c:v>Gesamtanzahl Stellplätze</c:v>
          </c:tx>
          <c:spPr>
            <a:ln w="38100">
              <a:solidFill>
                <a:srgbClr val="000000"/>
              </a:solidFill>
              <a:prstDash val="solid"/>
            </a:ln>
          </c:spPr>
          <c:marker>
            <c:symbol val="none"/>
          </c:marker>
          <c:cat>
            <c:strRef>
              <c:f>'Logistikzentrum Bushof'!$AC$22:$AC$46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'Logistikzentrum Bushof'!$CB$22:$CB$46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401-4F28-BFBF-E5016BF2332C}"/>
            </c:ext>
          </c:extLst>
        </c:ser>
        <c:dLbls>
          <c:showLegendKey val="0"/>
          <c:showVal val="0"/>
          <c:showCatName val="0"/>
          <c:showSerName val="0"/>
          <c:showPercent val="0"/>
          <c:showBubbleSize val="0"/>
        </c:dLbls>
        <c:marker val="1"/>
        <c:smooth val="0"/>
        <c:axId val="423882680"/>
        <c:axId val="423885816"/>
      </c:lineChart>
      <c:catAx>
        <c:axId val="42388268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85816"/>
        <c:crosses val="autoZero"/>
        <c:auto val="1"/>
        <c:lblAlgn val="ctr"/>
        <c:lblOffset val="100"/>
        <c:tickLblSkip val="1"/>
        <c:noMultiLvlLbl val="0"/>
      </c:catAx>
      <c:valAx>
        <c:axId val="42388581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2680"/>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BT B'!$AE$20:$AF$20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B'!$AY$22:$AY$46</c:f>
              <c:numCache>
                <c:formatCode>0</c:formatCode>
                <c:ptCount val="25"/>
                <c:pt idx="0">
                  <c:v>0</c:v>
                </c:pt>
                <c:pt idx="1">
                  <c:v>0</c:v>
                </c:pt>
                <c:pt idx="2">
                  <c:v>0</c:v>
                </c:pt>
                <c:pt idx="3">
                  <c:v>0</c:v>
                </c:pt>
                <c:pt idx="4">
                  <c:v>0</c:v>
                </c:pt>
                <c:pt idx="5">
                  <c:v>0</c:v>
                </c:pt>
                <c:pt idx="6">
                  <c:v>0</c:v>
                </c:pt>
                <c:pt idx="7">
                  <c:v>0</c:v>
                </c:pt>
                <c:pt idx="8">
                  <c:v>0</c:v>
                </c:pt>
                <c:pt idx="9">
                  <c:v>1.61</c:v>
                </c:pt>
                <c:pt idx="10">
                  <c:v>2.484</c:v>
                </c:pt>
                <c:pt idx="11">
                  <c:v>3.4959999999999996</c:v>
                </c:pt>
                <c:pt idx="12">
                  <c:v>3.9559999999999995</c:v>
                </c:pt>
                <c:pt idx="13">
                  <c:v>4.0019999999999998</c:v>
                </c:pt>
                <c:pt idx="14">
                  <c:v>2.7140000000000004</c:v>
                </c:pt>
                <c:pt idx="15">
                  <c:v>2.76</c:v>
                </c:pt>
                <c:pt idx="16">
                  <c:v>2.7140000000000004</c:v>
                </c:pt>
                <c:pt idx="17">
                  <c:v>3.8640000000000003</c:v>
                </c:pt>
                <c:pt idx="18">
                  <c:v>4.8759999999999994</c:v>
                </c:pt>
                <c:pt idx="19">
                  <c:v>6.2560000000000002</c:v>
                </c:pt>
                <c:pt idx="20">
                  <c:v>5.7960000000000003</c:v>
                </c:pt>
                <c:pt idx="21">
                  <c:v>1.4720000000000002</c:v>
                </c:pt>
                <c:pt idx="22">
                  <c:v>0</c:v>
                </c:pt>
                <c:pt idx="23">
                  <c:v>0</c:v>
                </c:pt>
                <c:pt idx="24">
                  <c:v>0</c:v>
                </c:pt>
              </c:numCache>
            </c:numRef>
          </c:val>
          <c:smooth val="1"/>
          <c:extLst>
            <c:ext xmlns:c16="http://schemas.microsoft.com/office/drawing/2014/chart" uri="{C3380CC4-5D6E-409C-BE32-E72D297353CC}">
              <c16:uniqueId val="{00000000-837D-4170-B9CE-1A1FEC8E8C19}"/>
            </c:ext>
          </c:extLst>
        </c:ser>
        <c:ser>
          <c:idx val="2"/>
          <c:order val="1"/>
          <c:tx>
            <c:strRef>
              <c:f>'Dienstleistungsbetrieb BT B'!$AG$20:$AH$20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B'!$BB$22:$BB$46</c:f>
              <c:numCache>
                <c:formatCode>0</c:formatCode>
                <c:ptCount val="25"/>
                <c:pt idx="0">
                  <c:v>0.69</c:v>
                </c:pt>
                <c:pt idx="1">
                  <c:v>0</c:v>
                </c:pt>
                <c:pt idx="2">
                  <c:v>0</c:v>
                </c:pt>
                <c:pt idx="3">
                  <c:v>0</c:v>
                </c:pt>
                <c:pt idx="4">
                  <c:v>0</c:v>
                </c:pt>
                <c:pt idx="5">
                  <c:v>0</c:v>
                </c:pt>
                <c:pt idx="6">
                  <c:v>1.38</c:v>
                </c:pt>
                <c:pt idx="7">
                  <c:v>2.76</c:v>
                </c:pt>
                <c:pt idx="8">
                  <c:v>6.21</c:v>
                </c:pt>
                <c:pt idx="9">
                  <c:v>7.2450000000000001</c:v>
                </c:pt>
                <c:pt idx="10">
                  <c:v>4.83</c:v>
                </c:pt>
                <c:pt idx="11">
                  <c:v>4.4850000000000003</c:v>
                </c:pt>
                <c:pt idx="12">
                  <c:v>3.45</c:v>
                </c:pt>
                <c:pt idx="13">
                  <c:v>17.940000000000001</c:v>
                </c:pt>
                <c:pt idx="14">
                  <c:v>16.215</c:v>
                </c:pt>
                <c:pt idx="15">
                  <c:v>8.2799999999999994</c:v>
                </c:pt>
                <c:pt idx="16">
                  <c:v>9.66</c:v>
                </c:pt>
                <c:pt idx="17">
                  <c:v>16.215</c:v>
                </c:pt>
                <c:pt idx="18">
                  <c:v>18.975000000000001</c:v>
                </c:pt>
                <c:pt idx="19">
                  <c:v>9.66</c:v>
                </c:pt>
                <c:pt idx="20">
                  <c:v>3.45</c:v>
                </c:pt>
                <c:pt idx="21">
                  <c:v>2.76</c:v>
                </c:pt>
                <c:pt idx="22">
                  <c:v>1.7250000000000001</c:v>
                </c:pt>
                <c:pt idx="23">
                  <c:v>2.0699999999999998</c:v>
                </c:pt>
                <c:pt idx="24">
                  <c:v>0.69</c:v>
                </c:pt>
              </c:numCache>
            </c:numRef>
          </c:val>
          <c:smooth val="1"/>
          <c:extLst>
            <c:ext xmlns:c16="http://schemas.microsoft.com/office/drawing/2014/chart" uri="{C3380CC4-5D6E-409C-BE32-E72D297353CC}">
              <c16:uniqueId val="{00000001-837D-4170-B9CE-1A1FEC8E8C19}"/>
            </c:ext>
          </c:extLst>
        </c:ser>
        <c:ser>
          <c:idx val="4"/>
          <c:order val="2"/>
          <c:tx>
            <c:strRef>
              <c:f>'Dienstleistungsbetrieb BT B'!$AI$20:$AJ$20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B'!$BE$22:$BE$46</c:f>
              <c:numCache>
                <c:formatCode>0</c:formatCode>
                <c:ptCount val="25"/>
                <c:pt idx="0">
                  <c:v>0.43874999999999997</c:v>
                </c:pt>
                <c:pt idx="1">
                  <c:v>0</c:v>
                </c:pt>
                <c:pt idx="2">
                  <c:v>0</c:v>
                </c:pt>
                <c:pt idx="3">
                  <c:v>0</c:v>
                </c:pt>
                <c:pt idx="4">
                  <c:v>0</c:v>
                </c:pt>
                <c:pt idx="5">
                  <c:v>0</c:v>
                </c:pt>
                <c:pt idx="6">
                  <c:v>0.67500000000000004</c:v>
                </c:pt>
                <c:pt idx="7">
                  <c:v>1.1812499999999999</c:v>
                </c:pt>
                <c:pt idx="8">
                  <c:v>3.2062499999999998</c:v>
                </c:pt>
                <c:pt idx="9">
                  <c:v>4.3875000000000002</c:v>
                </c:pt>
                <c:pt idx="10">
                  <c:v>5.5687499999999996</c:v>
                </c:pt>
                <c:pt idx="11">
                  <c:v>6.0750000000000002</c:v>
                </c:pt>
                <c:pt idx="12">
                  <c:v>6.9187500000000002</c:v>
                </c:pt>
                <c:pt idx="13">
                  <c:v>5.90625</c:v>
                </c:pt>
                <c:pt idx="14">
                  <c:v>5.2312500000000002</c:v>
                </c:pt>
                <c:pt idx="15">
                  <c:v>3.78</c:v>
                </c:pt>
                <c:pt idx="16">
                  <c:v>4.7249999999999996</c:v>
                </c:pt>
                <c:pt idx="17">
                  <c:v>5.90625</c:v>
                </c:pt>
                <c:pt idx="18">
                  <c:v>4.7249999999999996</c:v>
                </c:pt>
                <c:pt idx="19">
                  <c:v>3.5437500000000002</c:v>
                </c:pt>
                <c:pt idx="20">
                  <c:v>2.53125</c:v>
                </c:pt>
                <c:pt idx="21">
                  <c:v>1.1812499999999999</c:v>
                </c:pt>
                <c:pt idx="22">
                  <c:v>0.67500000000000004</c:v>
                </c:pt>
                <c:pt idx="23">
                  <c:v>0.84375</c:v>
                </c:pt>
                <c:pt idx="24">
                  <c:v>0.43874999999999997</c:v>
                </c:pt>
              </c:numCache>
            </c:numRef>
          </c:val>
          <c:smooth val="1"/>
          <c:extLst>
            <c:ext xmlns:c16="http://schemas.microsoft.com/office/drawing/2014/chart" uri="{C3380CC4-5D6E-409C-BE32-E72D297353CC}">
              <c16:uniqueId val="{00000002-837D-4170-B9CE-1A1FEC8E8C19}"/>
            </c:ext>
          </c:extLst>
        </c:ser>
        <c:ser>
          <c:idx val="6"/>
          <c:order val="3"/>
          <c:tx>
            <c:v>Gesamt-Quellverkehr</c:v>
          </c:tx>
          <c:spPr>
            <a:ln w="38100">
              <a:solidFill>
                <a:srgbClr val="0000FF"/>
              </a:solidFill>
              <a:prstDash val="solid"/>
            </a:ln>
          </c:spPr>
          <c:marker>
            <c:symbol val="none"/>
          </c:marker>
          <c:val>
            <c:numRef>
              <c:f>'Dienstleistungsbetrieb BT B'!$BH$22:$BH$46</c:f>
              <c:numCache>
                <c:formatCode>0</c:formatCode>
                <c:ptCount val="25"/>
                <c:pt idx="0">
                  <c:v>1.1287499999999999</c:v>
                </c:pt>
                <c:pt idx="1">
                  <c:v>0</c:v>
                </c:pt>
                <c:pt idx="2">
                  <c:v>0</c:v>
                </c:pt>
                <c:pt idx="3">
                  <c:v>0</c:v>
                </c:pt>
                <c:pt idx="4">
                  <c:v>0</c:v>
                </c:pt>
                <c:pt idx="5">
                  <c:v>0</c:v>
                </c:pt>
                <c:pt idx="6">
                  <c:v>2.0549999999999997</c:v>
                </c:pt>
                <c:pt idx="7">
                  <c:v>3.9412499999999997</c:v>
                </c:pt>
                <c:pt idx="8">
                  <c:v>9.4162499999999998</c:v>
                </c:pt>
                <c:pt idx="9">
                  <c:v>13.2425</c:v>
                </c:pt>
                <c:pt idx="10">
                  <c:v>12.88275</c:v>
                </c:pt>
                <c:pt idx="11">
                  <c:v>14.056000000000001</c:v>
                </c:pt>
                <c:pt idx="12">
                  <c:v>14.32475</c:v>
                </c:pt>
                <c:pt idx="13">
                  <c:v>27.84825</c:v>
                </c:pt>
                <c:pt idx="14">
                  <c:v>24.160250000000001</c:v>
                </c:pt>
                <c:pt idx="15">
                  <c:v>14.819999999999999</c:v>
                </c:pt>
                <c:pt idx="16">
                  <c:v>17.099</c:v>
                </c:pt>
                <c:pt idx="17">
                  <c:v>25.985250000000001</c:v>
                </c:pt>
                <c:pt idx="18">
                  <c:v>28.576000000000001</c:v>
                </c:pt>
                <c:pt idx="19">
                  <c:v>19.45975</c:v>
                </c:pt>
                <c:pt idx="20">
                  <c:v>11.77725</c:v>
                </c:pt>
                <c:pt idx="21">
                  <c:v>5.4132499999999997</c:v>
                </c:pt>
                <c:pt idx="22">
                  <c:v>2.4000000000000004</c:v>
                </c:pt>
                <c:pt idx="23">
                  <c:v>2.9137499999999998</c:v>
                </c:pt>
                <c:pt idx="24">
                  <c:v>1.1287499999999999</c:v>
                </c:pt>
              </c:numCache>
            </c:numRef>
          </c:val>
          <c:smooth val="1"/>
          <c:extLst>
            <c:ext xmlns:c16="http://schemas.microsoft.com/office/drawing/2014/chart" uri="{C3380CC4-5D6E-409C-BE32-E72D297353CC}">
              <c16:uniqueId val="{00000003-837D-4170-B9CE-1A1FEC8E8C19}"/>
            </c:ext>
          </c:extLst>
        </c:ser>
        <c:dLbls>
          <c:showLegendKey val="0"/>
          <c:showVal val="0"/>
          <c:showCatName val="0"/>
          <c:showSerName val="0"/>
          <c:showPercent val="0"/>
          <c:showBubbleSize val="0"/>
        </c:dLbls>
        <c:marker val="1"/>
        <c:smooth val="0"/>
        <c:axId val="422216720"/>
        <c:axId val="422218680"/>
      </c:lineChart>
      <c:catAx>
        <c:axId val="422216720"/>
        <c:scaling>
          <c:orientation val="minMax"/>
        </c:scaling>
        <c:delete val="1"/>
        <c:axPos val="t"/>
        <c:numFmt formatCode="General" sourceLinked="0"/>
        <c:majorTickMark val="out"/>
        <c:minorTickMark val="none"/>
        <c:tickLblPos val="none"/>
        <c:crossAx val="422218680"/>
        <c:crosses val="autoZero"/>
        <c:auto val="1"/>
        <c:lblAlgn val="ctr"/>
        <c:lblOffset val="100"/>
        <c:noMultiLvlLbl val="0"/>
      </c:catAx>
      <c:valAx>
        <c:axId val="42221868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216720"/>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BT B'!$AE$21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B'!$AE$22:$AE$46</c:f>
              <c:numCache>
                <c:formatCode>0.00</c:formatCode>
                <c:ptCount val="25"/>
                <c:pt idx="0">
                  <c:v>0</c:v>
                </c:pt>
                <c:pt idx="1">
                  <c:v>0</c:v>
                </c:pt>
                <c:pt idx="2">
                  <c:v>0</c:v>
                </c:pt>
                <c:pt idx="3">
                  <c:v>0</c:v>
                </c:pt>
                <c:pt idx="4">
                  <c:v>0</c:v>
                </c:pt>
                <c:pt idx="5">
                  <c:v>0</c:v>
                </c:pt>
                <c:pt idx="6">
                  <c:v>0</c:v>
                </c:pt>
                <c:pt idx="7">
                  <c:v>0</c:v>
                </c:pt>
                <c:pt idx="8">
                  <c:v>0</c:v>
                </c:pt>
                <c:pt idx="9">
                  <c:v>-3.5</c:v>
                </c:pt>
                <c:pt idx="10">
                  <c:v>-5.4</c:v>
                </c:pt>
                <c:pt idx="11">
                  <c:v>-7.6</c:v>
                </c:pt>
                <c:pt idx="12">
                  <c:v>-8.6</c:v>
                </c:pt>
                <c:pt idx="13">
                  <c:v>-8.6999999999999993</c:v>
                </c:pt>
                <c:pt idx="14">
                  <c:v>-5.9</c:v>
                </c:pt>
                <c:pt idx="15">
                  <c:v>-6</c:v>
                </c:pt>
                <c:pt idx="16">
                  <c:v>-5.9</c:v>
                </c:pt>
                <c:pt idx="17">
                  <c:v>-8.4</c:v>
                </c:pt>
                <c:pt idx="18">
                  <c:v>-10.6</c:v>
                </c:pt>
                <c:pt idx="19">
                  <c:v>-13.6</c:v>
                </c:pt>
                <c:pt idx="20">
                  <c:v>-12.6</c:v>
                </c:pt>
                <c:pt idx="21">
                  <c:v>-3.2</c:v>
                </c:pt>
                <c:pt idx="22">
                  <c:v>0</c:v>
                </c:pt>
                <c:pt idx="23">
                  <c:v>0</c:v>
                </c:pt>
                <c:pt idx="24">
                  <c:v>0</c:v>
                </c:pt>
              </c:numCache>
            </c:numRef>
          </c:val>
          <c:smooth val="1"/>
          <c:extLst>
            <c:ext xmlns:c16="http://schemas.microsoft.com/office/drawing/2014/chart" uri="{C3380CC4-5D6E-409C-BE32-E72D297353CC}">
              <c16:uniqueId val="{00000000-92DD-4E8A-BF13-4B99033EE492}"/>
            </c:ext>
          </c:extLst>
        </c:ser>
        <c:ser>
          <c:idx val="1"/>
          <c:order val="1"/>
          <c:tx>
            <c:strRef>
              <c:f>'Dienstleistungsbetrieb BT B'!$AF$21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B'!$AF$22:$AF$46</c:f>
              <c:numCache>
                <c:formatCode>0.00</c:formatCode>
                <c:ptCount val="25"/>
                <c:pt idx="0">
                  <c:v>0</c:v>
                </c:pt>
                <c:pt idx="1">
                  <c:v>0</c:v>
                </c:pt>
                <c:pt idx="2">
                  <c:v>0</c:v>
                </c:pt>
                <c:pt idx="3">
                  <c:v>0</c:v>
                </c:pt>
                <c:pt idx="4">
                  <c:v>0</c:v>
                </c:pt>
                <c:pt idx="5">
                  <c:v>0</c:v>
                </c:pt>
                <c:pt idx="6">
                  <c:v>0</c:v>
                </c:pt>
                <c:pt idx="7">
                  <c:v>0</c:v>
                </c:pt>
                <c:pt idx="8">
                  <c:v>2.7</c:v>
                </c:pt>
                <c:pt idx="9">
                  <c:v>5.05</c:v>
                </c:pt>
                <c:pt idx="10">
                  <c:v>8.65</c:v>
                </c:pt>
                <c:pt idx="11">
                  <c:v>8.75</c:v>
                </c:pt>
                <c:pt idx="12">
                  <c:v>7.35</c:v>
                </c:pt>
                <c:pt idx="13">
                  <c:v>6.75</c:v>
                </c:pt>
                <c:pt idx="14">
                  <c:v>4.95</c:v>
                </c:pt>
                <c:pt idx="15">
                  <c:v>6.05</c:v>
                </c:pt>
                <c:pt idx="16">
                  <c:v>6.95</c:v>
                </c:pt>
                <c:pt idx="17">
                  <c:v>9.65</c:v>
                </c:pt>
                <c:pt idx="18">
                  <c:v>12</c:v>
                </c:pt>
                <c:pt idx="19">
                  <c:v>14.1</c:v>
                </c:pt>
                <c:pt idx="20">
                  <c:v>7.05</c:v>
                </c:pt>
                <c:pt idx="21">
                  <c:v>0</c:v>
                </c:pt>
                <c:pt idx="22">
                  <c:v>0</c:v>
                </c:pt>
                <c:pt idx="23">
                  <c:v>0</c:v>
                </c:pt>
                <c:pt idx="24">
                  <c:v>0</c:v>
                </c:pt>
              </c:numCache>
            </c:numRef>
          </c:val>
          <c:smooth val="1"/>
          <c:extLst>
            <c:ext xmlns:c16="http://schemas.microsoft.com/office/drawing/2014/chart" uri="{C3380CC4-5D6E-409C-BE32-E72D297353CC}">
              <c16:uniqueId val="{00000001-92DD-4E8A-BF13-4B99033EE492}"/>
            </c:ext>
          </c:extLst>
        </c:ser>
        <c:dLbls>
          <c:showLegendKey val="0"/>
          <c:showVal val="0"/>
          <c:showCatName val="0"/>
          <c:showSerName val="0"/>
          <c:showPercent val="0"/>
          <c:showBubbleSize val="0"/>
        </c:dLbls>
        <c:smooth val="0"/>
        <c:axId val="422217112"/>
        <c:axId val="422217504"/>
      </c:lineChart>
      <c:catAx>
        <c:axId val="422217112"/>
        <c:scaling>
          <c:orientation val="minMax"/>
        </c:scaling>
        <c:delete val="1"/>
        <c:axPos val="b"/>
        <c:numFmt formatCode="General" sourceLinked="0"/>
        <c:majorTickMark val="out"/>
        <c:minorTickMark val="none"/>
        <c:tickLblPos val="none"/>
        <c:crossAx val="422217504"/>
        <c:crosses val="autoZero"/>
        <c:auto val="1"/>
        <c:lblAlgn val="ctr"/>
        <c:lblOffset val="100"/>
        <c:noMultiLvlLbl val="0"/>
      </c:catAx>
      <c:valAx>
        <c:axId val="42221750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17112"/>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BT B'!$AG$21</c:f>
              <c:strCache>
                <c:ptCount val="1"/>
                <c:pt idx="0">
                  <c:v>QV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B'!$AG$22:$AG$46</c:f>
              <c:numCache>
                <c:formatCode>0.00</c:formatCode>
                <c:ptCount val="25"/>
                <c:pt idx="0">
                  <c:v>-0.5</c:v>
                </c:pt>
                <c:pt idx="1">
                  <c:v>0</c:v>
                </c:pt>
                <c:pt idx="2">
                  <c:v>0</c:v>
                </c:pt>
                <c:pt idx="3">
                  <c:v>0</c:v>
                </c:pt>
                <c:pt idx="4">
                  <c:v>0</c:v>
                </c:pt>
                <c:pt idx="5">
                  <c:v>0</c:v>
                </c:pt>
                <c:pt idx="6">
                  <c:v>-1</c:v>
                </c:pt>
                <c:pt idx="7">
                  <c:v>-2</c:v>
                </c:pt>
                <c:pt idx="8">
                  <c:v>-4.5</c:v>
                </c:pt>
                <c:pt idx="9">
                  <c:v>-5.25</c:v>
                </c:pt>
                <c:pt idx="10">
                  <c:v>-3.5</c:v>
                </c:pt>
                <c:pt idx="11">
                  <c:v>-3.25</c:v>
                </c:pt>
                <c:pt idx="12">
                  <c:v>-2.5</c:v>
                </c:pt>
                <c:pt idx="13">
                  <c:v>-13</c:v>
                </c:pt>
                <c:pt idx="14">
                  <c:v>-11.75</c:v>
                </c:pt>
                <c:pt idx="15">
                  <c:v>-6</c:v>
                </c:pt>
                <c:pt idx="16">
                  <c:v>-7</c:v>
                </c:pt>
                <c:pt idx="17">
                  <c:v>-11.75</c:v>
                </c:pt>
                <c:pt idx="18">
                  <c:v>-13.75</c:v>
                </c:pt>
                <c:pt idx="19">
                  <c:v>-7</c:v>
                </c:pt>
                <c:pt idx="20">
                  <c:v>-2.5</c:v>
                </c:pt>
                <c:pt idx="21">
                  <c:v>-2</c:v>
                </c:pt>
                <c:pt idx="22">
                  <c:v>-1.25</c:v>
                </c:pt>
                <c:pt idx="23">
                  <c:v>-1.5</c:v>
                </c:pt>
                <c:pt idx="24">
                  <c:v>-0.5</c:v>
                </c:pt>
              </c:numCache>
            </c:numRef>
          </c:val>
          <c:smooth val="1"/>
          <c:extLst>
            <c:ext xmlns:c16="http://schemas.microsoft.com/office/drawing/2014/chart" uri="{C3380CC4-5D6E-409C-BE32-E72D297353CC}">
              <c16:uniqueId val="{00000000-88A9-4E2E-8574-848D412ACF8B}"/>
            </c:ext>
          </c:extLst>
        </c:ser>
        <c:ser>
          <c:idx val="1"/>
          <c:order val="1"/>
          <c:tx>
            <c:strRef>
              <c:f>'Dienstleistungsbetrieb BT B'!$AH$21</c:f>
              <c:strCache>
                <c:ptCount val="1"/>
                <c:pt idx="0">
                  <c:v>ZV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B'!$AH$22:$AH$46</c:f>
              <c:numCache>
                <c:formatCode>0.00</c:formatCode>
                <c:ptCount val="25"/>
                <c:pt idx="0">
                  <c:v>0</c:v>
                </c:pt>
                <c:pt idx="1">
                  <c:v>0</c:v>
                </c:pt>
                <c:pt idx="2">
                  <c:v>0</c:v>
                </c:pt>
                <c:pt idx="3">
                  <c:v>0</c:v>
                </c:pt>
                <c:pt idx="4">
                  <c:v>0</c:v>
                </c:pt>
                <c:pt idx="5">
                  <c:v>1</c:v>
                </c:pt>
                <c:pt idx="6">
                  <c:v>6.75</c:v>
                </c:pt>
                <c:pt idx="7">
                  <c:v>22.2</c:v>
                </c:pt>
                <c:pt idx="8">
                  <c:v>28.7</c:v>
                </c:pt>
                <c:pt idx="9">
                  <c:v>8.75</c:v>
                </c:pt>
                <c:pt idx="10">
                  <c:v>1.75</c:v>
                </c:pt>
                <c:pt idx="11">
                  <c:v>1</c:v>
                </c:pt>
                <c:pt idx="12">
                  <c:v>0.5</c:v>
                </c:pt>
                <c:pt idx="13">
                  <c:v>5.2</c:v>
                </c:pt>
                <c:pt idx="14">
                  <c:v>13.4</c:v>
                </c:pt>
                <c:pt idx="15">
                  <c:v>5.4</c:v>
                </c:pt>
                <c:pt idx="16">
                  <c:v>1.75</c:v>
                </c:pt>
                <c:pt idx="17">
                  <c:v>1.25</c:v>
                </c:pt>
                <c:pt idx="18">
                  <c:v>1</c:v>
                </c:pt>
                <c:pt idx="19">
                  <c:v>0.25</c:v>
                </c:pt>
                <c:pt idx="20">
                  <c:v>0.4</c:v>
                </c:pt>
                <c:pt idx="21">
                  <c:v>0</c:v>
                </c:pt>
                <c:pt idx="22">
                  <c:v>0.7</c:v>
                </c:pt>
                <c:pt idx="23">
                  <c:v>0</c:v>
                </c:pt>
                <c:pt idx="24">
                  <c:v>0</c:v>
                </c:pt>
              </c:numCache>
            </c:numRef>
          </c:val>
          <c:smooth val="1"/>
          <c:extLst>
            <c:ext xmlns:c16="http://schemas.microsoft.com/office/drawing/2014/chart" uri="{C3380CC4-5D6E-409C-BE32-E72D297353CC}">
              <c16:uniqueId val="{00000001-88A9-4E2E-8574-848D412ACF8B}"/>
            </c:ext>
          </c:extLst>
        </c:ser>
        <c:dLbls>
          <c:showLegendKey val="0"/>
          <c:showVal val="0"/>
          <c:showCatName val="0"/>
          <c:showSerName val="0"/>
          <c:showPercent val="0"/>
          <c:showBubbleSize val="0"/>
        </c:dLbls>
        <c:smooth val="0"/>
        <c:axId val="422220248"/>
        <c:axId val="422222208"/>
      </c:lineChart>
      <c:catAx>
        <c:axId val="422220248"/>
        <c:scaling>
          <c:orientation val="minMax"/>
        </c:scaling>
        <c:delete val="1"/>
        <c:axPos val="b"/>
        <c:numFmt formatCode="General" sourceLinked="0"/>
        <c:majorTickMark val="out"/>
        <c:minorTickMark val="none"/>
        <c:tickLblPos val="none"/>
        <c:crossAx val="422222208"/>
        <c:crosses val="autoZero"/>
        <c:auto val="1"/>
        <c:lblAlgn val="ctr"/>
        <c:lblOffset val="100"/>
        <c:noMultiLvlLbl val="0"/>
      </c:catAx>
      <c:valAx>
        <c:axId val="4222222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20248"/>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BT B'!$AI$21</c:f>
              <c:strCache>
                <c:ptCount val="1"/>
                <c:pt idx="0">
                  <c:v>QV [in %]</c:v>
                </c:pt>
              </c:strCache>
            </c:strRef>
          </c:tx>
          <c:spPr>
            <a:ln w="25400">
              <a:solidFill>
                <a:srgbClr val="008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7D61-45A9-9E74-F5E55C26BA97}"/>
            </c:ext>
          </c:extLst>
        </c:ser>
        <c:ser>
          <c:idx val="1"/>
          <c:order val="1"/>
          <c:tx>
            <c:strRef>
              <c:f>'Dienstleistungsbetrieb BT B'!$AJ$21</c:f>
              <c:strCache>
                <c:ptCount val="1"/>
                <c:pt idx="0">
                  <c:v>ZV [in %]</c:v>
                </c:pt>
              </c:strCache>
            </c:strRef>
          </c:tx>
          <c:spPr>
            <a:ln w="25400">
              <a:solidFill>
                <a:srgbClr val="0000FF"/>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7D61-45A9-9E74-F5E55C26BA97}"/>
            </c:ext>
          </c:extLst>
        </c:ser>
        <c:dLbls>
          <c:showLegendKey val="0"/>
          <c:showVal val="0"/>
          <c:showCatName val="0"/>
          <c:showSerName val="0"/>
          <c:showPercent val="0"/>
          <c:showBubbleSize val="0"/>
        </c:dLbls>
        <c:smooth val="0"/>
        <c:axId val="422221424"/>
        <c:axId val="423015472"/>
      </c:lineChart>
      <c:catAx>
        <c:axId val="422221424"/>
        <c:scaling>
          <c:orientation val="minMax"/>
        </c:scaling>
        <c:delete val="1"/>
        <c:axPos val="b"/>
        <c:numFmt formatCode="General" sourceLinked="0"/>
        <c:majorTickMark val="out"/>
        <c:minorTickMark val="none"/>
        <c:tickLblPos val="none"/>
        <c:crossAx val="423015472"/>
        <c:crosses val="autoZero"/>
        <c:auto val="1"/>
        <c:lblAlgn val="ctr"/>
        <c:lblOffset val="100"/>
        <c:noMultiLvlLbl val="0"/>
      </c:catAx>
      <c:valAx>
        <c:axId val="42301547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22214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BT B'!$AE$20:$AF$20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B'!$AZ$22:$AZ$46</c:f>
              <c:numCache>
                <c:formatCode>0</c:formatCode>
                <c:ptCount val="25"/>
                <c:pt idx="0">
                  <c:v>0</c:v>
                </c:pt>
                <c:pt idx="1">
                  <c:v>0</c:v>
                </c:pt>
                <c:pt idx="2">
                  <c:v>0</c:v>
                </c:pt>
                <c:pt idx="3">
                  <c:v>0</c:v>
                </c:pt>
                <c:pt idx="4">
                  <c:v>0</c:v>
                </c:pt>
                <c:pt idx="5">
                  <c:v>0</c:v>
                </c:pt>
                <c:pt idx="6">
                  <c:v>0</c:v>
                </c:pt>
                <c:pt idx="7">
                  <c:v>0</c:v>
                </c:pt>
                <c:pt idx="8">
                  <c:v>1.242</c:v>
                </c:pt>
                <c:pt idx="9">
                  <c:v>2.323</c:v>
                </c:pt>
                <c:pt idx="10">
                  <c:v>3.9790000000000005</c:v>
                </c:pt>
                <c:pt idx="11">
                  <c:v>4.0250000000000004</c:v>
                </c:pt>
                <c:pt idx="12">
                  <c:v>3.3809999999999998</c:v>
                </c:pt>
                <c:pt idx="13">
                  <c:v>3.105</c:v>
                </c:pt>
                <c:pt idx="14">
                  <c:v>2.2770000000000001</c:v>
                </c:pt>
                <c:pt idx="15">
                  <c:v>2.7829999999999999</c:v>
                </c:pt>
                <c:pt idx="16">
                  <c:v>3.1970000000000001</c:v>
                </c:pt>
                <c:pt idx="17">
                  <c:v>4.4390000000000001</c:v>
                </c:pt>
                <c:pt idx="18">
                  <c:v>5.52</c:v>
                </c:pt>
                <c:pt idx="19">
                  <c:v>6.4860000000000007</c:v>
                </c:pt>
                <c:pt idx="20">
                  <c:v>3.2430000000000003</c:v>
                </c:pt>
                <c:pt idx="21">
                  <c:v>0</c:v>
                </c:pt>
                <c:pt idx="22">
                  <c:v>0</c:v>
                </c:pt>
                <c:pt idx="23">
                  <c:v>0</c:v>
                </c:pt>
                <c:pt idx="24">
                  <c:v>0</c:v>
                </c:pt>
              </c:numCache>
            </c:numRef>
          </c:val>
          <c:smooth val="1"/>
          <c:extLst>
            <c:ext xmlns:c16="http://schemas.microsoft.com/office/drawing/2014/chart" uri="{C3380CC4-5D6E-409C-BE32-E72D297353CC}">
              <c16:uniqueId val="{00000000-AB83-4DEE-9B28-D51F32C84A1E}"/>
            </c:ext>
          </c:extLst>
        </c:ser>
        <c:ser>
          <c:idx val="3"/>
          <c:order val="1"/>
          <c:tx>
            <c:strRef>
              <c:f>'Dienstleistungsbetrieb BT B'!$AG$20:$AH$20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B'!$BC$22:$BC$46</c:f>
              <c:numCache>
                <c:formatCode>0</c:formatCode>
                <c:ptCount val="25"/>
                <c:pt idx="0">
                  <c:v>0</c:v>
                </c:pt>
                <c:pt idx="1">
                  <c:v>0</c:v>
                </c:pt>
                <c:pt idx="2">
                  <c:v>0</c:v>
                </c:pt>
                <c:pt idx="3">
                  <c:v>0</c:v>
                </c:pt>
                <c:pt idx="4">
                  <c:v>0</c:v>
                </c:pt>
                <c:pt idx="5">
                  <c:v>1.38</c:v>
                </c:pt>
                <c:pt idx="6">
                  <c:v>9.3149999999999995</c:v>
                </c:pt>
                <c:pt idx="7">
                  <c:v>30.635999999999999</c:v>
                </c:pt>
                <c:pt idx="8">
                  <c:v>39.606000000000002</c:v>
                </c:pt>
                <c:pt idx="9">
                  <c:v>12.074999999999999</c:v>
                </c:pt>
                <c:pt idx="10">
                  <c:v>2.415</c:v>
                </c:pt>
                <c:pt idx="11">
                  <c:v>1.38</c:v>
                </c:pt>
                <c:pt idx="12">
                  <c:v>0.69</c:v>
                </c:pt>
                <c:pt idx="13">
                  <c:v>7.1760000000000002</c:v>
                </c:pt>
                <c:pt idx="14">
                  <c:v>18.492000000000001</c:v>
                </c:pt>
                <c:pt idx="15">
                  <c:v>7.4520000000000008</c:v>
                </c:pt>
                <c:pt idx="16">
                  <c:v>2.415</c:v>
                </c:pt>
                <c:pt idx="17">
                  <c:v>1.7250000000000001</c:v>
                </c:pt>
                <c:pt idx="18">
                  <c:v>1.38</c:v>
                </c:pt>
                <c:pt idx="19">
                  <c:v>0.34499999999999997</c:v>
                </c:pt>
                <c:pt idx="20">
                  <c:v>0.55200000000000005</c:v>
                </c:pt>
                <c:pt idx="21">
                  <c:v>0</c:v>
                </c:pt>
                <c:pt idx="22">
                  <c:v>0.96599999999999997</c:v>
                </c:pt>
                <c:pt idx="23">
                  <c:v>0</c:v>
                </c:pt>
                <c:pt idx="24">
                  <c:v>0</c:v>
                </c:pt>
              </c:numCache>
            </c:numRef>
          </c:val>
          <c:smooth val="1"/>
          <c:extLst>
            <c:ext xmlns:c16="http://schemas.microsoft.com/office/drawing/2014/chart" uri="{C3380CC4-5D6E-409C-BE32-E72D297353CC}">
              <c16:uniqueId val="{00000001-AB83-4DEE-9B28-D51F32C84A1E}"/>
            </c:ext>
          </c:extLst>
        </c:ser>
        <c:ser>
          <c:idx val="5"/>
          <c:order val="2"/>
          <c:tx>
            <c:strRef>
              <c:f>'Dienstleistungsbetrieb BT B'!$AI$20:$AJ$20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B'!$BF$22:$BF$46</c:f>
              <c:numCache>
                <c:formatCode>0</c:formatCode>
                <c:ptCount val="25"/>
                <c:pt idx="0">
                  <c:v>0</c:v>
                </c:pt>
                <c:pt idx="1">
                  <c:v>0</c:v>
                </c:pt>
                <c:pt idx="2">
                  <c:v>0</c:v>
                </c:pt>
                <c:pt idx="3">
                  <c:v>0</c:v>
                </c:pt>
                <c:pt idx="4">
                  <c:v>0</c:v>
                </c:pt>
                <c:pt idx="5">
                  <c:v>0.16875000000000001</c:v>
                </c:pt>
                <c:pt idx="6">
                  <c:v>1.0125</c:v>
                </c:pt>
                <c:pt idx="7">
                  <c:v>2.0249999999999999</c:v>
                </c:pt>
                <c:pt idx="8">
                  <c:v>5.4</c:v>
                </c:pt>
                <c:pt idx="9">
                  <c:v>7.02</c:v>
                </c:pt>
                <c:pt idx="10">
                  <c:v>5.90625</c:v>
                </c:pt>
                <c:pt idx="11">
                  <c:v>6.9187500000000002</c:v>
                </c:pt>
                <c:pt idx="12">
                  <c:v>6.6825000000000001</c:v>
                </c:pt>
                <c:pt idx="13">
                  <c:v>4.7249999999999996</c:v>
                </c:pt>
                <c:pt idx="14">
                  <c:v>4.3875000000000002</c:v>
                </c:pt>
                <c:pt idx="15">
                  <c:v>4.05</c:v>
                </c:pt>
                <c:pt idx="16">
                  <c:v>5.2312500000000002</c:v>
                </c:pt>
                <c:pt idx="17">
                  <c:v>4.5562500000000004</c:v>
                </c:pt>
                <c:pt idx="18">
                  <c:v>3.375</c:v>
                </c:pt>
                <c:pt idx="19">
                  <c:v>2.53125</c:v>
                </c:pt>
                <c:pt idx="20">
                  <c:v>2.1937500000000001</c:v>
                </c:pt>
                <c:pt idx="21">
                  <c:v>0.97875000000000001</c:v>
                </c:pt>
                <c:pt idx="22">
                  <c:v>0.16875000000000001</c:v>
                </c:pt>
                <c:pt idx="23">
                  <c:v>0.16875000000000001</c:v>
                </c:pt>
                <c:pt idx="24">
                  <c:v>0</c:v>
                </c:pt>
              </c:numCache>
            </c:numRef>
          </c:val>
          <c:smooth val="1"/>
          <c:extLst>
            <c:ext xmlns:c16="http://schemas.microsoft.com/office/drawing/2014/chart" uri="{C3380CC4-5D6E-409C-BE32-E72D297353CC}">
              <c16:uniqueId val="{00000002-AB83-4DEE-9B28-D51F32C84A1E}"/>
            </c:ext>
          </c:extLst>
        </c:ser>
        <c:ser>
          <c:idx val="7"/>
          <c:order val="3"/>
          <c:tx>
            <c:v>Gesamt-Zielverkehr</c:v>
          </c:tx>
          <c:spPr>
            <a:ln w="38100">
              <a:solidFill>
                <a:srgbClr val="008000"/>
              </a:solidFill>
              <a:prstDash val="solid"/>
            </a:ln>
          </c:spPr>
          <c:marker>
            <c:symbol val="none"/>
          </c:marker>
          <c:val>
            <c:numRef>
              <c:f>'Dienstleistungsbetrieb BT B'!$BI$22:$BI$46</c:f>
              <c:numCache>
                <c:formatCode>0</c:formatCode>
                <c:ptCount val="25"/>
                <c:pt idx="0">
                  <c:v>0</c:v>
                </c:pt>
                <c:pt idx="1">
                  <c:v>0</c:v>
                </c:pt>
                <c:pt idx="2">
                  <c:v>0</c:v>
                </c:pt>
                <c:pt idx="3">
                  <c:v>0</c:v>
                </c:pt>
                <c:pt idx="4">
                  <c:v>0</c:v>
                </c:pt>
                <c:pt idx="5">
                  <c:v>1.5487499999999998</c:v>
                </c:pt>
                <c:pt idx="6">
                  <c:v>10.327499999999999</c:v>
                </c:pt>
                <c:pt idx="7">
                  <c:v>32.661000000000001</c:v>
                </c:pt>
                <c:pt idx="8">
                  <c:v>46.247999999999998</c:v>
                </c:pt>
                <c:pt idx="9">
                  <c:v>21.417999999999999</c:v>
                </c:pt>
                <c:pt idx="10">
                  <c:v>12.30025</c:v>
                </c:pt>
                <c:pt idx="11">
                  <c:v>12.32375</c:v>
                </c:pt>
                <c:pt idx="12">
                  <c:v>10.753499999999999</c:v>
                </c:pt>
                <c:pt idx="13">
                  <c:v>15.006</c:v>
                </c:pt>
                <c:pt idx="14">
                  <c:v>25.156500000000001</c:v>
                </c:pt>
                <c:pt idx="15">
                  <c:v>14.285</c:v>
                </c:pt>
                <c:pt idx="16">
                  <c:v>10.843250000000001</c:v>
                </c:pt>
                <c:pt idx="17">
                  <c:v>10.72025</c:v>
                </c:pt>
                <c:pt idx="18">
                  <c:v>10.274999999999999</c:v>
                </c:pt>
                <c:pt idx="19">
                  <c:v>9.3622499999999995</c:v>
                </c:pt>
                <c:pt idx="20">
                  <c:v>5.9887500000000005</c:v>
                </c:pt>
                <c:pt idx="21">
                  <c:v>0.97875000000000001</c:v>
                </c:pt>
                <c:pt idx="22">
                  <c:v>1.1347499999999999</c:v>
                </c:pt>
                <c:pt idx="23">
                  <c:v>0.16875000000000001</c:v>
                </c:pt>
                <c:pt idx="24">
                  <c:v>0</c:v>
                </c:pt>
              </c:numCache>
            </c:numRef>
          </c:val>
          <c:smooth val="1"/>
          <c:extLst>
            <c:ext xmlns:c16="http://schemas.microsoft.com/office/drawing/2014/chart" uri="{C3380CC4-5D6E-409C-BE32-E72D297353CC}">
              <c16:uniqueId val="{00000003-AB83-4DEE-9B28-D51F32C84A1E}"/>
            </c:ext>
          </c:extLst>
        </c:ser>
        <c:dLbls>
          <c:showLegendKey val="0"/>
          <c:showVal val="0"/>
          <c:showCatName val="0"/>
          <c:showSerName val="0"/>
          <c:showPercent val="0"/>
          <c:showBubbleSize val="0"/>
        </c:dLbls>
        <c:marker val="1"/>
        <c:smooth val="0"/>
        <c:axId val="423017824"/>
        <c:axId val="423015864"/>
      </c:lineChart>
      <c:catAx>
        <c:axId val="42301782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015864"/>
        <c:crosses val="autoZero"/>
        <c:auto val="1"/>
        <c:lblAlgn val="ctr"/>
        <c:lblOffset val="100"/>
        <c:tickLblSkip val="1"/>
        <c:noMultiLvlLbl val="0"/>
      </c:catAx>
      <c:valAx>
        <c:axId val="4230158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782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BT B'!$BY$19:$BY$20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B'!$BY$22:$BY$46</c:f>
              <c:numCache>
                <c:formatCode>0</c:formatCode>
                <c:ptCount val="25"/>
                <c:pt idx="0">
                  <c:v>3.1086244689504383E-15</c:v>
                </c:pt>
                <c:pt idx="1">
                  <c:v>3.1086244689504383E-15</c:v>
                </c:pt>
                <c:pt idx="2">
                  <c:v>3.1086244689504383E-15</c:v>
                </c:pt>
                <c:pt idx="3">
                  <c:v>3.1086244689504383E-15</c:v>
                </c:pt>
                <c:pt idx="4">
                  <c:v>3.1086244689504383E-15</c:v>
                </c:pt>
                <c:pt idx="5">
                  <c:v>3.1086244689504383E-15</c:v>
                </c:pt>
                <c:pt idx="6">
                  <c:v>3.1086244689504383E-15</c:v>
                </c:pt>
                <c:pt idx="7">
                  <c:v>3.1086244689504383E-15</c:v>
                </c:pt>
                <c:pt idx="8">
                  <c:v>1.2420000000000031</c:v>
                </c:pt>
                <c:pt idx="9">
                  <c:v>1.955000000000003</c:v>
                </c:pt>
                <c:pt idx="10">
                  <c:v>3.4500000000000037</c:v>
                </c:pt>
                <c:pt idx="11">
                  <c:v>3.9790000000000045</c:v>
                </c:pt>
                <c:pt idx="12">
                  <c:v>3.4040000000000048</c:v>
                </c:pt>
                <c:pt idx="13">
                  <c:v>2.507000000000005</c:v>
                </c:pt>
                <c:pt idx="14">
                  <c:v>2.0700000000000047</c:v>
                </c:pt>
                <c:pt idx="15">
                  <c:v>2.0930000000000049</c:v>
                </c:pt>
                <c:pt idx="16">
                  <c:v>2.5760000000000045</c:v>
                </c:pt>
                <c:pt idx="17">
                  <c:v>3.1510000000000042</c:v>
                </c:pt>
                <c:pt idx="18">
                  <c:v>3.7950000000000044</c:v>
                </c:pt>
                <c:pt idx="19">
                  <c:v>4.0250000000000048</c:v>
                </c:pt>
                <c:pt idx="20">
                  <c:v>1.4720000000000049</c:v>
                </c:pt>
                <c:pt idx="21">
                  <c:v>4.6629367034256575E-15</c:v>
                </c:pt>
                <c:pt idx="22">
                  <c:v>4.6629367034256575E-15</c:v>
                </c:pt>
                <c:pt idx="23">
                  <c:v>4.6629367034256575E-15</c:v>
                </c:pt>
                <c:pt idx="24">
                  <c:v>4.6629367034256575E-15</c:v>
                </c:pt>
              </c:numCache>
            </c:numRef>
          </c:val>
          <c:smooth val="1"/>
          <c:extLst>
            <c:ext xmlns:c16="http://schemas.microsoft.com/office/drawing/2014/chart" uri="{C3380CC4-5D6E-409C-BE32-E72D297353CC}">
              <c16:uniqueId val="{00000000-A5FC-44C2-8560-7BE24463A404}"/>
            </c:ext>
          </c:extLst>
        </c:ser>
        <c:ser>
          <c:idx val="3"/>
          <c:order val="1"/>
          <c:tx>
            <c:strRef>
              <c:f>'Dienstleistungsbetrieb BT B'!$BZ$19:$BZ$20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B'!$BZ$22:$BZ$46</c:f>
              <c:numCache>
                <c:formatCode>0</c:formatCode>
                <c:ptCount val="25"/>
                <c:pt idx="0">
                  <c:v>0</c:v>
                </c:pt>
                <c:pt idx="1">
                  <c:v>0</c:v>
                </c:pt>
                <c:pt idx="2">
                  <c:v>0</c:v>
                </c:pt>
                <c:pt idx="3">
                  <c:v>0</c:v>
                </c:pt>
                <c:pt idx="4">
                  <c:v>0</c:v>
                </c:pt>
                <c:pt idx="5">
                  <c:v>1.38</c:v>
                </c:pt>
                <c:pt idx="6">
                  <c:v>9.3149999999999995</c:v>
                </c:pt>
                <c:pt idx="7">
                  <c:v>37.190999999999995</c:v>
                </c:pt>
                <c:pt idx="8">
                  <c:v>70.586999999999989</c:v>
                </c:pt>
                <c:pt idx="9">
                  <c:v>75.416999999999987</c:v>
                </c:pt>
                <c:pt idx="10">
                  <c:v>73.001999999999981</c:v>
                </c:pt>
                <c:pt idx="11">
                  <c:v>69.896999999999977</c:v>
                </c:pt>
                <c:pt idx="12">
                  <c:v>67.136999999999972</c:v>
                </c:pt>
                <c:pt idx="13">
                  <c:v>56.372999999999969</c:v>
                </c:pt>
                <c:pt idx="14">
                  <c:v>58.64999999999997</c:v>
                </c:pt>
                <c:pt idx="15">
                  <c:v>57.821999999999974</c:v>
                </c:pt>
                <c:pt idx="16">
                  <c:v>50.576999999999977</c:v>
                </c:pt>
                <c:pt idx="17">
                  <c:v>36.086999999999975</c:v>
                </c:pt>
                <c:pt idx="18">
                  <c:v>18.491999999999972</c:v>
                </c:pt>
                <c:pt idx="19">
                  <c:v>9.176999999999973</c:v>
                </c:pt>
                <c:pt idx="20">
                  <c:v>6.2789999999999733</c:v>
                </c:pt>
                <c:pt idx="21">
                  <c:v>3.5189999999999735</c:v>
                </c:pt>
                <c:pt idx="22">
                  <c:v>2.7599999999999731</c:v>
                </c:pt>
                <c:pt idx="23">
                  <c:v>0.6899999999999733</c:v>
                </c:pt>
                <c:pt idx="24">
                  <c:v>0</c:v>
                </c:pt>
              </c:numCache>
            </c:numRef>
          </c:val>
          <c:smooth val="1"/>
          <c:extLst>
            <c:ext xmlns:c16="http://schemas.microsoft.com/office/drawing/2014/chart" uri="{C3380CC4-5D6E-409C-BE32-E72D297353CC}">
              <c16:uniqueId val="{00000001-A5FC-44C2-8560-7BE24463A404}"/>
            </c:ext>
          </c:extLst>
        </c:ser>
        <c:ser>
          <c:idx val="5"/>
          <c:order val="2"/>
          <c:tx>
            <c:strRef>
              <c:f>'Dienstleistungsbetrieb BT B'!$CA$19:$CA$20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B'!$CA$22:$CA$46</c:f>
              <c:numCache>
                <c:formatCode>0</c:formatCode>
                <c:ptCount val="25"/>
                <c:pt idx="0">
                  <c:v>2.2204460492503131E-16</c:v>
                </c:pt>
                <c:pt idx="1">
                  <c:v>2.2204460492503131E-16</c:v>
                </c:pt>
                <c:pt idx="2">
                  <c:v>2.2204460492503131E-16</c:v>
                </c:pt>
                <c:pt idx="3">
                  <c:v>2.2204460492503131E-16</c:v>
                </c:pt>
                <c:pt idx="4">
                  <c:v>2.2204460492503131E-16</c:v>
                </c:pt>
                <c:pt idx="5">
                  <c:v>0.16875000000000023</c:v>
                </c:pt>
                <c:pt idx="6">
                  <c:v>0.50625000000000009</c:v>
                </c:pt>
                <c:pt idx="7">
                  <c:v>1.35</c:v>
                </c:pt>
                <c:pt idx="8">
                  <c:v>3.5437500000000006</c:v>
                </c:pt>
                <c:pt idx="9">
                  <c:v>6.1762499999999996</c:v>
                </c:pt>
                <c:pt idx="10">
                  <c:v>6.5137499999999999</c:v>
                </c:pt>
                <c:pt idx="11">
                  <c:v>7.3574999999999999</c:v>
                </c:pt>
                <c:pt idx="12">
                  <c:v>7.1212499999999999</c:v>
                </c:pt>
                <c:pt idx="13">
                  <c:v>5.9399999999999995</c:v>
                </c:pt>
                <c:pt idx="14">
                  <c:v>5.0962499999999995</c:v>
                </c:pt>
                <c:pt idx="15">
                  <c:v>5.3662499999999991</c:v>
                </c:pt>
                <c:pt idx="16">
                  <c:v>5.8724999999999996</c:v>
                </c:pt>
                <c:pt idx="17">
                  <c:v>4.5225</c:v>
                </c:pt>
                <c:pt idx="18">
                  <c:v>3.1725000000000003</c:v>
                </c:pt>
                <c:pt idx="19">
                  <c:v>2.16</c:v>
                </c:pt>
                <c:pt idx="20">
                  <c:v>1.8225000000000002</c:v>
                </c:pt>
                <c:pt idx="21">
                  <c:v>1.6200000000000003</c:v>
                </c:pt>
                <c:pt idx="22">
                  <c:v>1.1137500000000002</c:v>
                </c:pt>
                <c:pt idx="23">
                  <c:v>0.4387500000000002</c:v>
                </c:pt>
                <c:pt idx="24">
                  <c:v>2.2204460492503131E-16</c:v>
                </c:pt>
              </c:numCache>
            </c:numRef>
          </c:val>
          <c:smooth val="1"/>
          <c:extLst>
            <c:ext xmlns:c16="http://schemas.microsoft.com/office/drawing/2014/chart" uri="{C3380CC4-5D6E-409C-BE32-E72D297353CC}">
              <c16:uniqueId val="{00000002-A5FC-44C2-8560-7BE24463A404}"/>
            </c:ext>
          </c:extLst>
        </c:ser>
        <c:ser>
          <c:idx val="7"/>
          <c:order val="3"/>
          <c:tx>
            <c:v>Gesamtanzahl Stellplätze</c:v>
          </c:tx>
          <c:spPr>
            <a:ln w="38100">
              <a:solidFill>
                <a:srgbClr val="000000"/>
              </a:solidFill>
              <a:prstDash val="solid"/>
            </a:ln>
          </c:spPr>
          <c:marker>
            <c:symbol val="none"/>
          </c:marker>
          <c:cat>
            <c:strRef>
              <c:f>'Dienstleistungsbetrieb BT B'!$AC$22:$AC$46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BT B'!$CB$22:$CB$46</c:f>
              <c:numCache>
                <c:formatCode>0</c:formatCode>
                <c:ptCount val="25"/>
                <c:pt idx="0">
                  <c:v>4.8849813083506888E-15</c:v>
                </c:pt>
                <c:pt idx="1">
                  <c:v>3.3306690738754696E-15</c:v>
                </c:pt>
                <c:pt idx="2">
                  <c:v>3.3306690738754696E-15</c:v>
                </c:pt>
                <c:pt idx="3">
                  <c:v>3.3306690738754696E-15</c:v>
                </c:pt>
                <c:pt idx="4">
                  <c:v>3.3306690738754696E-15</c:v>
                </c:pt>
                <c:pt idx="5">
                  <c:v>1.5487500000000032</c:v>
                </c:pt>
                <c:pt idx="6">
                  <c:v>9.8212500000000027</c:v>
                </c:pt>
                <c:pt idx="7">
                  <c:v>38.540999999999997</c:v>
                </c:pt>
                <c:pt idx="8">
                  <c:v>75.372749999999996</c:v>
                </c:pt>
                <c:pt idx="9">
                  <c:v>83.548249999999982</c:v>
                </c:pt>
                <c:pt idx="10">
                  <c:v>82.965749999999986</c:v>
                </c:pt>
                <c:pt idx="11">
                  <c:v>81.233499999999978</c:v>
                </c:pt>
                <c:pt idx="12">
                  <c:v>77.662249999999986</c:v>
                </c:pt>
                <c:pt idx="13">
                  <c:v>64.819999999999979</c:v>
                </c:pt>
                <c:pt idx="14">
                  <c:v>65.816249999999982</c:v>
                </c:pt>
                <c:pt idx="15">
                  <c:v>65.281249999999972</c:v>
                </c:pt>
                <c:pt idx="16">
                  <c:v>59.025499999999987</c:v>
                </c:pt>
                <c:pt idx="17">
                  <c:v>43.760499999999979</c:v>
                </c:pt>
                <c:pt idx="18">
                  <c:v>25.459499999999977</c:v>
                </c:pt>
                <c:pt idx="19">
                  <c:v>15.361999999999977</c:v>
                </c:pt>
                <c:pt idx="20">
                  <c:v>9.5734999999999779</c:v>
                </c:pt>
                <c:pt idx="21">
                  <c:v>5.138999999999978</c:v>
                </c:pt>
                <c:pt idx="22">
                  <c:v>3.873749999999978</c:v>
                </c:pt>
                <c:pt idx="23">
                  <c:v>1.1287499999999782</c:v>
                </c:pt>
                <c:pt idx="24">
                  <c:v>4.8849813083506888E-15</c:v>
                </c:pt>
              </c:numCache>
            </c:numRef>
          </c:val>
          <c:smooth val="1"/>
          <c:extLst>
            <c:ext xmlns:c16="http://schemas.microsoft.com/office/drawing/2014/chart" uri="{C3380CC4-5D6E-409C-BE32-E72D297353CC}">
              <c16:uniqueId val="{00000003-A5FC-44C2-8560-7BE24463A404}"/>
            </c:ext>
          </c:extLst>
        </c:ser>
        <c:dLbls>
          <c:showLegendKey val="0"/>
          <c:showVal val="0"/>
          <c:showCatName val="0"/>
          <c:showSerName val="0"/>
          <c:showPercent val="0"/>
          <c:showBubbleSize val="0"/>
        </c:dLbls>
        <c:marker val="1"/>
        <c:smooth val="0"/>
        <c:axId val="423013120"/>
        <c:axId val="423013512"/>
      </c:lineChart>
      <c:catAx>
        <c:axId val="42301312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013512"/>
        <c:crosses val="autoZero"/>
        <c:auto val="1"/>
        <c:lblAlgn val="ctr"/>
        <c:lblOffset val="100"/>
        <c:tickLblSkip val="1"/>
        <c:noMultiLvlLbl val="0"/>
      </c:catAx>
      <c:valAx>
        <c:axId val="42301351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312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'Wohnen '!$AE$20:$AF$20</c:f>
              <c:strCache>
                <c:ptCount val="1"/>
                <c:pt idx="0">
                  <c:v>Besucherverkehr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'!$AY$22:$AY$46</c:f>
              <c:numCache>
                <c:formatCode>0</c:formatCode>
                <c:ptCount val="25"/>
                <c:pt idx="0">
                  <c:v>0</c:v>
                </c:pt>
                <c:pt idx="1">
                  <c:v>0</c:v>
                </c:pt>
                <c:pt idx="2">
                  <c:v>0</c:v>
                </c:pt>
                <c:pt idx="3">
                  <c:v>0</c:v>
                </c:pt>
                <c:pt idx="4">
                  <c:v>0</c:v>
                </c:pt>
                <c:pt idx="5">
                  <c:v>0</c:v>
                </c:pt>
                <c:pt idx="6">
                  <c:v>0</c:v>
                </c:pt>
                <c:pt idx="7">
                  <c:v>0</c:v>
                </c:pt>
                <c:pt idx="8">
                  <c:v>1.2800000000000001E-2</c:v>
                </c:pt>
                <c:pt idx="9">
                  <c:v>5.7800000000000004E-2</c:v>
                </c:pt>
                <c:pt idx="10">
                  <c:v>0.17100000000000001</c:v>
                </c:pt>
                <c:pt idx="11">
                  <c:v>0.1862</c:v>
                </c:pt>
                <c:pt idx="12">
                  <c:v>0.21879999999999999</c:v>
                </c:pt>
                <c:pt idx="13">
                  <c:v>9.820000000000001E-2</c:v>
                </c:pt>
                <c:pt idx="14">
                  <c:v>0.17100000000000001</c:v>
                </c:pt>
                <c:pt idx="15">
                  <c:v>0.1862</c:v>
                </c:pt>
                <c:pt idx="16">
                  <c:v>0.1686</c:v>
                </c:pt>
                <c:pt idx="17">
                  <c:v>0.22140000000000001</c:v>
                </c:pt>
                <c:pt idx="18">
                  <c:v>0.30180000000000001</c:v>
                </c:pt>
                <c:pt idx="19">
                  <c:v>0.20620000000000002</c:v>
                </c:pt>
                <c:pt idx="20">
                  <c:v>0</c:v>
                </c:pt>
                <c:pt idx="21">
                  <c:v>0</c:v>
                </c:pt>
                <c:pt idx="22">
                  <c:v>0</c:v>
                </c:pt>
                <c:pt idx="23">
                  <c:v>0</c:v>
                </c:pt>
                <c:pt idx="24">
                  <c:v>0</c:v>
                </c:pt>
              </c:numCache>
            </c:numRef>
          </c:val>
          <c:smooth val="1"/>
          <c:extLst>
            <c:ext xmlns:c16="http://schemas.microsoft.com/office/drawing/2014/chart" uri="{C3380CC4-5D6E-409C-BE32-E72D297353CC}">
              <c16:uniqueId val="{00000000-E829-4526-964E-8C7439C0467C}"/>
            </c:ext>
          </c:extLst>
        </c:ser>
        <c:ser>
          <c:idx val="2"/>
          <c:order val="1"/>
          <c:tx>
            <c:strRef>
              <c:f>'Wohnen '!$AG$20:$AH$20</c:f>
              <c:strCache>
                <c:ptCount val="1"/>
                <c:pt idx="0">
                  <c:v>Bewohnerverkehr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'!$BB$22:$BB$46</c:f>
              <c:numCache>
                <c:formatCode>0</c:formatCode>
                <c:ptCount val="25"/>
                <c:pt idx="0">
                  <c:v>0</c:v>
                </c:pt>
                <c:pt idx="1">
                  <c:v>0</c:v>
                </c:pt>
                <c:pt idx="2">
                  <c:v>0</c:v>
                </c:pt>
                <c:pt idx="3">
                  <c:v>0</c:v>
                </c:pt>
                <c:pt idx="4">
                  <c:v>0.11125</c:v>
                </c:pt>
                <c:pt idx="5">
                  <c:v>0.44500000000000001</c:v>
                </c:pt>
                <c:pt idx="6">
                  <c:v>2.0024999999999999</c:v>
                </c:pt>
                <c:pt idx="7">
                  <c:v>6.6749999999999998</c:v>
                </c:pt>
                <c:pt idx="8">
                  <c:v>6.23</c:v>
                </c:pt>
                <c:pt idx="9">
                  <c:v>3.56</c:v>
                </c:pt>
                <c:pt idx="10">
                  <c:v>2.3362500000000002</c:v>
                </c:pt>
                <c:pt idx="11">
                  <c:v>1.8912500000000001</c:v>
                </c:pt>
                <c:pt idx="12">
                  <c:v>1.335</c:v>
                </c:pt>
                <c:pt idx="13">
                  <c:v>1.5575000000000001</c:v>
                </c:pt>
                <c:pt idx="14">
                  <c:v>2.4474999999999998</c:v>
                </c:pt>
                <c:pt idx="15">
                  <c:v>2.67</c:v>
                </c:pt>
                <c:pt idx="16">
                  <c:v>2.11375</c:v>
                </c:pt>
                <c:pt idx="17">
                  <c:v>2.67</c:v>
                </c:pt>
                <c:pt idx="18">
                  <c:v>3.3374999999999999</c:v>
                </c:pt>
                <c:pt idx="19">
                  <c:v>2.0024999999999999</c:v>
                </c:pt>
                <c:pt idx="20">
                  <c:v>1.8912500000000001</c:v>
                </c:pt>
                <c:pt idx="21">
                  <c:v>0.89</c:v>
                </c:pt>
                <c:pt idx="22">
                  <c:v>0.2225</c:v>
                </c:pt>
                <c:pt idx="23">
                  <c:v>0.11125</c:v>
                </c:pt>
                <c:pt idx="24">
                  <c:v>0</c:v>
                </c:pt>
              </c:numCache>
            </c:numRef>
          </c:val>
          <c:smooth val="1"/>
          <c:extLst>
            <c:ext xmlns:c16="http://schemas.microsoft.com/office/drawing/2014/chart" uri="{C3380CC4-5D6E-409C-BE32-E72D297353CC}">
              <c16:uniqueId val="{00000001-E829-4526-964E-8C7439C0467C}"/>
            </c:ext>
          </c:extLst>
        </c:ser>
        <c:ser>
          <c:idx val="4"/>
          <c:order val="2"/>
          <c:tx>
            <c:strRef>
              <c:f>'Wohnen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'!$BE$22:$BE$46</c:f>
              <c:numCache>
                <c:formatCode>0</c:formatCode>
                <c:ptCount val="25"/>
                <c:pt idx="0">
                  <c:v>9.7500000000000017E-3</c:v>
                </c:pt>
                <c:pt idx="1">
                  <c:v>0</c:v>
                </c:pt>
                <c:pt idx="2">
                  <c:v>0</c:v>
                </c:pt>
                <c:pt idx="3">
                  <c:v>0</c:v>
                </c:pt>
                <c:pt idx="4">
                  <c:v>0</c:v>
                </c:pt>
                <c:pt idx="5">
                  <c:v>0</c:v>
                </c:pt>
                <c:pt idx="6">
                  <c:v>1.4999999999999999E-2</c:v>
                </c:pt>
                <c:pt idx="7">
                  <c:v>2.6249999999999999E-2</c:v>
                </c:pt>
                <c:pt idx="8">
                  <c:v>7.1249999999999994E-2</c:v>
                </c:pt>
                <c:pt idx="9">
                  <c:v>9.7500000000000003E-2</c:v>
                </c:pt>
                <c:pt idx="10">
                  <c:v>0.12375</c:v>
                </c:pt>
                <c:pt idx="11">
                  <c:v>0.13500000000000001</c:v>
                </c:pt>
                <c:pt idx="12">
                  <c:v>0.15375</c:v>
                </c:pt>
                <c:pt idx="13">
                  <c:v>0.13125000000000001</c:v>
                </c:pt>
                <c:pt idx="14">
                  <c:v>0.11625000000000001</c:v>
                </c:pt>
                <c:pt idx="15">
                  <c:v>8.3999999999999991E-2</c:v>
                </c:pt>
                <c:pt idx="16">
                  <c:v>0.105</c:v>
                </c:pt>
                <c:pt idx="17">
                  <c:v>0.13125000000000001</c:v>
                </c:pt>
                <c:pt idx="18">
                  <c:v>0.105</c:v>
                </c:pt>
                <c:pt idx="19">
                  <c:v>7.8750000000000001E-2</c:v>
                </c:pt>
                <c:pt idx="20">
                  <c:v>5.6250000000000001E-2</c:v>
                </c:pt>
                <c:pt idx="21">
                  <c:v>2.6249999999999999E-2</c:v>
                </c:pt>
                <c:pt idx="22">
                  <c:v>1.4999999999999999E-2</c:v>
                </c:pt>
                <c:pt idx="23">
                  <c:v>1.8749999999999999E-2</c:v>
                </c:pt>
                <c:pt idx="24">
                  <c:v>9.7500000000000017E-3</c:v>
                </c:pt>
              </c:numCache>
            </c:numRef>
          </c:val>
          <c:smooth val="1"/>
          <c:extLst>
            <c:ext xmlns:c16="http://schemas.microsoft.com/office/drawing/2014/chart" uri="{C3380CC4-5D6E-409C-BE32-E72D297353CC}">
              <c16:uniqueId val="{00000002-E829-4526-964E-8C7439C0467C}"/>
            </c:ext>
          </c:extLst>
        </c:ser>
        <c:ser>
          <c:idx val="6"/>
          <c:order val="3"/>
          <c:tx>
            <c:v>Gesamt-Quellverkehr</c:v>
          </c:tx>
          <c:spPr>
            <a:ln w="38100">
              <a:solidFill>
                <a:srgbClr val="0000FF"/>
              </a:solidFill>
              <a:prstDash val="solid"/>
            </a:ln>
          </c:spPr>
          <c:marker>
            <c:symbol val="none"/>
          </c:marker>
          <c:val>
            <c:numRef>
              <c:f>'Wohnen '!$BH$22:$BH$46</c:f>
              <c:numCache>
                <c:formatCode>0</c:formatCode>
                <c:ptCount val="25"/>
                <c:pt idx="0">
                  <c:v>9.7500000000000017E-3</c:v>
                </c:pt>
                <c:pt idx="1">
                  <c:v>0</c:v>
                </c:pt>
                <c:pt idx="2">
                  <c:v>0</c:v>
                </c:pt>
                <c:pt idx="3">
                  <c:v>0</c:v>
                </c:pt>
                <c:pt idx="4">
                  <c:v>0.11125</c:v>
                </c:pt>
                <c:pt idx="5">
                  <c:v>0.44500000000000001</c:v>
                </c:pt>
                <c:pt idx="6">
                  <c:v>2.0175000000000001</c:v>
                </c:pt>
                <c:pt idx="7">
                  <c:v>6.7012499999999999</c:v>
                </c:pt>
                <c:pt idx="8">
                  <c:v>6.3140500000000008</c:v>
                </c:pt>
                <c:pt idx="9">
                  <c:v>3.7153</c:v>
                </c:pt>
                <c:pt idx="10">
                  <c:v>2.6309999999999998</c:v>
                </c:pt>
                <c:pt idx="11">
                  <c:v>2.2124500000000005</c:v>
                </c:pt>
                <c:pt idx="12">
                  <c:v>1.7075499999999999</c:v>
                </c:pt>
                <c:pt idx="13">
                  <c:v>1.7869500000000003</c:v>
                </c:pt>
                <c:pt idx="14">
                  <c:v>2.7347499999999996</c:v>
                </c:pt>
                <c:pt idx="15">
                  <c:v>2.9401999999999999</c:v>
                </c:pt>
                <c:pt idx="16">
                  <c:v>2.3873500000000001</c:v>
                </c:pt>
                <c:pt idx="17">
                  <c:v>3.0226500000000001</c:v>
                </c:pt>
                <c:pt idx="18">
                  <c:v>3.7443</c:v>
                </c:pt>
                <c:pt idx="19">
                  <c:v>2.2874499999999998</c:v>
                </c:pt>
                <c:pt idx="20">
                  <c:v>1.9475</c:v>
                </c:pt>
                <c:pt idx="21">
                  <c:v>0.91625000000000001</c:v>
                </c:pt>
                <c:pt idx="22">
                  <c:v>0.23749999999999999</c:v>
                </c:pt>
                <c:pt idx="23">
                  <c:v>0.13</c:v>
                </c:pt>
                <c:pt idx="24">
                  <c:v>9.7500000000000017E-3</c:v>
                </c:pt>
              </c:numCache>
            </c:numRef>
          </c:val>
          <c:smooth val="1"/>
          <c:extLst>
            <c:ext xmlns:c16="http://schemas.microsoft.com/office/drawing/2014/chart" uri="{C3380CC4-5D6E-409C-BE32-E72D297353CC}">
              <c16:uniqueId val="{00000003-E829-4526-964E-8C7439C0467C}"/>
            </c:ext>
          </c:extLst>
        </c:ser>
        <c:dLbls>
          <c:showLegendKey val="0"/>
          <c:showVal val="0"/>
          <c:showCatName val="0"/>
          <c:showSerName val="0"/>
          <c:showPercent val="0"/>
          <c:showBubbleSize val="0"/>
        </c:dLbls>
        <c:marker val="1"/>
        <c:smooth val="0"/>
        <c:axId val="423011944"/>
        <c:axId val="423016256"/>
      </c:lineChart>
      <c:catAx>
        <c:axId val="423011944"/>
        <c:scaling>
          <c:orientation val="minMax"/>
        </c:scaling>
        <c:delete val="1"/>
        <c:axPos val="t"/>
        <c:numFmt formatCode="General" sourceLinked="0"/>
        <c:majorTickMark val="out"/>
        <c:minorTickMark val="none"/>
        <c:tickLblPos val="none"/>
        <c:crossAx val="423016256"/>
        <c:crosses val="autoZero"/>
        <c:auto val="1"/>
        <c:lblAlgn val="ctr"/>
        <c:lblOffset val="100"/>
        <c:noMultiLvlLbl val="0"/>
      </c:catAx>
      <c:valAx>
        <c:axId val="42301625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01194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'Wohnen '!$AE$21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'!$AE$22:$AE$46</c:f>
              <c:numCache>
                <c:formatCode>0.00</c:formatCode>
                <c:ptCount val="25"/>
                <c:pt idx="0">
                  <c:v>0</c:v>
                </c:pt>
                <c:pt idx="1">
                  <c:v>0</c:v>
                </c:pt>
                <c:pt idx="2">
                  <c:v>0</c:v>
                </c:pt>
                <c:pt idx="3">
                  <c:v>0</c:v>
                </c:pt>
                <c:pt idx="4">
                  <c:v>0</c:v>
                </c:pt>
                <c:pt idx="5">
                  <c:v>0</c:v>
                </c:pt>
                <c:pt idx="6">
                  <c:v>0</c:v>
                </c:pt>
                <c:pt idx="7">
                  <c:v>0</c:v>
                </c:pt>
                <c:pt idx="8">
                  <c:v>-0.64</c:v>
                </c:pt>
                <c:pt idx="9">
                  <c:v>-2.89</c:v>
                </c:pt>
                <c:pt idx="10">
                  <c:v>-8.5500000000000007</c:v>
                </c:pt>
                <c:pt idx="11">
                  <c:v>-9.31</c:v>
                </c:pt>
                <c:pt idx="12">
                  <c:v>-10.94</c:v>
                </c:pt>
                <c:pt idx="13">
                  <c:v>-4.91</c:v>
                </c:pt>
                <c:pt idx="14">
                  <c:v>-8.5500000000000007</c:v>
                </c:pt>
                <c:pt idx="15">
                  <c:v>-9.31</c:v>
                </c:pt>
                <c:pt idx="16">
                  <c:v>-8.43</c:v>
                </c:pt>
                <c:pt idx="17">
                  <c:v>-11.07</c:v>
                </c:pt>
                <c:pt idx="18">
                  <c:v>-15.09</c:v>
                </c:pt>
                <c:pt idx="19">
                  <c:v>-10.31</c:v>
                </c:pt>
                <c:pt idx="20">
                  <c:v>0</c:v>
                </c:pt>
                <c:pt idx="21">
                  <c:v>0</c:v>
                </c:pt>
                <c:pt idx="22">
                  <c:v>0</c:v>
                </c:pt>
                <c:pt idx="23">
                  <c:v>0</c:v>
                </c:pt>
                <c:pt idx="24">
                  <c:v>0</c:v>
                </c:pt>
              </c:numCache>
            </c:numRef>
          </c:val>
          <c:smooth val="1"/>
          <c:extLst>
            <c:ext xmlns:c16="http://schemas.microsoft.com/office/drawing/2014/chart" uri="{C3380CC4-5D6E-409C-BE32-E72D297353CC}">
              <c16:uniqueId val="{00000000-888F-4A0D-B985-2C60B51636C8}"/>
            </c:ext>
          </c:extLst>
        </c:ser>
        <c:ser>
          <c:idx val="1"/>
          <c:order val="1"/>
          <c:tx>
            <c:strRef>
              <c:f>'Wohnen '!$AF$21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'!$AF$22:$AF$46</c:f>
              <c:numCache>
                <c:formatCode>0.00</c:formatCode>
                <c:ptCount val="25"/>
                <c:pt idx="0">
                  <c:v>0</c:v>
                </c:pt>
                <c:pt idx="1">
                  <c:v>0</c:v>
                </c:pt>
                <c:pt idx="2">
                  <c:v>0</c:v>
                </c:pt>
                <c:pt idx="3">
                  <c:v>0</c:v>
                </c:pt>
                <c:pt idx="4">
                  <c:v>0</c:v>
                </c:pt>
                <c:pt idx="5">
                  <c:v>0</c:v>
                </c:pt>
                <c:pt idx="6">
                  <c:v>0</c:v>
                </c:pt>
                <c:pt idx="7">
                  <c:v>0</c:v>
                </c:pt>
                <c:pt idx="8">
                  <c:v>0.98</c:v>
                </c:pt>
                <c:pt idx="9">
                  <c:v>5.73</c:v>
                </c:pt>
                <c:pt idx="10">
                  <c:v>8.7799999999999994</c:v>
                </c:pt>
                <c:pt idx="11">
                  <c:v>11.46</c:v>
                </c:pt>
                <c:pt idx="12">
                  <c:v>9.15</c:v>
                </c:pt>
                <c:pt idx="13">
                  <c:v>5.61</c:v>
                </c:pt>
                <c:pt idx="14">
                  <c:v>7.44</c:v>
                </c:pt>
                <c:pt idx="15">
                  <c:v>8.66</c:v>
                </c:pt>
                <c:pt idx="16">
                  <c:v>8.66</c:v>
                </c:pt>
                <c:pt idx="17">
                  <c:v>12.32</c:v>
                </c:pt>
                <c:pt idx="18">
                  <c:v>13.41</c:v>
                </c:pt>
                <c:pt idx="19">
                  <c:v>7.8</c:v>
                </c:pt>
                <c:pt idx="20">
                  <c:v>0</c:v>
                </c:pt>
                <c:pt idx="21">
                  <c:v>0</c:v>
                </c:pt>
                <c:pt idx="22">
                  <c:v>0</c:v>
                </c:pt>
                <c:pt idx="23">
                  <c:v>0</c:v>
                </c:pt>
                <c:pt idx="24">
                  <c:v>0</c:v>
                </c:pt>
              </c:numCache>
            </c:numRef>
          </c:val>
          <c:smooth val="1"/>
          <c:extLst>
            <c:ext xmlns:c16="http://schemas.microsoft.com/office/drawing/2014/chart" uri="{C3380CC4-5D6E-409C-BE32-E72D297353CC}">
              <c16:uniqueId val="{00000001-888F-4A0D-B985-2C60B51636C8}"/>
            </c:ext>
          </c:extLst>
        </c:ser>
        <c:dLbls>
          <c:showLegendKey val="0"/>
          <c:showVal val="0"/>
          <c:showCatName val="0"/>
          <c:showSerName val="0"/>
          <c:showPercent val="0"/>
          <c:showBubbleSize val="0"/>
        </c:dLbls>
        <c:smooth val="0"/>
        <c:axId val="423016648"/>
        <c:axId val="423010376"/>
      </c:lineChart>
      <c:catAx>
        <c:axId val="423016648"/>
        <c:scaling>
          <c:orientation val="minMax"/>
        </c:scaling>
        <c:delete val="1"/>
        <c:axPos val="b"/>
        <c:numFmt formatCode="General" sourceLinked="0"/>
        <c:majorTickMark val="out"/>
        <c:minorTickMark val="none"/>
        <c:tickLblPos val="none"/>
        <c:crossAx val="423010376"/>
        <c:crosses val="autoZero"/>
        <c:auto val="1"/>
        <c:lblAlgn val="ctr"/>
        <c:lblOffset val="100"/>
        <c:noMultiLvlLbl val="0"/>
      </c:catAx>
      <c:valAx>
        <c:axId val="4230103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6648"/>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'Wohnen '!$AG$21</c:f>
              <c:strCache>
                <c:ptCount val="1"/>
                <c:pt idx="0">
                  <c:v>QV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'!$AG$22:$AG$46</c:f>
              <c:numCache>
                <c:formatCode>0.00</c:formatCode>
                <c:ptCount val="25"/>
                <c:pt idx="0">
                  <c:v>0</c:v>
                </c:pt>
                <c:pt idx="1">
                  <c:v>0</c:v>
                </c:pt>
                <c:pt idx="2">
                  <c:v>0</c:v>
                </c:pt>
                <c:pt idx="3">
                  <c:v>0</c:v>
                </c:pt>
                <c:pt idx="4">
                  <c:v>-0.25</c:v>
                </c:pt>
                <c:pt idx="5">
                  <c:v>-1</c:v>
                </c:pt>
                <c:pt idx="6">
                  <c:v>-4.5</c:v>
                </c:pt>
                <c:pt idx="7">
                  <c:v>-15</c:v>
                </c:pt>
                <c:pt idx="8">
                  <c:v>-14</c:v>
                </c:pt>
                <c:pt idx="9">
                  <c:v>-8</c:v>
                </c:pt>
                <c:pt idx="10">
                  <c:v>-5.25</c:v>
                </c:pt>
                <c:pt idx="11">
                  <c:v>-4.25</c:v>
                </c:pt>
                <c:pt idx="12">
                  <c:v>-3</c:v>
                </c:pt>
                <c:pt idx="13">
                  <c:v>-3.5</c:v>
                </c:pt>
                <c:pt idx="14">
                  <c:v>-5.5</c:v>
                </c:pt>
                <c:pt idx="15">
                  <c:v>-6</c:v>
                </c:pt>
                <c:pt idx="16">
                  <c:v>-4.75</c:v>
                </c:pt>
                <c:pt idx="17">
                  <c:v>-6</c:v>
                </c:pt>
                <c:pt idx="18">
                  <c:v>-7.5</c:v>
                </c:pt>
                <c:pt idx="19">
                  <c:v>-4.5</c:v>
                </c:pt>
                <c:pt idx="20">
                  <c:v>-4.25</c:v>
                </c:pt>
                <c:pt idx="21">
                  <c:v>-2</c:v>
                </c:pt>
                <c:pt idx="22">
                  <c:v>-0.5</c:v>
                </c:pt>
                <c:pt idx="23">
                  <c:v>-0.25</c:v>
                </c:pt>
                <c:pt idx="24">
                  <c:v>0</c:v>
                </c:pt>
              </c:numCache>
            </c:numRef>
          </c:val>
          <c:smooth val="1"/>
          <c:extLst>
            <c:ext xmlns:c16="http://schemas.microsoft.com/office/drawing/2014/chart" uri="{C3380CC4-5D6E-409C-BE32-E72D297353CC}">
              <c16:uniqueId val="{00000000-E833-47B2-929D-860E28572274}"/>
            </c:ext>
          </c:extLst>
        </c:ser>
        <c:ser>
          <c:idx val="1"/>
          <c:order val="1"/>
          <c:tx>
            <c:strRef>
              <c:f>'Wohnen '!$AH$21</c:f>
              <c:strCache>
                <c:ptCount val="1"/>
                <c:pt idx="0">
                  <c:v>ZV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'!$AH$22:$AH$46</c:f>
              <c:numCache>
                <c:formatCode>0.00</c:formatCode>
                <c:ptCount val="25"/>
                <c:pt idx="0">
                  <c:v>2</c:v>
                </c:pt>
                <c:pt idx="1">
                  <c:v>0.25</c:v>
                </c:pt>
                <c:pt idx="2">
                  <c:v>0.2</c:v>
                </c:pt>
                <c:pt idx="3">
                  <c:v>0</c:v>
                </c:pt>
                <c:pt idx="4">
                  <c:v>0</c:v>
                </c:pt>
                <c:pt idx="5">
                  <c:v>0</c:v>
                </c:pt>
                <c:pt idx="6">
                  <c:v>0.25</c:v>
                </c:pt>
                <c:pt idx="7">
                  <c:v>0.9</c:v>
                </c:pt>
                <c:pt idx="8">
                  <c:v>2</c:v>
                </c:pt>
                <c:pt idx="9">
                  <c:v>2.5</c:v>
                </c:pt>
                <c:pt idx="10">
                  <c:v>2.75</c:v>
                </c:pt>
                <c:pt idx="11">
                  <c:v>3.5</c:v>
                </c:pt>
                <c:pt idx="12">
                  <c:v>5.25</c:v>
                </c:pt>
                <c:pt idx="13">
                  <c:v>7.5</c:v>
                </c:pt>
                <c:pt idx="14">
                  <c:v>7</c:v>
                </c:pt>
                <c:pt idx="15">
                  <c:v>4.25</c:v>
                </c:pt>
                <c:pt idx="16">
                  <c:v>6.5</c:v>
                </c:pt>
                <c:pt idx="17">
                  <c:v>14</c:v>
                </c:pt>
                <c:pt idx="18">
                  <c:v>13.75</c:v>
                </c:pt>
                <c:pt idx="19">
                  <c:v>10.4</c:v>
                </c:pt>
                <c:pt idx="20">
                  <c:v>6</c:v>
                </c:pt>
                <c:pt idx="21">
                  <c:v>3.75</c:v>
                </c:pt>
                <c:pt idx="22">
                  <c:v>3.5</c:v>
                </c:pt>
                <c:pt idx="23">
                  <c:v>3.75</c:v>
                </c:pt>
                <c:pt idx="24">
                  <c:v>2</c:v>
                </c:pt>
              </c:numCache>
            </c:numRef>
          </c:val>
          <c:smooth val="1"/>
          <c:extLst>
            <c:ext xmlns:c16="http://schemas.microsoft.com/office/drawing/2014/chart" uri="{C3380CC4-5D6E-409C-BE32-E72D297353CC}">
              <c16:uniqueId val="{00000001-E833-47B2-929D-860E28572274}"/>
            </c:ext>
          </c:extLst>
        </c:ser>
        <c:dLbls>
          <c:showLegendKey val="0"/>
          <c:showVal val="0"/>
          <c:showCatName val="0"/>
          <c:showSerName val="0"/>
          <c:showPercent val="0"/>
          <c:showBubbleSize val="0"/>
        </c:dLbls>
        <c:smooth val="0"/>
        <c:axId val="423014296"/>
        <c:axId val="423017040"/>
      </c:lineChart>
      <c:catAx>
        <c:axId val="423014296"/>
        <c:scaling>
          <c:orientation val="minMax"/>
        </c:scaling>
        <c:delete val="1"/>
        <c:axPos val="b"/>
        <c:numFmt formatCode="General" sourceLinked="0"/>
        <c:majorTickMark val="out"/>
        <c:minorTickMark val="none"/>
        <c:tickLblPos val="none"/>
        <c:crossAx val="423017040"/>
        <c:crosses val="autoZero"/>
        <c:auto val="1"/>
        <c:lblAlgn val="ctr"/>
        <c:lblOffset val="100"/>
        <c:noMultiLvlLbl val="0"/>
      </c:catAx>
      <c:valAx>
        <c:axId val="4230170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429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'Wohnen '!$AI$21</c:f>
              <c:strCache>
                <c:ptCount val="1"/>
                <c:pt idx="0">
                  <c:v>QV [in %]</c:v>
                </c:pt>
              </c:strCache>
            </c:strRef>
          </c:tx>
          <c:spPr>
            <a:ln w="25400">
              <a:solidFill>
                <a:srgbClr val="008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'!$AI$22:$AI$46</c:f>
              <c:numCache>
                <c:formatCode>0.00</c:formatCode>
                <c:ptCount val="25"/>
                <c:pt idx="0">
                  <c:v>-0.65</c:v>
                </c:pt>
                <c:pt idx="1">
                  <c:v>0</c:v>
                </c:pt>
                <c:pt idx="2">
                  <c:v>0</c:v>
                </c:pt>
                <c:pt idx="3">
                  <c:v>0</c:v>
                </c:pt>
                <c:pt idx="4">
                  <c:v>0</c:v>
                </c:pt>
                <c:pt idx="5">
                  <c:v>0</c:v>
                </c:pt>
                <c:pt idx="6">
                  <c:v>-1</c:v>
                </c:pt>
                <c:pt idx="7">
                  <c:v>-1.75</c:v>
                </c:pt>
                <c:pt idx="8">
                  <c:v>-4.75</c:v>
                </c:pt>
                <c:pt idx="9">
                  <c:v>-6.5</c:v>
                </c:pt>
                <c:pt idx="10">
                  <c:v>-8.25</c:v>
                </c:pt>
                <c:pt idx="11">
                  <c:v>-9</c:v>
                </c:pt>
                <c:pt idx="12">
                  <c:v>-10.25</c:v>
                </c:pt>
                <c:pt idx="13">
                  <c:v>-8.75</c:v>
                </c:pt>
                <c:pt idx="14">
                  <c:v>-7.75</c:v>
                </c:pt>
                <c:pt idx="15">
                  <c:v>-5.6</c:v>
                </c:pt>
                <c:pt idx="16">
                  <c:v>-7</c:v>
                </c:pt>
                <c:pt idx="17">
                  <c:v>-8.75</c:v>
                </c:pt>
                <c:pt idx="18">
                  <c:v>-7</c:v>
                </c:pt>
                <c:pt idx="19">
                  <c:v>-5.25</c:v>
                </c:pt>
                <c:pt idx="20">
                  <c:v>-3.75</c:v>
                </c:pt>
                <c:pt idx="21">
                  <c:v>-1.75</c:v>
                </c:pt>
                <c:pt idx="22">
                  <c:v>-1</c:v>
                </c:pt>
                <c:pt idx="23">
                  <c:v>-1.25</c:v>
                </c:pt>
                <c:pt idx="24">
                  <c:v>-0.65</c:v>
                </c:pt>
              </c:numCache>
            </c:numRef>
          </c:val>
          <c:smooth val="1"/>
          <c:extLst>
            <c:ext xmlns:c16="http://schemas.microsoft.com/office/drawing/2014/chart" uri="{C3380CC4-5D6E-409C-BE32-E72D297353CC}">
              <c16:uniqueId val="{00000000-264D-43E5-9282-645F8E05563A}"/>
            </c:ext>
          </c:extLst>
        </c:ser>
        <c:ser>
          <c:idx val="1"/>
          <c:order val="1"/>
          <c:tx>
            <c:strRef>
              <c:f>'Wohnen '!$AJ$21</c:f>
              <c:strCache>
                <c:ptCount val="1"/>
                <c:pt idx="0">
                  <c:v>ZV [in %]</c:v>
                </c:pt>
              </c:strCache>
            </c:strRef>
          </c:tx>
          <c:spPr>
            <a:ln w="25400">
              <a:solidFill>
                <a:srgbClr val="0000FF"/>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'!$AJ$22:$AJ$46</c:f>
              <c:numCache>
                <c:formatCode>0.00</c:formatCode>
                <c:ptCount val="25"/>
                <c:pt idx="0">
                  <c:v>0</c:v>
                </c:pt>
                <c:pt idx="1">
                  <c:v>0</c:v>
                </c:pt>
                <c:pt idx="2">
                  <c:v>0</c:v>
                </c:pt>
                <c:pt idx="3">
                  <c:v>0</c:v>
                </c:pt>
                <c:pt idx="4">
                  <c:v>0</c:v>
                </c:pt>
                <c:pt idx="5">
                  <c:v>0.25</c:v>
                </c:pt>
                <c:pt idx="6">
                  <c:v>1.5</c:v>
                </c:pt>
                <c:pt idx="7">
                  <c:v>3</c:v>
                </c:pt>
                <c:pt idx="8">
                  <c:v>8</c:v>
                </c:pt>
                <c:pt idx="9">
                  <c:v>10.4</c:v>
                </c:pt>
                <c:pt idx="10">
                  <c:v>8.75</c:v>
                </c:pt>
                <c:pt idx="11">
                  <c:v>10.25</c:v>
                </c:pt>
                <c:pt idx="12">
                  <c:v>9.9</c:v>
                </c:pt>
                <c:pt idx="13">
                  <c:v>7</c:v>
                </c:pt>
                <c:pt idx="14">
                  <c:v>6.5</c:v>
                </c:pt>
                <c:pt idx="15">
                  <c:v>6</c:v>
                </c:pt>
                <c:pt idx="16">
                  <c:v>7.75</c:v>
                </c:pt>
                <c:pt idx="17">
                  <c:v>6.75</c:v>
                </c:pt>
                <c:pt idx="18">
                  <c:v>5</c:v>
                </c:pt>
                <c:pt idx="19">
                  <c:v>3.75</c:v>
                </c:pt>
                <c:pt idx="20">
                  <c:v>3.25</c:v>
                </c:pt>
                <c:pt idx="21">
                  <c:v>1.45</c:v>
                </c:pt>
                <c:pt idx="22">
                  <c:v>0.25</c:v>
                </c:pt>
                <c:pt idx="23">
                  <c:v>0.25</c:v>
                </c:pt>
                <c:pt idx="24">
                  <c:v>0</c:v>
                </c:pt>
              </c:numCache>
            </c:numRef>
          </c:val>
          <c:smooth val="1"/>
          <c:extLst>
            <c:ext xmlns:c16="http://schemas.microsoft.com/office/drawing/2014/chart" uri="{C3380CC4-5D6E-409C-BE32-E72D297353CC}">
              <c16:uniqueId val="{00000001-264D-43E5-9282-645F8E05563A}"/>
            </c:ext>
          </c:extLst>
        </c:ser>
        <c:dLbls>
          <c:showLegendKey val="0"/>
          <c:showVal val="0"/>
          <c:showCatName val="0"/>
          <c:showSerName val="0"/>
          <c:showPercent val="0"/>
          <c:showBubbleSize val="0"/>
        </c:dLbls>
        <c:smooth val="0"/>
        <c:axId val="423017432"/>
        <c:axId val="423010768"/>
      </c:lineChart>
      <c:catAx>
        <c:axId val="423017432"/>
        <c:scaling>
          <c:orientation val="minMax"/>
        </c:scaling>
        <c:delete val="1"/>
        <c:axPos val="b"/>
        <c:numFmt formatCode="General" sourceLinked="0"/>
        <c:majorTickMark val="out"/>
        <c:minorTickMark val="none"/>
        <c:tickLblPos val="none"/>
        <c:crossAx val="423010768"/>
        <c:crosses val="autoZero"/>
        <c:auto val="1"/>
        <c:lblAlgn val="ctr"/>
        <c:lblOffset val="100"/>
        <c:noMultiLvlLbl val="0"/>
      </c:catAx>
      <c:valAx>
        <c:axId val="42301076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017432"/>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'Wohnen '!$AE$20:$AF$20</c:f>
              <c:strCache>
                <c:ptCount val="1"/>
                <c:pt idx="0">
                  <c:v>Besucherverkehr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'!$AZ$22:$AZ$46</c:f>
              <c:numCache>
                <c:formatCode>0</c:formatCode>
                <c:ptCount val="25"/>
                <c:pt idx="0">
                  <c:v>0</c:v>
                </c:pt>
                <c:pt idx="1">
                  <c:v>0</c:v>
                </c:pt>
                <c:pt idx="2">
                  <c:v>0</c:v>
                </c:pt>
                <c:pt idx="3">
                  <c:v>0</c:v>
                </c:pt>
                <c:pt idx="4">
                  <c:v>0</c:v>
                </c:pt>
                <c:pt idx="5">
                  <c:v>0</c:v>
                </c:pt>
                <c:pt idx="6">
                  <c:v>0</c:v>
                </c:pt>
                <c:pt idx="7">
                  <c:v>0</c:v>
                </c:pt>
                <c:pt idx="8">
                  <c:v>1.9599999999999999E-2</c:v>
                </c:pt>
                <c:pt idx="9">
                  <c:v>0.11460000000000001</c:v>
                </c:pt>
                <c:pt idx="10">
                  <c:v>0.17559999999999998</c:v>
                </c:pt>
                <c:pt idx="11">
                  <c:v>0.22920000000000001</c:v>
                </c:pt>
                <c:pt idx="12">
                  <c:v>0.183</c:v>
                </c:pt>
                <c:pt idx="13">
                  <c:v>0.11220000000000001</c:v>
                </c:pt>
                <c:pt idx="14">
                  <c:v>0.14880000000000002</c:v>
                </c:pt>
                <c:pt idx="15">
                  <c:v>0.17319999999999999</c:v>
                </c:pt>
                <c:pt idx="16">
                  <c:v>0.17319999999999999</c:v>
                </c:pt>
                <c:pt idx="17">
                  <c:v>0.24640000000000001</c:v>
                </c:pt>
                <c:pt idx="18">
                  <c:v>0.26819999999999999</c:v>
                </c:pt>
                <c:pt idx="19">
                  <c:v>0.156</c:v>
                </c:pt>
                <c:pt idx="20">
                  <c:v>0</c:v>
                </c:pt>
                <c:pt idx="21">
                  <c:v>0</c:v>
                </c:pt>
                <c:pt idx="22">
                  <c:v>0</c:v>
                </c:pt>
                <c:pt idx="23">
                  <c:v>0</c:v>
                </c:pt>
                <c:pt idx="24">
                  <c:v>0</c:v>
                </c:pt>
              </c:numCache>
            </c:numRef>
          </c:val>
          <c:smooth val="1"/>
          <c:extLst>
            <c:ext xmlns:c16="http://schemas.microsoft.com/office/drawing/2014/chart" uri="{C3380CC4-5D6E-409C-BE32-E72D297353CC}">
              <c16:uniqueId val="{00000000-4893-46E6-8764-511A7748217B}"/>
            </c:ext>
          </c:extLst>
        </c:ser>
        <c:ser>
          <c:idx val="3"/>
          <c:order val="1"/>
          <c:tx>
            <c:strRef>
              <c:f>'Wohnen '!$AG$20:$AH$20</c:f>
              <c:strCache>
                <c:ptCount val="1"/>
                <c:pt idx="0">
                  <c:v>Bewohnerverkehr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'!$BC$22:$BC$46</c:f>
              <c:numCache>
                <c:formatCode>0</c:formatCode>
                <c:ptCount val="25"/>
                <c:pt idx="0">
                  <c:v>0.89</c:v>
                </c:pt>
                <c:pt idx="1">
                  <c:v>0.11125</c:v>
                </c:pt>
                <c:pt idx="2">
                  <c:v>8.900000000000001E-2</c:v>
                </c:pt>
                <c:pt idx="3">
                  <c:v>0</c:v>
                </c:pt>
                <c:pt idx="4">
                  <c:v>0</c:v>
                </c:pt>
                <c:pt idx="5">
                  <c:v>0</c:v>
                </c:pt>
                <c:pt idx="6">
                  <c:v>0.11125</c:v>
                </c:pt>
                <c:pt idx="7">
                  <c:v>0.40050000000000002</c:v>
                </c:pt>
                <c:pt idx="8">
                  <c:v>0.89</c:v>
                </c:pt>
                <c:pt idx="9">
                  <c:v>1.1125</c:v>
                </c:pt>
                <c:pt idx="10">
                  <c:v>1.2237499999999999</c:v>
                </c:pt>
                <c:pt idx="11">
                  <c:v>1.5575000000000001</c:v>
                </c:pt>
                <c:pt idx="12">
                  <c:v>2.3362500000000002</c:v>
                </c:pt>
                <c:pt idx="13">
                  <c:v>3.3374999999999999</c:v>
                </c:pt>
                <c:pt idx="14">
                  <c:v>3.1150000000000002</c:v>
                </c:pt>
                <c:pt idx="15">
                  <c:v>1.8912500000000001</c:v>
                </c:pt>
                <c:pt idx="16">
                  <c:v>2.8925000000000001</c:v>
                </c:pt>
                <c:pt idx="17">
                  <c:v>6.23</c:v>
                </c:pt>
                <c:pt idx="18">
                  <c:v>6.1187500000000004</c:v>
                </c:pt>
                <c:pt idx="19">
                  <c:v>4.6280000000000001</c:v>
                </c:pt>
                <c:pt idx="20">
                  <c:v>2.67</c:v>
                </c:pt>
                <c:pt idx="21">
                  <c:v>1.66875</c:v>
                </c:pt>
                <c:pt idx="22">
                  <c:v>1.5575000000000001</c:v>
                </c:pt>
                <c:pt idx="23">
                  <c:v>1.66875</c:v>
                </c:pt>
                <c:pt idx="24">
                  <c:v>0.89</c:v>
                </c:pt>
              </c:numCache>
            </c:numRef>
          </c:val>
          <c:smooth val="1"/>
          <c:extLst>
            <c:ext xmlns:c16="http://schemas.microsoft.com/office/drawing/2014/chart" uri="{C3380CC4-5D6E-409C-BE32-E72D297353CC}">
              <c16:uniqueId val="{00000001-4893-46E6-8764-511A7748217B}"/>
            </c:ext>
          </c:extLst>
        </c:ser>
        <c:ser>
          <c:idx val="5"/>
          <c:order val="2"/>
          <c:tx>
            <c:strRef>
              <c:f>'Wohnen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'!$BF$22:$BF$46</c:f>
              <c:numCache>
                <c:formatCode>0</c:formatCode>
                <c:ptCount val="25"/>
                <c:pt idx="0">
                  <c:v>0</c:v>
                </c:pt>
                <c:pt idx="1">
                  <c:v>0</c:v>
                </c:pt>
                <c:pt idx="2">
                  <c:v>0</c:v>
                </c:pt>
                <c:pt idx="3">
                  <c:v>0</c:v>
                </c:pt>
                <c:pt idx="4">
                  <c:v>0</c:v>
                </c:pt>
                <c:pt idx="5">
                  <c:v>3.7499999999999999E-3</c:v>
                </c:pt>
                <c:pt idx="6">
                  <c:v>2.2499999999999999E-2</c:v>
                </c:pt>
                <c:pt idx="7">
                  <c:v>4.4999999999999998E-2</c:v>
                </c:pt>
                <c:pt idx="8">
                  <c:v>0.12</c:v>
                </c:pt>
                <c:pt idx="9">
                  <c:v>0.15600000000000003</c:v>
                </c:pt>
                <c:pt idx="10">
                  <c:v>0.13125000000000001</c:v>
                </c:pt>
                <c:pt idx="11">
                  <c:v>0.15375</c:v>
                </c:pt>
                <c:pt idx="12">
                  <c:v>0.14850000000000002</c:v>
                </c:pt>
                <c:pt idx="13">
                  <c:v>0.105</c:v>
                </c:pt>
                <c:pt idx="14">
                  <c:v>9.7500000000000003E-2</c:v>
                </c:pt>
                <c:pt idx="15">
                  <c:v>0.09</c:v>
                </c:pt>
                <c:pt idx="16">
                  <c:v>0.11625000000000001</c:v>
                </c:pt>
                <c:pt idx="17">
                  <c:v>0.10125000000000001</c:v>
                </c:pt>
                <c:pt idx="18">
                  <c:v>7.4999999999999997E-2</c:v>
                </c:pt>
                <c:pt idx="19">
                  <c:v>5.6250000000000001E-2</c:v>
                </c:pt>
                <c:pt idx="20">
                  <c:v>4.8750000000000002E-2</c:v>
                </c:pt>
                <c:pt idx="21">
                  <c:v>2.1749999999999999E-2</c:v>
                </c:pt>
                <c:pt idx="22">
                  <c:v>3.7499999999999999E-3</c:v>
                </c:pt>
                <c:pt idx="23">
                  <c:v>3.7499999999999999E-3</c:v>
                </c:pt>
                <c:pt idx="24">
                  <c:v>0</c:v>
                </c:pt>
              </c:numCache>
            </c:numRef>
          </c:val>
          <c:smooth val="1"/>
          <c:extLst>
            <c:ext xmlns:c16="http://schemas.microsoft.com/office/drawing/2014/chart" uri="{C3380CC4-5D6E-409C-BE32-E72D297353CC}">
              <c16:uniqueId val="{00000002-4893-46E6-8764-511A7748217B}"/>
            </c:ext>
          </c:extLst>
        </c:ser>
        <c:ser>
          <c:idx val="7"/>
          <c:order val="3"/>
          <c:tx>
            <c:v>Gesamt-Zielverkehr</c:v>
          </c:tx>
          <c:spPr>
            <a:ln w="38100">
              <a:solidFill>
                <a:srgbClr val="008000"/>
              </a:solidFill>
              <a:prstDash val="solid"/>
            </a:ln>
          </c:spPr>
          <c:marker>
            <c:symbol val="none"/>
          </c:marker>
          <c:val>
            <c:numRef>
              <c:f>'Wohnen '!$BI$22:$BI$46</c:f>
              <c:numCache>
                <c:formatCode>0</c:formatCode>
                <c:ptCount val="25"/>
                <c:pt idx="0">
                  <c:v>0.89</c:v>
                </c:pt>
                <c:pt idx="1">
                  <c:v>0.11125</c:v>
                </c:pt>
                <c:pt idx="2">
                  <c:v>8.900000000000001E-2</c:v>
                </c:pt>
                <c:pt idx="3">
                  <c:v>0</c:v>
                </c:pt>
                <c:pt idx="4">
                  <c:v>0</c:v>
                </c:pt>
                <c:pt idx="5">
                  <c:v>3.7499999999999999E-3</c:v>
                </c:pt>
                <c:pt idx="6">
                  <c:v>0.13375000000000001</c:v>
                </c:pt>
                <c:pt idx="7">
                  <c:v>0.44550000000000001</c:v>
                </c:pt>
                <c:pt idx="8">
                  <c:v>1.0295999999999998</c:v>
                </c:pt>
                <c:pt idx="9">
                  <c:v>1.3831000000000002</c:v>
                </c:pt>
                <c:pt idx="10">
                  <c:v>1.5306</c:v>
                </c:pt>
                <c:pt idx="11">
                  <c:v>1.9404500000000002</c:v>
                </c:pt>
                <c:pt idx="12">
                  <c:v>2.6677499999999998</c:v>
                </c:pt>
                <c:pt idx="13">
                  <c:v>3.5547</c:v>
                </c:pt>
                <c:pt idx="14">
                  <c:v>3.3613000000000004</c:v>
                </c:pt>
                <c:pt idx="15">
                  <c:v>2.1544499999999998</c:v>
                </c:pt>
                <c:pt idx="16">
                  <c:v>3.1819500000000001</c:v>
                </c:pt>
                <c:pt idx="17">
                  <c:v>6.5776500000000011</c:v>
                </c:pt>
                <c:pt idx="18">
                  <c:v>6.4619500000000007</c:v>
                </c:pt>
                <c:pt idx="19">
                  <c:v>4.8402500000000002</c:v>
                </c:pt>
                <c:pt idx="20">
                  <c:v>2.71875</c:v>
                </c:pt>
                <c:pt idx="21">
                  <c:v>1.6904999999999999</c:v>
                </c:pt>
                <c:pt idx="22">
                  <c:v>1.56125</c:v>
                </c:pt>
                <c:pt idx="23">
                  <c:v>1.6724999999999999</c:v>
                </c:pt>
                <c:pt idx="24">
                  <c:v>0.89</c:v>
                </c:pt>
              </c:numCache>
            </c:numRef>
          </c:val>
          <c:smooth val="1"/>
          <c:extLst>
            <c:ext xmlns:c16="http://schemas.microsoft.com/office/drawing/2014/chart" uri="{C3380CC4-5D6E-409C-BE32-E72D297353CC}">
              <c16:uniqueId val="{00000003-4893-46E6-8764-511A7748217B}"/>
            </c:ext>
          </c:extLst>
        </c:ser>
        <c:dLbls>
          <c:showLegendKey val="0"/>
          <c:showVal val="0"/>
          <c:showCatName val="0"/>
          <c:showSerName val="0"/>
          <c:showPercent val="0"/>
          <c:showBubbleSize val="0"/>
        </c:dLbls>
        <c:marker val="1"/>
        <c:smooth val="0"/>
        <c:axId val="422727808"/>
        <c:axId val="422725848"/>
      </c:lineChart>
      <c:catAx>
        <c:axId val="42272780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725848"/>
        <c:crosses val="autoZero"/>
        <c:auto val="1"/>
        <c:lblAlgn val="ctr"/>
        <c:lblOffset val="100"/>
        <c:tickLblSkip val="1"/>
        <c:noMultiLvlLbl val="0"/>
      </c:catAx>
      <c:valAx>
        <c:axId val="42272584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780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'Wohnen '!$BY$19:$BY$20</c:f>
              <c:strCache>
                <c:ptCount val="2"/>
                <c:pt idx="0">
                  <c:v>Besucherverkehr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'!$BY$22:$BY$46</c:f>
              <c:numCache>
                <c:formatCode>0</c:formatCode>
                <c:ptCount val="25"/>
                <c:pt idx="0">
                  <c:v>0</c:v>
                </c:pt>
                <c:pt idx="1">
                  <c:v>0</c:v>
                </c:pt>
                <c:pt idx="2">
                  <c:v>0</c:v>
                </c:pt>
                <c:pt idx="3">
                  <c:v>0</c:v>
                </c:pt>
                <c:pt idx="4">
                  <c:v>0</c:v>
                </c:pt>
                <c:pt idx="5">
                  <c:v>0</c:v>
                </c:pt>
                <c:pt idx="6">
                  <c:v>0</c:v>
                </c:pt>
                <c:pt idx="7">
                  <c:v>0</c:v>
                </c:pt>
                <c:pt idx="8">
                  <c:v>6.7999999999999988E-3</c:v>
                </c:pt>
                <c:pt idx="9">
                  <c:v>6.3600000000000004E-2</c:v>
                </c:pt>
                <c:pt idx="10">
                  <c:v>6.8199999999999969E-2</c:v>
                </c:pt>
                <c:pt idx="11">
                  <c:v>0.11119999999999998</c:v>
                </c:pt>
                <c:pt idx="12">
                  <c:v>7.5399999999999981E-2</c:v>
                </c:pt>
                <c:pt idx="13">
                  <c:v>8.9399999999999979E-2</c:v>
                </c:pt>
                <c:pt idx="14">
                  <c:v>6.7199999999999982E-2</c:v>
                </c:pt>
                <c:pt idx="15">
                  <c:v>5.419999999999997E-2</c:v>
                </c:pt>
                <c:pt idx="16">
                  <c:v>5.8799999999999963E-2</c:v>
                </c:pt>
                <c:pt idx="17">
                  <c:v>8.3799999999999958E-2</c:v>
                </c:pt>
                <c:pt idx="18">
                  <c:v>5.0199999999999939E-2</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2AE-438E-9C86-A65B40F4E790}"/>
            </c:ext>
          </c:extLst>
        </c:ser>
        <c:ser>
          <c:idx val="3"/>
          <c:order val="1"/>
          <c:tx>
            <c:strRef>
              <c:f>'Wohnen '!$BZ$19:$BZ$20</c:f>
              <c:strCache>
                <c:ptCount val="2"/>
                <c:pt idx="0">
                  <c:v>Bewohnerverkehr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'!$BZ$22:$BZ$46</c:f>
              <c:numCache>
                <c:formatCode>0</c:formatCode>
                <c:ptCount val="25"/>
                <c:pt idx="0">
                  <c:v>3.0531133177191805E-16</c:v>
                </c:pt>
                <c:pt idx="1">
                  <c:v>0.11125000000000031</c:v>
                </c:pt>
                <c:pt idx="2">
                  <c:v>0.20025000000000032</c:v>
                </c:pt>
                <c:pt idx="3">
                  <c:v>0.20025000000000032</c:v>
                </c:pt>
                <c:pt idx="4">
                  <c:v>8.9000000000000315E-2</c:v>
                </c:pt>
                <c:pt idx="5">
                  <c:v>0</c:v>
                </c:pt>
                <c:pt idx="6">
                  <c:v>0</c:v>
                </c:pt>
                <c:pt idx="7">
                  <c:v>0</c:v>
                </c:pt>
                <c:pt idx="8">
                  <c:v>0</c:v>
                </c:pt>
                <c:pt idx="9">
                  <c:v>0</c:v>
                </c:pt>
                <c:pt idx="10">
                  <c:v>0</c:v>
                </c:pt>
                <c:pt idx="11">
                  <c:v>0</c:v>
                </c:pt>
                <c:pt idx="12">
                  <c:v>1.0012500000000002</c:v>
                </c:pt>
                <c:pt idx="13">
                  <c:v>2.78125</c:v>
                </c:pt>
                <c:pt idx="14">
                  <c:v>3.4487500000000004</c:v>
                </c:pt>
                <c:pt idx="15">
                  <c:v>2.6700000000000008</c:v>
                </c:pt>
                <c:pt idx="16">
                  <c:v>3.4487500000000009</c:v>
                </c:pt>
                <c:pt idx="17">
                  <c:v>7.0087500000000009</c:v>
                </c:pt>
                <c:pt idx="18">
                  <c:v>9.7900000000000009</c:v>
                </c:pt>
                <c:pt idx="19">
                  <c:v>12.415500000000002</c:v>
                </c:pt>
                <c:pt idx="20">
                  <c:v>13.194250000000002</c:v>
                </c:pt>
                <c:pt idx="21">
                  <c:v>13.973000000000003</c:v>
                </c:pt>
                <c:pt idx="22">
                  <c:v>15.308000000000003</c:v>
                </c:pt>
                <c:pt idx="23">
                  <c:v>16.865500000000004</c:v>
                </c:pt>
                <c:pt idx="24">
                  <c:v>17.755500000000005</c:v>
                </c:pt>
              </c:numCache>
            </c:numRef>
          </c:val>
          <c:smooth val="1"/>
          <c:extLst>
            <c:ext xmlns:c16="http://schemas.microsoft.com/office/drawing/2014/chart" uri="{C3380CC4-5D6E-409C-BE32-E72D297353CC}">
              <c16:uniqueId val="{00000001-12AE-438E-9C86-A65B40F4E790}"/>
            </c:ext>
          </c:extLst>
        </c:ser>
        <c:ser>
          <c:idx val="5"/>
          <c:order val="2"/>
          <c:tx>
            <c:strRef>
              <c:f>'Wohnen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'!$CA$22:$CA$46</c:f>
              <c:numCache>
                <c:formatCode>0</c:formatCode>
                <c:ptCount val="25"/>
                <c:pt idx="0">
                  <c:v>2.6367796834847468E-16</c:v>
                </c:pt>
                <c:pt idx="1">
                  <c:v>2.6367796834847468E-16</c:v>
                </c:pt>
                <c:pt idx="2">
                  <c:v>2.6367796834847468E-16</c:v>
                </c:pt>
                <c:pt idx="3">
                  <c:v>2.6367796834847468E-16</c:v>
                </c:pt>
                <c:pt idx="4">
                  <c:v>2.6367796834847468E-16</c:v>
                </c:pt>
                <c:pt idx="5">
                  <c:v>3.7500000000002635E-3</c:v>
                </c:pt>
                <c:pt idx="6">
                  <c:v>1.1250000000000263E-2</c:v>
                </c:pt>
                <c:pt idx="7">
                  <c:v>3.0000000000000263E-2</c:v>
                </c:pt>
                <c:pt idx="8">
                  <c:v>7.8750000000000264E-2</c:v>
                </c:pt>
                <c:pt idx="9">
                  <c:v>0.13725000000000029</c:v>
                </c:pt>
                <c:pt idx="10">
                  <c:v>0.1447500000000003</c:v>
                </c:pt>
                <c:pt idx="11">
                  <c:v>0.16350000000000028</c:v>
                </c:pt>
                <c:pt idx="12">
                  <c:v>0.15825000000000031</c:v>
                </c:pt>
                <c:pt idx="13">
                  <c:v>0.13200000000000028</c:v>
                </c:pt>
                <c:pt idx="14">
                  <c:v>0.11325000000000028</c:v>
                </c:pt>
                <c:pt idx="15">
                  <c:v>0.11925000000000029</c:v>
                </c:pt>
                <c:pt idx="16">
                  <c:v>0.13050000000000028</c:v>
                </c:pt>
                <c:pt idx="17">
                  <c:v>0.10050000000000028</c:v>
                </c:pt>
                <c:pt idx="18">
                  <c:v>7.0500000000000285E-2</c:v>
                </c:pt>
                <c:pt idx="19">
                  <c:v>4.8000000000000285E-2</c:v>
                </c:pt>
                <c:pt idx="20">
                  <c:v>4.0500000000000286E-2</c:v>
                </c:pt>
                <c:pt idx="21">
                  <c:v>3.6000000000000282E-2</c:v>
                </c:pt>
                <c:pt idx="22">
                  <c:v>2.4750000000000282E-2</c:v>
                </c:pt>
                <c:pt idx="23">
                  <c:v>9.7500000000002827E-3</c:v>
                </c:pt>
                <c:pt idx="24">
                  <c:v>2.8102520310824275E-16</c:v>
                </c:pt>
              </c:numCache>
            </c:numRef>
          </c:val>
          <c:smooth val="1"/>
          <c:extLst>
            <c:ext xmlns:c16="http://schemas.microsoft.com/office/drawing/2014/chart" uri="{C3380CC4-5D6E-409C-BE32-E72D297353CC}">
              <c16:uniqueId val="{00000002-12AE-438E-9C86-A65B40F4E790}"/>
            </c:ext>
          </c:extLst>
        </c:ser>
        <c:ser>
          <c:idx val="7"/>
          <c:order val="3"/>
          <c:tx>
            <c:v>Gesamtanzahl Stellplätze</c:v>
          </c:tx>
          <c:spPr>
            <a:ln w="38100">
              <a:solidFill>
                <a:srgbClr val="000000"/>
              </a:solidFill>
              <a:prstDash val="solid"/>
            </a:ln>
          </c:spPr>
          <c:marker>
            <c:symbol val="none"/>
          </c:marker>
          <c:cat>
            <c:strRef>
              <c:f>'Wohnen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'Wohnen '!$CB$22:$CB$46</c:f>
              <c:numCache>
                <c:formatCode>0</c:formatCode>
                <c:ptCount val="25"/>
                <c:pt idx="0">
                  <c:v>17.755500000000005</c:v>
                </c:pt>
                <c:pt idx="1">
                  <c:v>0.11125000000000057</c:v>
                </c:pt>
                <c:pt idx="2">
                  <c:v>0.20025000000000059</c:v>
                </c:pt>
                <c:pt idx="3">
                  <c:v>0.20025000000000059</c:v>
                </c:pt>
                <c:pt idx="4">
                  <c:v>8.9000000000000579E-2</c:v>
                </c:pt>
                <c:pt idx="5">
                  <c:v>3.7500000000002635E-3</c:v>
                </c:pt>
                <c:pt idx="6">
                  <c:v>1.1250000000000263E-2</c:v>
                </c:pt>
                <c:pt idx="7">
                  <c:v>3.0000000000000263E-2</c:v>
                </c:pt>
                <c:pt idx="8">
                  <c:v>8.5550000000000265E-2</c:v>
                </c:pt>
                <c:pt idx="9">
                  <c:v>0.20085000000000031</c:v>
                </c:pt>
                <c:pt idx="10">
                  <c:v>0.21295000000000025</c:v>
                </c:pt>
                <c:pt idx="11">
                  <c:v>0.27470000000000028</c:v>
                </c:pt>
                <c:pt idx="12">
                  <c:v>1.2349000000000003</c:v>
                </c:pt>
                <c:pt idx="13">
                  <c:v>3.00265</c:v>
                </c:pt>
                <c:pt idx="14">
                  <c:v>3.6292000000000009</c:v>
                </c:pt>
                <c:pt idx="15">
                  <c:v>2.8434500000000007</c:v>
                </c:pt>
                <c:pt idx="16">
                  <c:v>3.6380500000000016</c:v>
                </c:pt>
                <c:pt idx="17">
                  <c:v>7.1930500000000013</c:v>
                </c:pt>
                <c:pt idx="18">
                  <c:v>9.9107000000000021</c:v>
                </c:pt>
                <c:pt idx="19">
                  <c:v>12.463500000000002</c:v>
                </c:pt>
                <c:pt idx="20">
                  <c:v>13.234750000000002</c:v>
                </c:pt>
                <c:pt idx="21">
                  <c:v>14.009000000000002</c:v>
                </c:pt>
                <c:pt idx="22">
                  <c:v>15.332750000000004</c:v>
                </c:pt>
                <c:pt idx="23">
                  <c:v>16.875250000000005</c:v>
                </c:pt>
                <c:pt idx="24">
                  <c:v>17.755500000000005</c:v>
                </c:pt>
              </c:numCache>
            </c:numRef>
          </c:val>
          <c:smooth val="1"/>
          <c:extLst>
            <c:ext xmlns:c16="http://schemas.microsoft.com/office/drawing/2014/chart" uri="{C3380CC4-5D6E-409C-BE32-E72D297353CC}">
              <c16:uniqueId val="{00000003-12AE-438E-9C86-A65B40F4E790}"/>
            </c:ext>
          </c:extLst>
        </c:ser>
        <c:dLbls>
          <c:showLegendKey val="0"/>
          <c:showVal val="0"/>
          <c:showCatName val="0"/>
          <c:showSerName val="0"/>
          <c:showPercent val="0"/>
          <c:showBubbleSize val="0"/>
        </c:dLbls>
        <c:marker val="1"/>
        <c:smooth val="0"/>
        <c:axId val="422725456"/>
        <c:axId val="422725064"/>
      </c:lineChart>
      <c:catAx>
        <c:axId val="42272545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2725064"/>
        <c:crosses val="autoZero"/>
        <c:auto val="1"/>
        <c:lblAlgn val="ctr"/>
        <c:lblOffset val="100"/>
        <c:tickLblSkip val="1"/>
        <c:noMultiLvlLbl val="0"/>
      </c:catAx>
      <c:valAx>
        <c:axId val="42272506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5456"/>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'Dienstleistungsbetrieb '!$AE$20:$AF$20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865-484C-9A2C-23064B1A294D}"/>
            </c:ext>
          </c:extLst>
        </c:ser>
        <c:ser>
          <c:idx val="2"/>
          <c:order val="1"/>
          <c:tx>
            <c:strRef>
              <c:f>'Dienstleistungsbetrieb '!$AG$20:$AH$20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865-484C-9A2C-23064B1A294D}"/>
            </c:ext>
          </c:extLst>
        </c:ser>
        <c:ser>
          <c:idx val="4"/>
          <c:order val="2"/>
          <c:tx>
            <c:strRef>
              <c:f>'Dienstleistungsbetrieb '!$AI$20:$AJ$20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865-484C-9A2C-23064B1A294D}"/>
            </c:ext>
          </c:extLst>
        </c:ser>
        <c:ser>
          <c:idx val="6"/>
          <c:order val="3"/>
          <c:tx>
            <c:v>Gesamt-Quellverkehr</c:v>
          </c:tx>
          <c:spPr>
            <a:ln w="38100">
              <a:solidFill>
                <a:srgbClr val="0000FF"/>
              </a:solidFill>
              <a:prstDash val="solid"/>
            </a:ln>
          </c:spPr>
          <c:marker>
            <c:symbol val="none"/>
          </c:marker>
          <c:val>
            <c:numRef>
              <c:f>'Dienstleistungsbetrieb '!$BH$22:$BH$46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865-484C-9A2C-23064B1A294D}"/>
            </c:ext>
          </c:extLst>
        </c:ser>
        <c:dLbls>
          <c:showLegendKey val="0"/>
          <c:showVal val="0"/>
          <c:showCatName val="0"/>
          <c:showSerName val="0"/>
          <c:showPercent val="0"/>
          <c:showBubbleSize val="0"/>
        </c:dLbls>
        <c:marker val="1"/>
        <c:smooth val="0"/>
        <c:axId val="422726632"/>
        <c:axId val="422727024"/>
      </c:lineChart>
      <c:catAx>
        <c:axId val="422726632"/>
        <c:scaling>
          <c:orientation val="minMax"/>
        </c:scaling>
        <c:delete val="1"/>
        <c:axPos val="t"/>
        <c:numFmt formatCode="General" sourceLinked="0"/>
        <c:majorTickMark val="out"/>
        <c:minorTickMark val="none"/>
        <c:tickLblPos val="none"/>
        <c:crossAx val="422727024"/>
        <c:crosses val="autoZero"/>
        <c:auto val="1"/>
        <c:lblAlgn val="ctr"/>
        <c:lblOffset val="100"/>
        <c:noMultiLvlLbl val="0"/>
      </c:catAx>
      <c:valAx>
        <c:axId val="42272702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272663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'Dienstleistungsbetrieb '!$AE$21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4F1-474D-A877-A3A51B99DEC2}"/>
            </c:ext>
          </c:extLst>
        </c:ser>
        <c:ser>
          <c:idx val="1"/>
          <c:order val="1"/>
          <c:tx>
            <c:strRef>
              <c:f>'Dienstleistungsbetrieb '!$AF$21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4F1-474D-A877-A3A51B99DEC2}"/>
            </c:ext>
          </c:extLst>
        </c:ser>
        <c:dLbls>
          <c:showLegendKey val="0"/>
          <c:showVal val="0"/>
          <c:showCatName val="0"/>
          <c:showSerName val="0"/>
          <c:showPercent val="0"/>
          <c:showBubbleSize val="0"/>
        </c:dLbls>
        <c:smooth val="0"/>
        <c:axId val="423831456"/>
        <c:axId val="423831064"/>
      </c:lineChart>
      <c:catAx>
        <c:axId val="423831456"/>
        <c:scaling>
          <c:orientation val="minMax"/>
        </c:scaling>
        <c:delete val="1"/>
        <c:axPos val="b"/>
        <c:numFmt formatCode="General" sourceLinked="0"/>
        <c:majorTickMark val="out"/>
        <c:minorTickMark val="none"/>
        <c:tickLblPos val="none"/>
        <c:crossAx val="423831064"/>
        <c:crosses val="autoZero"/>
        <c:auto val="1"/>
        <c:lblAlgn val="ctr"/>
        <c:lblOffset val="100"/>
        <c:noMultiLvlLbl val="0"/>
      </c:catAx>
      <c:valAx>
        <c:axId val="4238310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145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174"/>
          <c:h val="9.8592042191907758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'Dienstleistungsbetrieb '!$AG$21</c:f>
              <c:strCache>
                <c:ptCount val="1"/>
                <c:pt idx="0">
                  <c:v>QV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A26B-4410-922F-6D57C3D89B47}"/>
            </c:ext>
          </c:extLst>
        </c:ser>
        <c:ser>
          <c:idx val="1"/>
          <c:order val="1"/>
          <c:tx>
            <c:strRef>
              <c:f>'Dienstleistungsbetrieb '!$AH$21</c:f>
              <c:strCache>
                <c:ptCount val="1"/>
                <c:pt idx="0">
                  <c:v>ZV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A26B-4410-922F-6D57C3D89B47}"/>
            </c:ext>
          </c:extLst>
        </c:ser>
        <c:dLbls>
          <c:showLegendKey val="0"/>
          <c:showVal val="0"/>
          <c:showCatName val="0"/>
          <c:showSerName val="0"/>
          <c:showPercent val="0"/>
          <c:showBubbleSize val="0"/>
        </c:dLbls>
        <c:smooth val="0"/>
        <c:axId val="423834200"/>
        <c:axId val="423836160"/>
      </c:lineChart>
      <c:catAx>
        <c:axId val="423834200"/>
        <c:scaling>
          <c:orientation val="minMax"/>
        </c:scaling>
        <c:delete val="1"/>
        <c:axPos val="b"/>
        <c:numFmt formatCode="General" sourceLinked="0"/>
        <c:majorTickMark val="out"/>
        <c:minorTickMark val="none"/>
        <c:tickLblPos val="none"/>
        <c:crossAx val="423836160"/>
        <c:crosses val="autoZero"/>
        <c:auto val="1"/>
        <c:lblAlgn val="ctr"/>
        <c:lblOffset val="100"/>
        <c:noMultiLvlLbl val="0"/>
      </c:catAx>
      <c:valAx>
        <c:axId val="4238361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4200"/>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'Dienstleistungsbetrieb '!$AI$21</c:f>
              <c:strCache>
                <c:ptCount val="1"/>
                <c:pt idx="0">
                  <c:v>QV [in %]</c:v>
                </c:pt>
              </c:strCache>
            </c:strRef>
          </c:tx>
          <c:spPr>
            <a:ln w="25400">
              <a:solidFill>
                <a:srgbClr val="008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1BC-4B0E-A639-11F92722B8DF}"/>
            </c:ext>
          </c:extLst>
        </c:ser>
        <c:ser>
          <c:idx val="1"/>
          <c:order val="1"/>
          <c:tx>
            <c:strRef>
              <c:f>'Dienstleistungsbetrieb '!$AJ$21</c:f>
              <c:strCache>
                <c:ptCount val="1"/>
                <c:pt idx="0">
                  <c:v>ZV [in %]</c:v>
                </c:pt>
              </c:strCache>
            </c:strRef>
          </c:tx>
          <c:spPr>
            <a:ln w="25400">
              <a:solidFill>
                <a:srgbClr val="0000FF"/>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1BC-4B0E-A639-11F92722B8DF}"/>
            </c:ext>
          </c:extLst>
        </c:ser>
        <c:dLbls>
          <c:showLegendKey val="0"/>
          <c:showVal val="0"/>
          <c:showCatName val="0"/>
          <c:showSerName val="0"/>
          <c:showPercent val="0"/>
          <c:showBubbleSize val="0"/>
        </c:dLbls>
        <c:smooth val="0"/>
        <c:axId val="423830280"/>
        <c:axId val="423832240"/>
      </c:lineChart>
      <c:catAx>
        <c:axId val="423830280"/>
        <c:scaling>
          <c:orientation val="minMax"/>
        </c:scaling>
        <c:delete val="1"/>
        <c:axPos val="b"/>
        <c:numFmt formatCode="General" sourceLinked="0"/>
        <c:majorTickMark val="out"/>
        <c:minorTickMark val="none"/>
        <c:tickLblPos val="none"/>
        <c:crossAx val="423832240"/>
        <c:crosses val="autoZero"/>
        <c:auto val="1"/>
        <c:lblAlgn val="ctr"/>
        <c:lblOffset val="100"/>
        <c:noMultiLvlLbl val="0"/>
      </c:catAx>
      <c:valAx>
        <c:axId val="42383224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30280"/>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'Dienstleistungsbetrieb '!$AE$20:$AF$20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96D-4FB2-A8D5-5C1DFF565F16}"/>
            </c:ext>
          </c:extLst>
        </c:ser>
        <c:ser>
          <c:idx val="3"/>
          <c:order val="1"/>
          <c:tx>
            <c:strRef>
              <c:f>'Dienstleistungsbetrieb '!$AG$20:$AH$20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96D-4FB2-A8D5-5C1DFF565F16}"/>
            </c:ext>
          </c:extLst>
        </c:ser>
        <c:ser>
          <c:idx val="5"/>
          <c:order val="2"/>
          <c:tx>
            <c:strRef>
              <c:f>'Dienstleistungsbetrieb '!$AI$20:$AJ$20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96D-4FB2-A8D5-5C1DFF565F16}"/>
            </c:ext>
          </c:extLst>
        </c:ser>
        <c:ser>
          <c:idx val="7"/>
          <c:order val="3"/>
          <c:tx>
            <c:v>Gesamt-Zielverkehr</c:v>
          </c:tx>
          <c:spPr>
            <a:ln w="38100">
              <a:solidFill>
                <a:srgbClr val="008000"/>
              </a:solidFill>
              <a:prstDash val="solid"/>
            </a:ln>
          </c:spPr>
          <c:marker>
            <c:symbol val="none"/>
          </c:marker>
          <c:val>
            <c:numRef>
              <c:f>'Dienstleistungsbetrieb '!$BI$22:$BI$46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96D-4FB2-A8D5-5C1DFF565F16}"/>
            </c:ext>
          </c:extLst>
        </c:ser>
        <c:dLbls>
          <c:showLegendKey val="0"/>
          <c:showVal val="0"/>
          <c:showCatName val="0"/>
          <c:showSerName val="0"/>
          <c:showPercent val="0"/>
          <c:showBubbleSize val="0"/>
        </c:dLbls>
        <c:marker val="1"/>
        <c:smooth val="0"/>
        <c:axId val="423836944"/>
        <c:axId val="423833024"/>
      </c:lineChart>
      <c:catAx>
        <c:axId val="42383694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33024"/>
        <c:crosses val="autoZero"/>
        <c:auto val="1"/>
        <c:lblAlgn val="ctr"/>
        <c:lblOffset val="100"/>
        <c:tickLblSkip val="1"/>
        <c:noMultiLvlLbl val="0"/>
      </c:catAx>
      <c:valAx>
        <c:axId val="42383302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3694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'Dienstleistungsbetrieb '!$BY$19:$BY$20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2F9-40E3-AB48-63EB3B8338D3}"/>
            </c:ext>
          </c:extLst>
        </c:ser>
        <c:ser>
          <c:idx val="3"/>
          <c:order val="1"/>
          <c:tx>
            <c:strRef>
              <c:f>'Dienstleistungsbetrieb '!$BZ$19:$BZ$20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2F9-40E3-AB48-63EB3B8338D3}"/>
            </c:ext>
          </c:extLst>
        </c:ser>
        <c:ser>
          <c:idx val="5"/>
          <c:order val="2"/>
          <c:tx>
            <c:strRef>
              <c:f>'Dienstleistungsbetrieb '!$CA$19:$CA$20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2F9-40E3-AB48-63EB3B8338D3}"/>
            </c:ext>
          </c:extLst>
        </c:ser>
        <c:ser>
          <c:idx val="7"/>
          <c:order val="3"/>
          <c:tx>
            <c:v>Gesamtanzahl Stellplätze</c:v>
          </c:tx>
          <c:spPr>
            <a:ln w="38100">
              <a:solidFill>
                <a:srgbClr val="000000"/>
              </a:solidFill>
              <a:prstDash val="solid"/>
            </a:ln>
          </c:spPr>
          <c:marker>
            <c:symbol val="none"/>
          </c:marker>
          <c:cat>
            <c:strRef>
              <c:f>'Dienstleistungsbetrieb '!$AC$22:$AC$46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'Dienstleistungsbetrieb '!$CB$22:$CB$46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2F9-40E3-AB48-63EB3B8338D3}"/>
            </c:ext>
          </c:extLst>
        </c:ser>
        <c:dLbls>
          <c:showLegendKey val="0"/>
          <c:showVal val="0"/>
          <c:showCatName val="0"/>
          <c:showSerName val="0"/>
          <c:showPercent val="0"/>
          <c:showBubbleSize val="0"/>
        </c:dLbls>
        <c:marker val="1"/>
        <c:smooth val="0"/>
        <c:axId val="423830672"/>
        <c:axId val="423829496"/>
      </c:lineChart>
      <c:catAx>
        <c:axId val="42383067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3829496"/>
        <c:crosses val="autoZero"/>
        <c:auto val="1"/>
        <c:lblAlgn val="ctr"/>
        <c:lblOffset val="100"/>
        <c:tickLblSkip val="1"/>
        <c:noMultiLvlLbl val="0"/>
      </c:catAx>
      <c:valAx>
        <c:axId val="423829496"/>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30672"/>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'Discounter A'!$AE$20:$AF$20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040B-4CE1-BF09-53287BE64A2E}"/>
            </c:ext>
          </c:extLst>
        </c:ser>
        <c:ser>
          <c:idx val="2"/>
          <c:order val="1"/>
          <c:tx>
            <c:strRef>
              <c:f>'Discounter A'!$AG$20:$AH$20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040B-4CE1-BF09-53287BE64A2E}"/>
            </c:ext>
          </c:extLst>
        </c:ser>
        <c:ser>
          <c:idx val="4"/>
          <c:order val="2"/>
          <c:tx>
            <c:strRef>
              <c:f>'Discounter A'!$AI$20:$AJ$20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040B-4CE1-BF09-53287BE64A2E}"/>
            </c:ext>
          </c:extLst>
        </c:ser>
        <c:ser>
          <c:idx val="6"/>
          <c:order val="3"/>
          <c:tx>
            <c:v>Gesamt-Quellverkehr</c:v>
          </c:tx>
          <c:spPr>
            <a:ln w="38100">
              <a:solidFill>
                <a:srgbClr val="0000FF"/>
              </a:solidFill>
              <a:prstDash val="solid"/>
            </a:ln>
          </c:spPr>
          <c:marker>
            <c:symbol val="none"/>
          </c:marker>
          <c:val>
            <c:numRef>
              <c:f>'Discounter A'!$BH$22:$BH$46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040B-4CE1-BF09-53287BE64A2E}"/>
            </c:ext>
          </c:extLst>
        </c:ser>
        <c:dLbls>
          <c:showLegendKey val="0"/>
          <c:showVal val="0"/>
          <c:showCatName val="0"/>
          <c:showSerName val="0"/>
          <c:showPercent val="0"/>
          <c:showBubbleSize val="0"/>
        </c:dLbls>
        <c:marker val="1"/>
        <c:smooth val="0"/>
        <c:axId val="423886208"/>
        <c:axId val="423886600"/>
      </c:lineChart>
      <c:catAx>
        <c:axId val="423886208"/>
        <c:scaling>
          <c:orientation val="minMax"/>
        </c:scaling>
        <c:delete val="1"/>
        <c:axPos val="t"/>
        <c:numFmt formatCode="General" sourceLinked="0"/>
        <c:majorTickMark val="out"/>
        <c:minorTickMark val="none"/>
        <c:tickLblPos val="none"/>
        <c:crossAx val="423886600"/>
        <c:crosses val="autoZero"/>
        <c:auto val="1"/>
        <c:lblAlgn val="ctr"/>
        <c:lblOffset val="100"/>
        <c:noMultiLvlLbl val="0"/>
      </c:catAx>
      <c:valAx>
        <c:axId val="423886600"/>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388620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'Discounter A'!$AE$21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4D7-4178-9C85-82AE2E8989B2}"/>
            </c:ext>
          </c:extLst>
        </c:ser>
        <c:ser>
          <c:idx val="1"/>
          <c:order val="1"/>
          <c:tx>
            <c:strRef>
              <c:f>'Discounter A'!$AF$21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4D7-4178-9C85-82AE2E8989B2}"/>
            </c:ext>
          </c:extLst>
        </c:ser>
        <c:dLbls>
          <c:showLegendKey val="0"/>
          <c:showVal val="0"/>
          <c:showCatName val="0"/>
          <c:showSerName val="0"/>
          <c:showPercent val="0"/>
          <c:showBubbleSize val="0"/>
        </c:dLbls>
        <c:smooth val="0"/>
        <c:axId val="423888560"/>
        <c:axId val="426402408"/>
      </c:lineChart>
      <c:catAx>
        <c:axId val="423888560"/>
        <c:scaling>
          <c:orientation val="minMax"/>
        </c:scaling>
        <c:delete val="1"/>
        <c:axPos val="b"/>
        <c:numFmt formatCode="General" sourceLinked="0"/>
        <c:majorTickMark val="out"/>
        <c:minorTickMark val="none"/>
        <c:tickLblPos val="none"/>
        <c:crossAx val="426402408"/>
        <c:crosses val="autoZero"/>
        <c:auto val="1"/>
        <c:lblAlgn val="ctr"/>
        <c:lblOffset val="100"/>
        <c:noMultiLvlLbl val="0"/>
      </c:catAx>
      <c:valAx>
        <c:axId val="42640240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388856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04"/>
          <c:h val="9.859204219190620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'Discounter A'!$AG$21</c:f>
              <c:strCache>
                <c:ptCount val="1"/>
                <c:pt idx="0">
                  <c:v>QV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4A5-4F63-A2F9-FDCDE5484D0A}"/>
            </c:ext>
          </c:extLst>
        </c:ser>
        <c:ser>
          <c:idx val="1"/>
          <c:order val="1"/>
          <c:tx>
            <c:strRef>
              <c:f>'Discounter A'!$AH$21</c:f>
              <c:strCache>
                <c:ptCount val="1"/>
                <c:pt idx="0">
                  <c:v>ZV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4A5-4F63-A2F9-FDCDE5484D0A}"/>
            </c:ext>
          </c:extLst>
        </c:ser>
        <c:dLbls>
          <c:showLegendKey val="0"/>
          <c:showVal val="0"/>
          <c:showCatName val="0"/>
          <c:showSerName val="0"/>
          <c:showPercent val="0"/>
          <c:showBubbleSize val="0"/>
        </c:dLbls>
        <c:smooth val="0"/>
        <c:axId val="426403584"/>
        <c:axId val="426400448"/>
      </c:lineChart>
      <c:catAx>
        <c:axId val="426403584"/>
        <c:scaling>
          <c:orientation val="minMax"/>
        </c:scaling>
        <c:delete val="1"/>
        <c:axPos val="b"/>
        <c:numFmt formatCode="General" sourceLinked="0"/>
        <c:majorTickMark val="out"/>
        <c:minorTickMark val="none"/>
        <c:tickLblPos val="none"/>
        <c:crossAx val="426400448"/>
        <c:crosses val="autoZero"/>
        <c:auto val="1"/>
        <c:lblAlgn val="ctr"/>
        <c:lblOffset val="100"/>
        <c:noMultiLvlLbl val="0"/>
      </c:catAx>
      <c:valAx>
        <c:axId val="426400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358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'Discounter A'!$AI$21</c:f>
              <c:strCache>
                <c:ptCount val="1"/>
                <c:pt idx="0">
                  <c:v>QV [in %]</c:v>
                </c:pt>
              </c:strCache>
            </c:strRef>
          </c:tx>
          <c:spPr>
            <a:ln w="25400">
              <a:solidFill>
                <a:srgbClr val="008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F69-4B42-85A6-73A9008745D8}"/>
            </c:ext>
          </c:extLst>
        </c:ser>
        <c:ser>
          <c:idx val="1"/>
          <c:order val="1"/>
          <c:tx>
            <c:strRef>
              <c:f>'Discounter A'!$AJ$21</c:f>
              <c:strCache>
                <c:ptCount val="1"/>
                <c:pt idx="0">
                  <c:v>ZV [in %]</c:v>
                </c:pt>
              </c:strCache>
            </c:strRef>
          </c:tx>
          <c:spPr>
            <a:ln w="25400">
              <a:solidFill>
                <a:srgbClr val="0000FF"/>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F69-4B42-85A6-73A9008745D8}"/>
            </c:ext>
          </c:extLst>
        </c:ser>
        <c:dLbls>
          <c:showLegendKey val="0"/>
          <c:showVal val="0"/>
          <c:showCatName val="0"/>
          <c:showSerName val="0"/>
          <c:showPercent val="0"/>
          <c:showBubbleSize val="0"/>
        </c:dLbls>
        <c:smooth val="0"/>
        <c:axId val="426401624"/>
        <c:axId val="426404760"/>
      </c:lineChart>
      <c:catAx>
        <c:axId val="426401624"/>
        <c:scaling>
          <c:orientation val="minMax"/>
        </c:scaling>
        <c:delete val="1"/>
        <c:axPos val="b"/>
        <c:numFmt formatCode="General" sourceLinked="0"/>
        <c:majorTickMark val="out"/>
        <c:minorTickMark val="none"/>
        <c:tickLblPos val="none"/>
        <c:crossAx val="426404760"/>
        <c:crosses val="autoZero"/>
        <c:auto val="1"/>
        <c:lblAlgn val="ctr"/>
        <c:lblOffset val="100"/>
        <c:noMultiLvlLbl val="0"/>
      </c:catAx>
      <c:valAx>
        <c:axId val="42640476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1624"/>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'Discounter A'!$AE$20:$AF$20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20-4C02-8A40-64AC03A1321D}"/>
            </c:ext>
          </c:extLst>
        </c:ser>
        <c:ser>
          <c:idx val="3"/>
          <c:order val="1"/>
          <c:tx>
            <c:strRef>
              <c:f>'Discounter A'!$AG$20:$AH$20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20-4C02-8A40-64AC03A1321D}"/>
            </c:ext>
          </c:extLst>
        </c:ser>
        <c:ser>
          <c:idx val="5"/>
          <c:order val="2"/>
          <c:tx>
            <c:strRef>
              <c:f>'Discounter A'!$AI$20:$AJ$20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D20-4C02-8A40-64AC03A1321D}"/>
            </c:ext>
          </c:extLst>
        </c:ser>
        <c:ser>
          <c:idx val="7"/>
          <c:order val="3"/>
          <c:tx>
            <c:v>Gesamt-Zielverkehr</c:v>
          </c:tx>
          <c:spPr>
            <a:ln w="38100">
              <a:solidFill>
                <a:srgbClr val="008000"/>
              </a:solidFill>
              <a:prstDash val="solid"/>
            </a:ln>
          </c:spPr>
          <c:marker>
            <c:symbol val="none"/>
          </c:marker>
          <c:val>
            <c:numRef>
              <c:f>'Discounter A'!$BI$22:$BI$46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D20-4C02-8A40-64AC03A1321D}"/>
            </c:ext>
          </c:extLst>
        </c:ser>
        <c:dLbls>
          <c:showLegendKey val="0"/>
          <c:showVal val="0"/>
          <c:showCatName val="0"/>
          <c:showSerName val="0"/>
          <c:showPercent val="0"/>
          <c:showBubbleSize val="0"/>
        </c:dLbls>
        <c:marker val="1"/>
        <c:smooth val="0"/>
        <c:axId val="426405936"/>
        <c:axId val="426405152"/>
      </c:lineChart>
      <c:catAx>
        <c:axId val="42640593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6405152"/>
        <c:crosses val="autoZero"/>
        <c:auto val="1"/>
        <c:lblAlgn val="ctr"/>
        <c:lblOffset val="100"/>
        <c:tickLblSkip val="1"/>
        <c:noMultiLvlLbl val="0"/>
      </c:catAx>
      <c:valAx>
        <c:axId val="426405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5936"/>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'Discounter A'!$BY$19:$BY$20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6879-4A5C-889A-AA93C32283B8}"/>
            </c:ext>
          </c:extLst>
        </c:ser>
        <c:ser>
          <c:idx val="3"/>
          <c:order val="1"/>
          <c:tx>
            <c:strRef>
              <c:f>'Discounter A'!$BZ$19:$BZ$20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6879-4A5C-889A-AA93C32283B8}"/>
            </c:ext>
          </c:extLst>
        </c:ser>
        <c:ser>
          <c:idx val="5"/>
          <c:order val="2"/>
          <c:tx>
            <c:strRef>
              <c:f>'Discounter A'!$CA$19:$CA$20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6879-4A5C-889A-AA93C32283B8}"/>
            </c:ext>
          </c:extLst>
        </c:ser>
        <c:ser>
          <c:idx val="7"/>
          <c:order val="3"/>
          <c:tx>
            <c:v>Gesamtanzahl Stellplätze</c:v>
          </c:tx>
          <c:spPr>
            <a:ln w="38100">
              <a:solidFill>
                <a:srgbClr val="000000"/>
              </a:solidFill>
              <a:prstDash val="solid"/>
            </a:ln>
          </c:spPr>
          <c:marker>
            <c:symbol val="none"/>
          </c:marker>
          <c:cat>
            <c:strRef>
              <c:f>'Discounter A'!$AC$22:$AC$46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'Discounter A'!$CB$22:$CB$46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6879-4A5C-889A-AA93C32283B8}"/>
            </c:ext>
          </c:extLst>
        </c:ser>
        <c:dLbls>
          <c:showLegendKey val="0"/>
          <c:showVal val="0"/>
          <c:showCatName val="0"/>
          <c:showSerName val="0"/>
          <c:showPercent val="0"/>
          <c:showBubbleSize val="0"/>
        </c:dLbls>
        <c:marker val="1"/>
        <c:smooth val="0"/>
        <c:axId val="426406328"/>
        <c:axId val="426406720"/>
      </c:lineChart>
      <c:catAx>
        <c:axId val="426406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6406720"/>
        <c:crosses val="autoZero"/>
        <c:auto val="1"/>
        <c:lblAlgn val="ctr"/>
        <c:lblOffset val="100"/>
        <c:tickLblSkip val="1"/>
        <c:noMultiLvlLbl val="0"/>
      </c:catAx>
      <c:valAx>
        <c:axId val="42640672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6328"/>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'08 -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344-4AAA-81BD-CB5FA67CA2D1}"/>
            </c:ext>
          </c:extLst>
        </c:ser>
        <c:ser>
          <c:idx val="2"/>
          <c:order val="1"/>
          <c:tx>
            <c:strRef>
              <c:f>'08 -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344-4AAA-81BD-CB5FA67CA2D1}"/>
            </c:ext>
          </c:extLst>
        </c:ser>
        <c:ser>
          <c:idx val="4"/>
          <c:order val="2"/>
          <c:tx>
            <c:strRef>
              <c:f>'08 -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8344-4AAA-81BD-CB5FA67CA2D1}"/>
            </c:ext>
          </c:extLst>
        </c:ser>
        <c:ser>
          <c:idx val="6"/>
          <c:order val="3"/>
          <c:tx>
            <c:v>Gesamt-Quellverkehr</c:v>
          </c:tx>
          <c:spPr>
            <a:ln w="38100">
              <a:solidFill>
                <a:srgbClr val="0000FF"/>
              </a:solidFill>
              <a:prstDash val="solid"/>
            </a:ln>
          </c:spPr>
          <c:marker>
            <c:symbol val="none"/>
          </c:marker>
          <c:val>
            <c:numRef>
              <c:f>'08 -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8344-4AAA-81BD-CB5FA67CA2D1}"/>
            </c:ext>
          </c:extLst>
        </c:ser>
        <c:dLbls>
          <c:showLegendKey val="0"/>
          <c:showVal val="0"/>
          <c:showCatName val="0"/>
          <c:showSerName val="0"/>
          <c:showPercent val="0"/>
          <c:showBubbleSize val="0"/>
        </c:dLbls>
        <c:marker val="1"/>
        <c:smooth val="0"/>
        <c:axId val="426407504"/>
        <c:axId val="426402016"/>
      </c:lineChart>
      <c:catAx>
        <c:axId val="426407504"/>
        <c:scaling>
          <c:orientation val="minMax"/>
        </c:scaling>
        <c:delete val="1"/>
        <c:axPos val="t"/>
        <c:numFmt formatCode="General" sourceLinked="0"/>
        <c:majorTickMark val="out"/>
        <c:minorTickMark val="none"/>
        <c:tickLblPos val="none"/>
        <c:crossAx val="426402016"/>
        <c:crosses val="autoZero"/>
        <c:auto val="1"/>
        <c:lblAlgn val="ctr"/>
        <c:lblOffset val="100"/>
        <c:noMultiLvlLbl val="0"/>
      </c:catAx>
      <c:valAx>
        <c:axId val="426402016"/>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6407504"/>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'08 - keine Nutzung'!$AE$21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D4C-40D6-8237-C89CE6262EDC}"/>
            </c:ext>
          </c:extLst>
        </c:ser>
        <c:ser>
          <c:idx val="1"/>
          <c:order val="1"/>
          <c:tx>
            <c:strRef>
              <c:f>'08 - keine Nutzung'!$AF$21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D4C-40D6-8237-C89CE6262EDC}"/>
            </c:ext>
          </c:extLst>
        </c:ser>
        <c:dLbls>
          <c:showLegendKey val="0"/>
          <c:showVal val="0"/>
          <c:showCatName val="0"/>
          <c:showSerName val="0"/>
          <c:showPercent val="0"/>
          <c:showBubbleSize val="0"/>
        </c:dLbls>
        <c:smooth val="0"/>
        <c:axId val="426400840"/>
        <c:axId val="426401232"/>
      </c:lineChart>
      <c:catAx>
        <c:axId val="426400840"/>
        <c:scaling>
          <c:orientation val="minMax"/>
        </c:scaling>
        <c:delete val="1"/>
        <c:axPos val="b"/>
        <c:numFmt formatCode="General" sourceLinked="0"/>
        <c:majorTickMark val="out"/>
        <c:minorTickMark val="none"/>
        <c:tickLblPos val="none"/>
        <c:crossAx val="426401232"/>
        <c:crosses val="autoZero"/>
        <c:auto val="1"/>
        <c:lblAlgn val="ctr"/>
        <c:lblOffset val="100"/>
        <c:noMultiLvlLbl val="0"/>
      </c:catAx>
      <c:valAx>
        <c:axId val="4264012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6400840"/>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46"/>
          <c:h val="9.8592042191908535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'08 - keine Nutzung'!$AG$21</c:f>
              <c:strCache>
                <c:ptCount val="1"/>
                <c:pt idx="0">
                  <c:v>QV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9918-43D0-89BD-B21C7ED30F2D}"/>
            </c:ext>
          </c:extLst>
        </c:ser>
        <c:ser>
          <c:idx val="1"/>
          <c:order val="1"/>
          <c:tx>
            <c:strRef>
              <c:f>'08 - keine Nutzung'!$AH$21</c:f>
              <c:strCache>
                <c:ptCount val="1"/>
                <c:pt idx="0">
                  <c:v>ZV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9918-43D0-89BD-B21C7ED30F2D}"/>
            </c:ext>
          </c:extLst>
        </c:ser>
        <c:dLbls>
          <c:showLegendKey val="0"/>
          <c:showVal val="0"/>
          <c:showCatName val="0"/>
          <c:showSerName val="0"/>
          <c:showPercent val="0"/>
          <c:showBubbleSize val="0"/>
        </c:dLbls>
        <c:smooth val="0"/>
        <c:axId val="425247048"/>
        <c:axId val="425240776"/>
      </c:lineChart>
      <c:catAx>
        <c:axId val="425247048"/>
        <c:scaling>
          <c:orientation val="minMax"/>
        </c:scaling>
        <c:delete val="1"/>
        <c:axPos val="b"/>
        <c:numFmt formatCode="General" sourceLinked="0"/>
        <c:majorTickMark val="out"/>
        <c:minorTickMark val="none"/>
        <c:tickLblPos val="none"/>
        <c:crossAx val="425240776"/>
        <c:crosses val="autoZero"/>
        <c:auto val="1"/>
        <c:lblAlgn val="ctr"/>
        <c:lblOffset val="100"/>
        <c:noMultiLvlLbl val="0"/>
      </c:catAx>
      <c:valAx>
        <c:axId val="42524077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7048"/>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'08 - keine Nutzung'!$AI$21</c:f>
              <c:strCache>
                <c:ptCount val="1"/>
                <c:pt idx="0">
                  <c:v>QV [in %]</c:v>
                </c:pt>
              </c:strCache>
            </c:strRef>
          </c:tx>
          <c:spPr>
            <a:ln w="25400">
              <a:solidFill>
                <a:srgbClr val="008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E5-4677-937F-9EB8620594E2}"/>
            </c:ext>
          </c:extLst>
        </c:ser>
        <c:ser>
          <c:idx val="1"/>
          <c:order val="1"/>
          <c:tx>
            <c:strRef>
              <c:f>'08 - keine Nutzung'!$AJ$21</c:f>
              <c:strCache>
                <c:ptCount val="1"/>
                <c:pt idx="0">
                  <c:v>ZV [in %]</c:v>
                </c:pt>
              </c:strCache>
            </c:strRef>
          </c:tx>
          <c:spPr>
            <a:ln w="25400">
              <a:solidFill>
                <a:srgbClr val="0000FF"/>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E5-4677-937F-9EB8620594E2}"/>
            </c:ext>
          </c:extLst>
        </c:ser>
        <c:dLbls>
          <c:showLegendKey val="0"/>
          <c:showVal val="0"/>
          <c:showCatName val="0"/>
          <c:showSerName val="0"/>
          <c:showPercent val="0"/>
          <c:showBubbleSize val="0"/>
        </c:dLbls>
        <c:smooth val="0"/>
        <c:axId val="425242736"/>
        <c:axId val="425247832"/>
      </c:lineChart>
      <c:catAx>
        <c:axId val="425242736"/>
        <c:scaling>
          <c:orientation val="minMax"/>
        </c:scaling>
        <c:delete val="1"/>
        <c:axPos val="b"/>
        <c:numFmt formatCode="General" sourceLinked="0"/>
        <c:majorTickMark val="out"/>
        <c:minorTickMark val="none"/>
        <c:tickLblPos val="none"/>
        <c:crossAx val="425247832"/>
        <c:crosses val="autoZero"/>
        <c:auto val="1"/>
        <c:lblAlgn val="ctr"/>
        <c:lblOffset val="100"/>
        <c:noMultiLvlLbl val="0"/>
      </c:catAx>
      <c:valAx>
        <c:axId val="425247832"/>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27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'08 -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486E-4400-BF77-D5CEFBC98A07}"/>
            </c:ext>
          </c:extLst>
        </c:ser>
        <c:ser>
          <c:idx val="3"/>
          <c:order val="1"/>
          <c:tx>
            <c:strRef>
              <c:f>'08 -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486E-4400-BF77-D5CEFBC98A07}"/>
            </c:ext>
          </c:extLst>
        </c:ser>
        <c:ser>
          <c:idx val="5"/>
          <c:order val="2"/>
          <c:tx>
            <c:strRef>
              <c:f>'08 -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486E-4400-BF77-D5CEFBC98A07}"/>
            </c:ext>
          </c:extLst>
        </c:ser>
        <c:ser>
          <c:idx val="7"/>
          <c:order val="3"/>
          <c:tx>
            <c:v>Gesamt-Zielverkehr</c:v>
          </c:tx>
          <c:spPr>
            <a:ln w="38100">
              <a:solidFill>
                <a:srgbClr val="008000"/>
              </a:solidFill>
              <a:prstDash val="solid"/>
            </a:ln>
          </c:spPr>
          <c:marker>
            <c:symbol val="none"/>
          </c:marker>
          <c:val>
            <c:numRef>
              <c:f>'08 -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486E-4400-BF77-D5CEFBC98A07}"/>
            </c:ext>
          </c:extLst>
        </c:ser>
        <c:dLbls>
          <c:showLegendKey val="0"/>
          <c:showVal val="0"/>
          <c:showCatName val="0"/>
          <c:showSerName val="0"/>
          <c:showPercent val="0"/>
          <c:showBubbleSize val="0"/>
        </c:dLbls>
        <c:marker val="1"/>
        <c:smooth val="0"/>
        <c:axId val="425241168"/>
        <c:axId val="425247440"/>
      </c:lineChart>
      <c:catAx>
        <c:axId val="425241168"/>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5247440"/>
        <c:crosses val="autoZero"/>
        <c:auto val="1"/>
        <c:lblAlgn val="ctr"/>
        <c:lblOffset val="100"/>
        <c:tickLblSkip val="1"/>
        <c:noMultiLvlLbl val="0"/>
      </c:catAx>
      <c:valAx>
        <c:axId val="42524744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1168"/>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'08 -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3021-4D77-831C-C3FF80A86198}"/>
            </c:ext>
          </c:extLst>
        </c:ser>
        <c:ser>
          <c:idx val="3"/>
          <c:order val="1"/>
          <c:tx>
            <c:strRef>
              <c:f>'08 -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3021-4D77-831C-C3FF80A86198}"/>
            </c:ext>
          </c:extLst>
        </c:ser>
        <c:ser>
          <c:idx val="5"/>
          <c:order val="2"/>
          <c:tx>
            <c:strRef>
              <c:f>'08 -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3021-4D77-831C-C3FF80A86198}"/>
            </c:ext>
          </c:extLst>
        </c:ser>
        <c:ser>
          <c:idx val="7"/>
          <c:order val="3"/>
          <c:tx>
            <c:v>Gesamtanzahl Stellplätze</c:v>
          </c:tx>
          <c:spPr>
            <a:ln w="38100">
              <a:solidFill>
                <a:srgbClr val="000000"/>
              </a:solidFill>
              <a:prstDash val="solid"/>
            </a:ln>
          </c:spPr>
          <c:marker>
            <c:symbol val="none"/>
          </c:marker>
          <c:cat>
            <c:strRef>
              <c:f>'08 -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'08 -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3021-4D77-831C-C3FF80A86198}"/>
            </c:ext>
          </c:extLst>
        </c:ser>
        <c:dLbls>
          <c:showLegendKey val="0"/>
          <c:showVal val="0"/>
          <c:showCatName val="0"/>
          <c:showSerName val="0"/>
          <c:showPercent val="0"/>
          <c:showBubbleSize val="0"/>
        </c:dLbls>
        <c:marker val="1"/>
        <c:smooth val="0"/>
        <c:axId val="425241560"/>
        <c:axId val="425241952"/>
      </c:lineChart>
      <c:catAx>
        <c:axId val="425241560"/>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5241952"/>
        <c:crosses val="autoZero"/>
        <c:auto val="1"/>
        <c:lblAlgn val="ctr"/>
        <c:lblOffset val="100"/>
        <c:tickLblSkip val="1"/>
        <c:noMultiLvlLbl val="0"/>
      </c:catAx>
      <c:valAx>
        <c:axId val="4252419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1560"/>
        <c:crosses val="autoZero"/>
        <c:crossBetween val="between"/>
      </c:valAx>
      <c:spPr>
        <a:noFill/>
        <a:ln w="12700">
          <a:solidFill>
            <a:srgbClr val="000000"/>
          </a:solidFill>
          <a:prstDash val="solid"/>
        </a:ln>
      </c:spPr>
    </c:plotArea>
    <c:legend>
      <c:legendPos val="b"/>
      <c:layout>
        <c:manualLayout>
          <c:xMode val="edge"/>
          <c:yMode val="edge"/>
          <c:x val="6.7204403988598893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'09 -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F662-474A-A665-6679581B5B6A}"/>
            </c:ext>
          </c:extLst>
        </c:ser>
        <c:ser>
          <c:idx val="2"/>
          <c:order val="1"/>
          <c:tx>
            <c:strRef>
              <c:f>'09 -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F662-474A-A665-6679581B5B6A}"/>
            </c:ext>
          </c:extLst>
        </c:ser>
        <c:ser>
          <c:idx val="4"/>
          <c:order val="2"/>
          <c:tx>
            <c:strRef>
              <c:f>'09 -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F662-474A-A665-6679581B5B6A}"/>
            </c:ext>
          </c:extLst>
        </c:ser>
        <c:ser>
          <c:idx val="6"/>
          <c:order val="3"/>
          <c:tx>
            <c:v>Gesamt-Quellverkehr</c:v>
          </c:tx>
          <c:spPr>
            <a:ln w="38100">
              <a:solidFill>
                <a:srgbClr val="0000FF"/>
              </a:solidFill>
              <a:prstDash val="solid"/>
            </a:ln>
          </c:spPr>
          <c:marker>
            <c:symbol val="none"/>
          </c:marker>
          <c:val>
            <c:numRef>
              <c:f>'09 -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F662-474A-A665-6679581B5B6A}"/>
            </c:ext>
          </c:extLst>
        </c:ser>
        <c:dLbls>
          <c:showLegendKey val="0"/>
          <c:showVal val="0"/>
          <c:showCatName val="0"/>
          <c:showSerName val="0"/>
          <c:showPercent val="0"/>
          <c:showBubbleSize val="0"/>
        </c:dLbls>
        <c:marker val="1"/>
        <c:smooth val="0"/>
        <c:axId val="425243912"/>
        <c:axId val="425246264"/>
      </c:lineChart>
      <c:catAx>
        <c:axId val="425243912"/>
        <c:scaling>
          <c:orientation val="minMax"/>
        </c:scaling>
        <c:delete val="1"/>
        <c:axPos val="t"/>
        <c:numFmt formatCode="General" sourceLinked="0"/>
        <c:majorTickMark val="out"/>
        <c:minorTickMark val="none"/>
        <c:tickLblPos val="none"/>
        <c:crossAx val="425246264"/>
        <c:crosses val="autoZero"/>
        <c:auto val="1"/>
        <c:lblAlgn val="ctr"/>
        <c:lblOffset val="100"/>
        <c:noMultiLvlLbl val="0"/>
      </c:catAx>
      <c:valAx>
        <c:axId val="425246264"/>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5243912"/>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'09 - keine Nutzung'!$AE$21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27-47F4-8BC9-9C4ABC381301}"/>
            </c:ext>
          </c:extLst>
        </c:ser>
        <c:ser>
          <c:idx val="1"/>
          <c:order val="1"/>
          <c:tx>
            <c:strRef>
              <c:f>'09 - keine Nutzung'!$AF$21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27-47F4-8BC9-9C4ABC381301}"/>
            </c:ext>
          </c:extLst>
        </c:ser>
        <c:dLbls>
          <c:showLegendKey val="0"/>
          <c:showVal val="0"/>
          <c:showCatName val="0"/>
          <c:showSerName val="0"/>
          <c:showPercent val="0"/>
          <c:showBubbleSize val="0"/>
        </c:dLbls>
        <c:smooth val="0"/>
        <c:axId val="425244696"/>
        <c:axId val="425245088"/>
      </c:lineChart>
      <c:catAx>
        <c:axId val="425244696"/>
        <c:scaling>
          <c:orientation val="minMax"/>
        </c:scaling>
        <c:delete val="1"/>
        <c:axPos val="b"/>
        <c:numFmt formatCode="General" sourceLinked="0"/>
        <c:majorTickMark val="out"/>
        <c:minorTickMark val="none"/>
        <c:tickLblPos val="none"/>
        <c:crossAx val="425245088"/>
        <c:crosses val="autoZero"/>
        <c:auto val="1"/>
        <c:lblAlgn val="ctr"/>
        <c:lblOffset val="100"/>
        <c:noMultiLvlLbl val="0"/>
      </c:catAx>
      <c:valAx>
        <c:axId val="42524508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5244696"/>
        <c:crosses val="autoZero"/>
        <c:crossBetween val="between"/>
      </c:valAx>
      <c:spPr>
        <a:solidFill>
          <a:srgbClr val="FFFFFF"/>
        </a:solidFill>
        <a:ln w="12700">
          <a:solidFill>
            <a:srgbClr val="C0C0C0"/>
          </a:solidFill>
          <a:prstDash val="solid"/>
        </a:ln>
      </c:spPr>
    </c:plotArea>
    <c:legend>
      <c:legendPos val="r"/>
      <c:layout>
        <c:manualLayout>
          <c:xMode val="edge"/>
          <c:yMode val="edge"/>
          <c:x val="0.33972602739726243"/>
          <c:y val="0.88732788683104757"/>
          <c:w val="0.42739726027397223"/>
          <c:h val="9.8592042191908272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'09 - keine Nutzung'!$AG$21</c:f>
              <c:strCache>
                <c:ptCount val="1"/>
                <c:pt idx="0">
                  <c:v>QV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805A-43F1-9326-69FCE298CBB2}"/>
            </c:ext>
          </c:extLst>
        </c:ser>
        <c:ser>
          <c:idx val="1"/>
          <c:order val="1"/>
          <c:tx>
            <c:strRef>
              <c:f>'09 - keine Nutzung'!$AH$21</c:f>
              <c:strCache>
                <c:ptCount val="1"/>
                <c:pt idx="0">
                  <c:v>ZV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805A-43F1-9326-69FCE298CBB2}"/>
            </c:ext>
          </c:extLst>
        </c:ser>
        <c:dLbls>
          <c:showLegendKey val="0"/>
          <c:showVal val="0"/>
          <c:showCatName val="0"/>
          <c:showSerName val="0"/>
          <c:showPercent val="0"/>
          <c:showBubbleSize val="0"/>
        </c:dLbls>
        <c:smooth val="0"/>
        <c:axId val="427962704"/>
        <c:axId val="427968584"/>
      </c:lineChart>
      <c:catAx>
        <c:axId val="427962704"/>
        <c:scaling>
          <c:orientation val="minMax"/>
        </c:scaling>
        <c:delete val="1"/>
        <c:axPos val="b"/>
        <c:numFmt formatCode="General" sourceLinked="0"/>
        <c:majorTickMark val="out"/>
        <c:minorTickMark val="none"/>
        <c:tickLblPos val="none"/>
        <c:crossAx val="427968584"/>
        <c:crosses val="autoZero"/>
        <c:auto val="1"/>
        <c:lblAlgn val="ctr"/>
        <c:lblOffset val="100"/>
        <c:noMultiLvlLbl val="0"/>
      </c:catAx>
      <c:valAx>
        <c:axId val="42796858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2704"/>
        <c:crosses val="autoZero"/>
        <c:crossBetween val="between"/>
      </c:valAx>
      <c:spPr>
        <a:solidFill>
          <a:srgbClr val="FFFFFF"/>
        </a:solidFill>
        <a:ln w="12700">
          <a:solidFill>
            <a:srgbClr val="C0C0C0"/>
          </a:solidFill>
          <a:prstDash val="solid"/>
        </a:ln>
      </c:spPr>
    </c:plotArea>
    <c:legend>
      <c:legendPos val="r"/>
      <c:layout>
        <c:manualLayout>
          <c:xMode val="edge"/>
          <c:yMode val="edge"/>
          <c:x val="0.38247021252641183"/>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'09 - keine Nutzung'!$AI$21</c:f>
              <c:strCache>
                <c:ptCount val="1"/>
                <c:pt idx="0">
                  <c:v>QV [in %]</c:v>
                </c:pt>
              </c:strCache>
            </c:strRef>
          </c:tx>
          <c:spPr>
            <a:ln w="25400">
              <a:solidFill>
                <a:srgbClr val="008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357-45BD-995C-44B435CA2A5F}"/>
            </c:ext>
          </c:extLst>
        </c:ser>
        <c:ser>
          <c:idx val="1"/>
          <c:order val="1"/>
          <c:tx>
            <c:strRef>
              <c:f>'09 - keine Nutzung'!$AJ$21</c:f>
              <c:strCache>
                <c:ptCount val="1"/>
                <c:pt idx="0">
                  <c:v>ZV [in %]</c:v>
                </c:pt>
              </c:strCache>
            </c:strRef>
          </c:tx>
          <c:spPr>
            <a:ln w="25400">
              <a:solidFill>
                <a:srgbClr val="0000FF"/>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357-45BD-995C-44B435CA2A5F}"/>
            </c:ext>
          </c:extLst>
        </c:ser>
        <c:dLbls>
          <c:showLegendKey val="0"/>
          <c:showVal val="0"/>
          <c:showCatName val="0"/>
          <c:showSerName val="0"/>
          <c:showPercent val="0"/>
          <c:showBubbleSize val="0"/>
        </c:dLbls>
        <c:smooth val="0"/>
        <c:axId val="427967016"/>
        <c:axId val="427963096"/>
      </c:lineChart>
      <c:catAx>
        <c:axId val="427967016"/>
        <c:scaling>
          <c:orientation val="minMax"/>
        </c:scaling>
        <c:delete val="1"/>
        <c:axPos val="b"/>
        <c:numFmt formatCode="General" sourceLinked="0"/>
        <c:majorTickMark val="out"/>
        <c:minorTickMark val="none"/>
        <c:tickLblPos val="none"/>
        <c:crossAx val="427963096"/>
        <c:crosses val="autoZero"/>
        <c:auto val="1"/>
        <c:lblAlgn val="ctr"/>
        <c:lblOffset val="100"/>
        <c:noMultiLvlLbl val="0"/>
      </c:catAx>
      <c:valAx>
        <c:axId val="427963096"/>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7016"/>
        <c:crosses val="autoZero"/>
        <c:crossBetween val="between"/>
      </c:valAx>
      <c:spPr>
        <a:solidFill>
          <a:srgbClr val="FFFFFF"/>
        </a:solidFill>
        <a:ln w="12700">
          <a:solidFill>
            <a:srgbClr val="C0C0C0"/>
          </a:solidFill>
          <a:prstDash val="solid"/>
        </a:ln>
      </c:spPr>
    </c:plotArea>
    <c:legend>
      <c:legendPos val="r"/>
      <c:layout>
        <c:manualLayout>
          <c:xMode val="edge"/>
          <c:yMode val="edge"/>
          <c:x val="0.39138292039032907"/>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'09 -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83F-41BC-8D08-B58A2DFF403E}"/>
            </c:ext>
          </c:extLst>
        </c:ser>
        <c:ser>
          <c:idx val="3"/>
          <c:order val="1"/>
          <c:tx>
            <c:strRef>
              <c:f>'09 -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83F-41BC-8D08-B58A2DFF403E}"/>
            </c:ext>
          </c:extLst>
        </c:ser>
        <c:ser>
          <c:idx val="5"/>
          <c:order val="2"/>
          <c:tx>
            <c:strRef>
              <c:f>'09 -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183F-41BC-8D08-B58A2DFF403E}"/>
            </c:ext>
          </c:extLst>
        </c:ser>
        <c:ser>
          <c:idx val="7"/>
          <c:order val="3"/>
          <c:tx>
            <c:v>Gesamt-Zielverkehr</c:v>
          </c:tx>
          <c:spPr>
            <a:ln w="38100">
              <a:solidFill>
                <a:srgbClr val="008000"/>
              </a:solidFill>
              <a:prstDash val="solid"/>
            </a:ln>
          </c:spPr>
          <c:marker>
            <c:symbol val="none"/>
          </c:marker>
          <c:val>
            <c:numRef>
              <c:f>'09 -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183F-41BC-8D08-B58A2DFF403E}"/>
            </c:ext>
          </c:extLst>
        </c:ser>
        <c:dLbls>
          <c:showLegendKey val="0"/>
          <c:showVal val="0"/>
          <c:showCatName val="0"/>
          <c:showSerName val="0"/>
          <c:showPercent val="0"/>
          <c:showBubbleSize val="0"/>
        </c:dLbls>
        <c:marker val="1"/>
        <c:smooth val="0"/>
        <c:axId val="427972504"/>
        <c:axId val="427970544"/>
      </c:lineChart>
      <c:catAx>
        <c:axId val="427972504"/>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0544"/>
        <c:crosses val="autoZero"/>
        <c:auto val="1"/>
        <c:lblAlgn val="ctr"/>
        <c:lblOffset val="100"/>
        <c:tickLblSkip val="1"/>
        <c:noMultiLvlLbl val="0"/>
      </c:catAx>
      <c:valAx>
        <c:axId val="427970544"/>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72504"/>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'09 -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C0F5-40B8-96EF-7ECACFA22E00}"/>
            </c:ext>
          </c:extLst>
        </c:ser>
        <c:ser>
          <c:idx val="3"/>
          <c:order val="1"/>
          <c:tx>
            <c:strRef>
              <c:f>'09 -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C0F5-40B8-96EF-7ECACFA22E00}"/>
            </c:ext>
          </c:extLst>
        </c:ser>
        <c:ser>
          <c:idx val="5"/>
          <c:order val="2"/>
          <c:tx>
            <c:strRef>
              <c:f>'09 -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C0F5-40B8-96EF-7ECACFA22E00}"/>
            </c:ext>
          </c:extLst>
        </c:ser>
        <c:ser>
          <c:idx val="7"/>
          <c:order val="3"/>
          <c:tx>
            <c:v>Gesamtanzahl Stellplätze</c:v>
          </c:tx>
          <c:spPr>
            <a:ln w="38100">
              <a:solidFill>
                <a:srgbClr val="000000"/>
              </a:solidFill>
              <a:prstDash val="solid"/>
            </a:ln>
          </c:spPr>
          <c:marker>
            <c:symbol val="none"/>
          </c:marker>
          <c:cat>
            <c:strRef>
              <c:f>'09 -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'09 -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C0F5-40B8-96EF-7ECACFA22E00}"/>
            </c:ext>
          </c:extLst>
        </c:ser>
        <c:dLbls>
          <c:showLegendKey val="0"/>
          <c:showVal val="0"/>
          <c:showCatName val="0"/>
          <c:showSerName val="0"/>
          <c:showPercent val="0"/>
          <c:showBubbleSize val="0"/>
        </c:dLbls>
        <c:marker val="1"/>
        <c:smooth val="0"/>
        <c:axId val="427972896"/>
        <c:axId val="427967800"/>
      </c:lineChart>
      <c:catAx>
        <c:axId val="427972896"/>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67800"/>
        <c:crosses val="autoZero"/>
        <c:auto val="1"/>
        <c:lblAlgn val="ctr"/>
        <c:lblOffset val="100"/>
        <c:tickLblSkip val="1"/>
        <c:noMultiLvlLbl val="0"/>
      </c:catAx>
      <c:valAx>
        <c:axId val="427967800"/>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72896"/>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563305715301982E-2"/>
          <c:y val="3.6324862122859423E-2"/>
          <c:w val="0.76530050348412115"/>
          <c:h val="0.91666857945333269"/>
        </c:manualLayout>
      </c:layout>
      <c:lineChart>
        <c:grouping val="standard"/>
        <c:varyColors val="0"/>
        <c:ser>
          <c:idx val="0"/>
          <c:order val="0"/>
          <c:tx>
            <c:strRef>
              <c:f>'10 - keine Nutzung'!$AE$20:$AF$20</c:f>
              <c:strCache>
                <c:ptCount val="1"/>
                <c:pt idx="0">
                  <c:v>Kundenverkehr</c:v>
                </c:pt>
              </c:strCache>
            </c:strRef>
          </c:tx>
          <c:spPr>
            <a:ln w="12700">
              <a:solidFill>
                <a:srgbClr val="0000FF"/>
              </a:solidFill>
              <a:prstDash val="lgDashDotDot"/>
            </a:ln>
          </c:spPr>
          <c:marker>
            <c:symbol val="squar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Nutzung'!$AY$22:$AY$46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8C8-46DA-B6B9-481A493B0970}"/>
            </c:ext>
          </c:extLst>
        </c:ser>
        <c:ser>
          <c:idx val="2"/>
          <c:order val="1"/>
          <c:tx>
            <c:strRef>
              <c:f>'10 - keine Nutzung'!$AG$20:$AH$20</c:f>
              <c:strCache>
                <c:ptCount val="1"/>
                <c:pt idx="0">
                  <c:v>Beschäftigtenverkehr</c:v>
                </c:pt>
              </c:strCache>
            </c:strRef>
          </c:tx>
          <c:spPr>
            <a:ln w="12700">
              <a:solidFill>
                <a:srgbClr val="0000FF"/>
              </a:solidFill>
              <a:prstDash val="solid"/>
            </a:ln>
          </c:spPr>
          <c:marker>
            <c:symbol val="diamond"/>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Nutzung'!$BB$22:$BB$46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8C8-46DA-B6B9-481A493B0970}"/>
            </c:ext>
          </c:extLst>
        </c:ser>
        <c:ser>
          <c:idx val="4"/>
          <c:order val="2"/>
          <c:tx>
            <c:strRef>
              <c:f>'10 - keine Nutzung'!$AI$20:$AJ$20</c:f>
              <c:strCache>
                <c:ptCount val="1"/>
                <c:pt idx="0">
                  <c:v>Wirtschaftsverkehr</c:v>
                </c:pt>
              </c:strCache>
            </c:strRef>
          </c:tx>
          <c:spPr>
            <a:ln w="12700">
              <a:solidFill>
                <a:srgbClr val="0000FF"/>
              </a:solidFill>
              <a:prstDash val="sysDash"/>
            </a:ln>
          </c:spPr>
          <c:marker>
            <c:symbol val="triangle"/>
            <c:size val="5"/>
            <c:spPr>
              <a:solidFill>
                <a:srgbClr val="FFFFFF"/>
              </a:solidFill>
              <a:ln>
                <a:solidFill>
                  <a:srgbClr val="0000FF"/>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Nutzung'!$BE$22:$BE$46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8C8-46DA-B6B9-481A493B0970}"/>
            </c:ext>
          </c:extLst>
        </c:ser>
        <c:ser>
          <c:idx val="6"/>
          <c:order val="3"/>
          <c:tx>
            <c:v>Gesamt-Quellverkehr</c:v>
          </c:tx>
          <c:spPr>
            <a:ln w="38100">
              <a:solidFill>
                <a:srgbClr val="0000FF"/>
              </a:solidFill>
              <a:prstDash val="solid"/>
            </a:ln>
          </c:spPr>
          <c:marker>
            <c:symbol val="none"/>
          </c:marker>
          <c:val>
            <c:numRef>
              <c:f>'10 - keine Nutzung'!$BH$22:$BH$46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8C8-46DA-B6B9-481A493B0970}"/>
            </c:ext>
          </c:extLst>
        </c:ser>
        <c:dLbls>
          <c:showLegendKey val="0"/>
          <c:showVal val="0"/>
          <c:showCatName val="0"/>
          <c:showSerName val="0"/>
          <c:showPercent val="0"/>
          <c:showBubbleSize val="0"/>
        </c:dLbls>
        <c:marker val="1"/>
        <c:smooth val="0"/>
        <c:axId val="427969368"/>
        <c:axId val="427964272"/>
      </c:lineChart>
      <c:catAx>
        <c:axId val="427969368"/>
        <c:scaling>
          <c:orientation val="minMax"/>
        </c:scaling>
        <c:delete val="1"/>
        <c:axPos val="t"/>
        <c:numFmt formatCode="General" sourceLinked="0"/>
        <c:majorTickMark val="out"/>
        <c:minorTickMark val="none"/>
        <c:tickLblPos val="none"/>
        <c:crossAx val="427964272"/>
        <c:crosses val="autoZero"/>
        <c:auto val="1"/>
        <c:lblAlgn val="ctr"/>
        <c:lblOffset val="100"/>
        <c:noMultiLvlLbl val="0"/>
      </c:catAx>
      <c:valAx>
        <c:axId val="427964272"/>
        <c:scaling>
          <c:orientation val="maxMin"/>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9368"/>
        <c:crosses val="autoZero"/>
        <c:crossBetween val="between"/>
      </c:valAx>
      <c:spPr>
        <a:solidFill>
          <a:srgbClr val="FFFFFF"/>
        </a:solidFill>
        <a:ln w="12700">
          <a:solidFill>
            <a:srgbClr val="000000"/>
          </a:solidFill>
          <a:prstDash val="solid"/>
        </a:ln>
      </c:spPr>
    </c:plotArea>
    <c:legend>
      <c:legendPos val="r"/>
      <c:legendEntry>
        <c:idx val="0"/>
        <c:txPr>
          <a:bodyPr/>
          <a:lstStyle/>
          <a:p>
            <a:pPr>
              <a:defRPr sz="1100" b="1" i="1" u="none" strike="noStrike" baseline="0">
                <a:solidFill>
                  <a:srgbClr val="000000"/>
                </a:solidFill>
                <a:latin typeface="Arial"/>
                <a:ea typeface="Arial"/>
                <a:cs typeface="Arial"/>
              </a:defRPr>
            </a:pPr>
            <a:endParaRPr lang="en-DE"/>
          </a:p>
        </c:txPr>
      </c:legendEntry>
      <c:layout>
        <c:manualLayout>
          <c:xMode val="edge"/>
          <c:yMode val="edge"/>
          <c:x val="0.81877647034248346"/>
          <c:y val="0.20085511997345737"/>
          <c:w val="0.17112309394675937"/>
          <c:h val="0.60042860332491166"/>
        </c:manualLayout>
      </c:layout>
      <c:overlay val="0"/>
      <c:spPr>
        <a:noFill/>
        <a:ln w="25400">
          <a:noFill/>
        </a:ln>
      </c:spPr>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Kunden/Besucher</a:t>
            </a:r>
          </a:p>
        </c:rich>
      </c:tx>
      <c:layout>
        <c:manualLayout>
          <c:xMode val="edge"/>
          <c:yMode val="edge"/>
          <c:x val="0.21992075648078241"/>
          <c:y val="1.418456495754932E-2"/>
        </c:manualLayout>
      </c:layout>
      <c:overlay val="0"/>
      <c:spPr>
        <a:noFill/>
        <a:ln w="25400">
          <a:noFill/>
        </a:ln>
      </c:spPr>
    </c:title>
    <c:autoTitleDeleted val="0"/>
    <c:plotArea>
      <c:layout>
        <c:manualLayout>
          <c:layoutTarget val="inner"/>
          <c:xMode val="edge"/>
          <c:yMode val="edge"/>
          <c:x val="0.1563171616490549"/>
          <c:y val="0.14661714691131042"/>
          <c:w val="0.80942311100469511"/>
          <c:h val="0.73684514857991879"/>
        </c:manualLayout>
      </c:layout>
      <c:lineChart>
        <c:grouping val="standard"/>
        <c:varyColors val="0"/>
        <c:ser>
          <c:idx val="0"/>
          <c:order val="0"/>
          <c:tx>
            <c:strRef>
              <c:f>'10 - keine Nutzung'!$AE$21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Nutzung'!$AE$22:$AE$46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D004-4BE3-86B6-9752BF152E5D}"/>
            </c:ext>
          </c:extLst>
        </c:ser>
        <c:ser>
          <c:idx val="1"/>
          <c:order val="1"/>
          <c:tx>
            <c:strRef>
              <c:f>'10 - keine Nutzung'!$AF$21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Nutzung'!$AF$22:$AF$46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D004-4BE3-86B6-9752BF152E5D}"/>
            </c:ext>
          </c:extLst>
        </c:ser>
        <c:dLbls>
          <c:showLegendKey val="0"/>
          <c:showVal val="0"/>
          <c:showCatName val="0"/>
          <c:showSerName val="0"/>
          <c:showPercent val="0"/>
          <c:showBubbleSize val="0"/>
        </c:dLbls>
        <c:smooth val="0"/>
        <c:axId val="427961920"/>
        <c:axId val="427964664"/>
      </c:lineChart>
      <c:catAx>
        <c:axId val="427961920"/>
        <c:scaling>
          <c:orientation val="minMax"/>
        </c:scaling>
        <c:delete val="1"/>
        <c:axPos val="b"/>
        <c:numFmt formatCode="General" sourceLinked="0"/>
        <c:majorTickMark val="out"/>
        <c:minorTickMark val="none"/>
        <c:tickLblPos val="none"/>
        <c:crossAx val="427964664"/>
        <c:crosses val="autoZero"/>
        <c:auto val="1"/>
        <c:lblAlgn val="ctr"/>
        <c:lblOffset val="100"/>
        <c:noMultiLvlLbl val="0"/>
      </c:catAx>
      <c:valAx>
        <c:axId val="427964664"/>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1920"/>
        <c:crosses val="autoZero"/>
        <c:crossBetween val="between"/>
      </c:valAx>
      <c:spPr>
        <a:solidFill>
          <a:srgbClr val="FFFFFF"/>
        </a:solidFill>
        <a:ln w="12700">
          <a:solidFill>
            <a:srgbClr val="C0C0C0"/>
          </a:solidFill>
          <a:prstDash val="solid"/>
        </a:ln>
      </c:spPr>
    </c:plotArea>
    <c:legend>
      <c:legendPos val="r"/>
      <c:layout>
        <c:manualLayout>
          <c:xMode val="edge"/>
          <c:yMode val="edge"/>
          <c:x val="0.34261295703902517"/>
          <c:y val="0.88346229549122446"/>
          <c:w val="0.41755954139131102"/>
          <c:h val="9.774476460754003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Beschäftigte/Bewohner</a:t>
            </a:r>
          </a:p>
        </c:rich>
      </c:tx>
      <c:layout>
        <c:manualLayout>
          <c:xMode val="edge"/>
          <c:yMode val="edge"/>
          <c:x val="0.18997014686141403"/>
          <c:y val="2.1164176907793066E-2"/>
        </c:manualLayout>
      </c:layout>
      <c:overlay val="0"/>
      <c:spPr>
        <a:noFill/>
        <a:ln w="25400">
          <a:noFill/>
        </a:ln>
      </c:spPr>
    </c:title>
    <c:autoTitleDeleted val="0"/>
    <c:plotArea>
      <c:layout>
        <c:manualLayout>
          <c:layoutTarget val="inner"/>
          <c:xMode val="edge"/>
          <c:yMode val="edge"/>
          <c:x val="0.14541836205431324"/>
          <c:y val="0.14981348751150486"/>
          <c:w val="0.82071733104625566"/>
          <c:h val="0.71910474005521996"/>
        </c:manualLayout>
      </c:layout>
      <c:lineChart>
        <c:grouping val="standard"/>
        <c:varyColors val="0"/>
        <c:ser>
          <c:idx val="0"/>
          <c:order val="0"/>
          <c:tx>
            <c:strRef>
              <c:f>'10 - keine Nutzung'!$AG$21</c:f>
              <c:strCache>
                <c:ptCount val="1"/>
                <c:pt idx="0">
                  <c:v>QV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Nutzung'!$AG$22:$AG$46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E56D-4AD3-987D-CDD95137EE92}"/>
            </c:ext>
          </c:extLst>
        </c:ser>
        <c:ser>
          <c:idx val="1"/>
          <c:order val="1"/>
          <c:tx>
            <c:strRef>
              <c:f>'10 - keine Nutzung'!$AH$21</c:f>
              <c:strCache>
                <c:ptCount val="1"/>
                <c:pt idx="0">
                  <c:v>ZV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Nutzung'!$AH$22:$AH$46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E56D-4AD3-987D-CDD95137EE92}"/>
            </c:ext>
          </c:extLst>
        </c:ser>
        <c:dLbls>
          <c:showLegendKey val="0"/>
          <c:showVal val="0"/>
          <c:showCatName val="0"/>
          <c:showSerName val="0"/>
          <c:showPercent val="0"/>
          <c:showBubbleSize val="0"/>
        </c:dLbls>
        <c:smooth val="0"/>
        <c:axId val="427968976"/>
        <c:axId val="427965448"/>
      </c:lineChart>
      <c:catAx>
        <c:axId val="427968976"/>
        <c:scaling>
          <c:orientation val="minMax"/>
        </c:scaling>
        <c:delete val="1"/>
        <c:axPos val="b"/>
        <c:numFmt formatCode="General" sourceLinked="0"/>
        <c:majorTickMark val="out"/>
        <c:minorTickMark val="none"/>
        <c:tickLblPos val="none"/>
        <c:crossAx val="427965448"/>
        <c:crosses val="autoZero"/>
        <c:auto val="1"/>
        <c:lblAlgn val="ctr"/>
        <c:lblOffset val="100"/>
        <c:noMultiLvlLbl val="0"/>
      </c:catAx>
      <c:valAx>
        <c:axId val="427965448"/>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8976"/>
        <c:crosses val="autoZero"/>
        <c:crossBetween val="between"/>
      </c:valAx>
      <c:spPr>
        <a:solidFill>
          <a:srgbClr val="FFFFFF"/>
        </a:solidFill>
        <a:ln w="12700">
          <a:solidFill>
            <a:srgbClr val="C0C0C0"/>
          </a:solidFill>
          <a:prstDash val="solid"/>
        </a:ln>
      </c:spPr>
    </c:plotArea>
    <c:legend>
      <c:legendPos val="r"/>
      <c:layout>
        <c:manualLayout>
          <c:xMode val="edge"/>
          <c:yMode val="edge"/>
          <c:x val="0.37251005074186938"/>
          <c:y val="0.88389957631787686"/>
          <c:w val="0.388446309597137"/>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de-DE" sz="1000"/>
              <a:t>zugrundeliegende Ganglinie Wirtschaftsverkehr</a:t>
            </a:r>
          </a:p>
        </c:rich>
      </c:tx>
      <c:layout>
        <c:manualLayout>
          <c:xMode val="edge"/>
          <c:yMode val="edge"/>
          <c:x val="0.21457941895194141"/>
          <c:y val="2.1164176907793066E-2"/>
        </c:manualLayout>
      </c:layout>
      <c:overlay val="0"/>
      <c:spPr>
        <a:noFill/>
        <a:ln w="25400">
          <a:noFill/>
        </a:ln>
      </c:spPr>
    </c:title>
    <c:autoTitleDeleted val="0"/>
    <c:plotArea>
      <c:layout>
        <c:manualLayout>
          <c:layoutTarget val="inner"/>
          <c:xMode val="edge"/>
          <c:yMode val="edge"/>
          <c:x val="0.13105941829584361"/>
          <c:y val="0.14981348751150486"/>
          <c:w val="0.83662587569675728"/>
          <c:h val="0.73408608880637027"/>
        </c:manualLayout>
      </c:layout>
      <c:lineChart>
        <c:grouping val="standard"/>
        <c:varyColors val="0"/>
        <c:ser>
          <c:idx val="0"/>
          <c:order val="0"/>
          <c:tx>
            <c:strRef>
              <c:f>'10 - keine Nutzung'!$AI$21</c:f>
              <c:strCache>
                <c:ptCount val="1"/>
                <c:pt idx="0">
                  <c:v>QV [in %]</c:v>
                </c:pt>
              </c:strCache>
            </c:strRef>
          </c:tx>
          <c:spPr>
            <a:ln w="25400">
              <a:solidFill>
                <a:srgbClr val="008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Nutzung'!$AI$22:$AI$46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1DB3-43A1-AAF0-8B93FAEF1697}"/>
            </c:ext>
          </c:extLst>
        </c:ser>
        <c:ser>
          <c:idx val="1"/>
          <c:order val="1"/>
          <c:tx>
            <c:strRef>
              <c:f>'10 - keine Nutzung'!$AJ$21</c:f>
              <c:strCache>
                <c:ptCount val="1"/>
                <c:pt idx="0">
                  <c:v>ZV [in %]</c:v>
                </c:pt>
              </c:strCache>
            </c:strRef>
          </c:tx>
          <c:spPr>
            <a:ln w="25400">
              <a:solidFill>
                <a:srgbClr val="0000FF"/>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Nutzung'!$AJ$22:$AJ$46</c:f>
              <c:numCache>
                <c:formatCode>0.00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1DB3-43A1-AAF0-8B93FAEF1697}"/>
            </c:ext>
          </c:extLst>
        </c:ser>
        <c:dLbls>
          <c:showLegendKey val="0"/>
          <c:showVal val="0"/>
          <c:showCatName val="0"/>
          <c:showSerName val="0"/>
          <c:showPercent val="0"/>
          <c:showBubbleSize val="0"/>
        </c:dLbls>
        <c:smooth val="0"/>
        <c:axId val="427961136"/>
        <c:axId val="427971720"/>
      </c:lineChart>
      <c:catAx>
        <c:axId val="427961136"/>
        <c:scaling>
          <c:orientation val="minMax"/>
        </c:scaling>
        <c:delete val="1"/>
        <c:axPos val="b"/>
        <c:numFmt formatCode="General" sourceLinked="0"/>
        <c:majorTickMark val="out"/>
        <c:minorTickMark val="none"/>
        <c:tickLblPos val="none"/>
        <c:crossAx val="427971720"/>
        <c:crosses val="autoZero"/>
        <c:auto val="1"/>
        <c:lblAlgn val="ctr"/>
        <c:lblOffset val="100"/>
        <c:noMultiLvlLbl val="0"/>
      </c:catAx>
      <c:valAx>
        <c:axId val="427971720"/>
        <c:scaling>
          <c:orientation val="minMax"/>
        </c:scaling>
        <c:delete val="0"/>
        <c:axPos val="l"/>
        <c:majorGridlines>
          <c:spPr>
            <a:ln w="3175">
              <a:solidFill>
                <a:srgbClr val="80808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900"/>
            </a:pPr>
            <a:endParaRPr lang="en-DE"/>
          </a:p>
        </c:txPr>
        <c:crossAx val="427961136"/>
        <c:crosses val="autoZero"/>
        <c:crossBetween val="between"/>
      </c:valAx>
      <c:spPr>
        <a:solidFill>
          <a:srgbClr val="FFFFFF"/>
        </a:solidFill>
        <a:ln w="12700">
          <a:solidFill>
            <a:srgbClr val="C0C0C0"/>
          </a:solidFill>
          <a:prstDash val="solid"/>
        </a:ln>
      </c:spPr>
    </c:plotArea>
    <c:legend>
      <c:legendPos val="r"/>
      <c:layout>
        <c:manualLayout>
          <c:xMode val="edge"/>
          <c:yMode val="edge"/>
          <c:x val="0.38240624790431205"/>
          <c:y val="0.88389957631787686"/>
          <c:w val="0.35009022695465186"/>
          <c:h val="9.7378766882477694E-2"/>
        </c:manualLayout>
      </c:layout>
      <c:overlay val="0"/>
      <c:spPr>
        <a:noFill/>
        <a:ln w="25400">
          <a:noFill/>
        </a:ln>
      </c:spPr>
      <c:txPr>
        <a:bodyPr/>
        <a:lstStyle/>
        <a:p>
          <a:pPr>
            <a:defRPr sz="735" b="0" i="0" u="none" strike="noStrike" baseline="0">
              <a:solidFill>
                <a:srgbClr val="000000"/>
              </a:solidFill>
              <a:latin typeface="Arial Narrow"/>
              <a:ea typeface="Arial Narrow"/>
              <a:cs typeface="Arial Narrow"/>
            </a:defRPr>
          </a:pPr>
          <a:endParaRPr lang="en-DE"/>
        </a:p>
      </c:txPr>
    </c:legend>
    <c:plotVisOnly val="1"/>
    <c:dispBlanksAs val="gap"/>
    <c:showDLblsOverMax val="0"/>
  </c:chart>
  <c:spPr>
    <a:noFill/>
    <a:ln w="3175">
      <a:solidFill>
        <a:srgbClr val="80808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077151266991224E-2"/>
          <c:y val="2.2887387887883429E-2"/>
          <c:w val="0.7645322103046277"/>
          <c:h val="0.79225573458057685"/>
        </c:manualLayout>
      </c:layout>
      <c:lineChart>
        <c:grouping val="standard"/>
        <c:varyColors val="0"/>
        <c:ser>
          <c:idx val="1"/>
          <c:order val="0"/>
          <c:tx>
            <c:strRef>
              <c:f>'10 - keine Nutzung'!$AE$20:$AF$20</c:f>
              <c:strCache>
                <c:ptCount val="1"/>
                <c:pt idx="0">
                  <c:v>Kundenverkehr</c:v>
                </c:pt>
              </c:strCache>
            </c:strRef>
          </c:tx>
          <c:spPr>
            <a:ln w="12700">
              <a:solidFill>
                <a:srgbClr val="008000"/>
              </a:solidFill>
              <a:prstDash val="lgDashDotDot"/>
            </a:ln>
          </c:spPr>
          <c:marker>
            <c:symbol val="squar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Nutzung'!$AZ$22:$AZ$46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2FD5-48F6-A48D-0BDBA412BD9D}"/>
            </c:ext>
          </c:extLst>
        </c:ser>
        <c:ser>
          <c:idx val="3"/>
          <c:order val="1"/>
          <c:tx>
            <c:strRef>
              <c:f>'10 - keine Nutzung'!$AG$20:$AH$20</c:f>
              <c:strCache>
                <c:ptCount val="1"/>
                <c:pt idx="0">
                  <c:v>Beschäftigtenverkehr</c:v>
                </c:pt>
              </c:strCache>
            </c:strRef>
          </c:tx>
          <c:spPr>
            <a:ln w="12700">
              <a:solidFill>
                <a:srgbClr val="008000"/>
              </a:solidFill>
              <a:prstDash val="solid"/>
            </a:ln>
          </c:spPr>
          <c:marker>
            <c:symbol val="diamond"/>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Nutzung'!$BC$22:$BC$46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2FD5-48F6-A48D-0BDBA412BD9D}"/>
            </c:ext>
          </c:extLst>
        </c:ser>
        <c:ser>
          <c:idx val="5"/>
          <c:order val="2"/>
          <c:tx>
            <c:strRef>
              <c:f>'10 - keine Nutzung'!$AI$20:$AJ$20</c:f>
              <c:strCache>
                <c:ptCount val="1"/>
                <c:pt idx="0">
                  <c:v>Wirtschaftsverkehr</c:v>
                </c:pt>
              </c:strCache>
            </c:strRef>
          </c:tx>
          <c:spPr>
            <a:ln w="12700">
              <a:solidFill>
                <a:srgbClr val="008000"/>
              </a:solidFill>
              <a:prstDash val="sysDash"/>
            </a:ln>
          </c:spPr>
          <c:marker>
            <c:symbol val="triangle"/>
            <c:size val="5"/>
            <c:spPr>
              <a:solidFill>
                <a:srgbClr val="FFFFFF"/>
              </a:solidFill>
              <a:ln>
                <a:solidFill>
                  <a:srgbClr val="008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Nutzung'!$BF$22:$BF$46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2FD5-48F6-A48D-0BDBA412BD9D}"/>
            </c:ext>
          </c:extLst>
        </c:ser>
        <c:ser>
          <c:idx val="7"/>
          <c:order val="3"/>
          <c:tx>
            <c:v>Gesamt-Zielverkehr</c:v>
          </c:tx>
          <c:spPr>
            <a:ln w="38100">
              <a:solidFill>
                <a:srgbClr val="008000"/>
              </a:solidFill>
              <a:prstDash val="solid"/>
            </a:ln>
          </c:spPr>
          <c:marker>
            <c:symbol val="none"/>
          </c:marker>
          <c:val>
            <c:numRef>
              <c:f>'10 - keine Nutzung'!$BI$22:$BI$46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2FD5-48F6-A48D-0BDBA412BD9D}"/>
            </c:ext>
          </c:extLst>
        </c:ser>
        <c:dLbls>
          <c:showLegendKey val="0"/>
          <c:showVal val="0"/>
          <c:showCatName val="0"/>
          <c:showSerName val="0"/>
          <c:showPercent val="0"/>
          <c:showBubbleSize val="0"/>
        </c:dLbls>
        <c:marker val="1"/>
        <c:smooth val="0"/>
        <c:axId val="427968192"/>
        <c:axId val="427970152"/>
      </c:lineChart>
      <c:catAx>
        <c:axId val="42796819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0152"/>
        <c:crosses val="autoZero"/>
        <c:auto val="1"/>
        <c:lblAlgn val="ctr"/>
        <c:lblOffset val="100"/>
        <c:tickLblSkip val="1"/>
        <c:noMultiLvlLbl val="0"/>
      </c:catAx>
      <c:valAx>
        <c:axId val="427970152"/>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8192"/>
        <c:crosses val="autoZero"/>
        <c:crossBetween val="between"/>
      </c:valAx>
      <c:spPr>
        <a:noFill/>
        <a:ln w="12700">
          <a:solidFill>
            <a:srgbClr val="000000"/>
          </a:solidFill>
          <a:prstDash val="solid"/>
        </a:ln>
      </c:spPr>
    </c:plotArea>
    <c:legend>
      <c:legendPos val="r"/>
      <c:layout>
        <c:manualLayout>
          <c:xMode val="edge"/>
          <c:yMode val="edge"/>
          <c:x val="0.82087864938836663"/>
          <c:y val="0.15845114691611531"/>
          <c:w val="0.16607371519417816"/>
          <c:h val="0.50000139693529599"/>
        </c:manualLayout>
      </c:layout>
      <c:overlay val="0"/>
      <c:txPr>
        <a:bodyPr/>
        <a:lstStyle/>
        <a:p>
          <a:pPr>
            <a:defRPr sz="1100" b="1" i="1"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264447809410714E-2"/>
          <c:y val="2.3222060957910007E-2"/>
          <c:w val="0.90459871654849089"/>
          <c:h val="0.73875181422351666"/>
        </c:manualLayout>
      </c:layout>
      <c:lineChart>
        <c:grouping val="standard"/>
        <c:varyColors val="0"/>
        <c:ser>
          <c:idx val="1"/>
          <c:order val="0"/>
          <c:tx>
            <c:strRef>
              <c:f>'10 - keine Nutzung'!$BY$19:$BY$20</c:f>
              <c:strCache>
                <c:ptCount val="2"/>
                <c:pt idx="0">
                  <c:v>Kundenverkehr</c:v>
                </c:pt>
              </c:strCache>
            </c:strRef>
          </c:tx>
          <c:spPr>
            <a:ln w="12700">
              <a:solidFill>
                <a:srgbClr val="808080"/>
              </a:solidFill>
              <a:prstDash val="lgDashDotDot"/>
            </a:ln>
          </c:spPr>
          <c:marker>
            <c:symbol val="squar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Nutzung'!$BY$22:$BY$46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0-72FE-4251-B0C1-85CC4ABA9551}"/>
            </c:ext>
          </c:extLst>
        </c:ser>
        <c:ser>
          <c:idx val="3"/>
          <c:order val="1"/>
          <c:tx>
            <c:strRef>
              <c:f>'10 - keine Nutzung'!$BZ$19:$BZ$20</c:f>
              <c:strCache>
                <c:ptCount val="2"/>
                <c:pt idx="0">
                  <c:v>Beschäftigtenverkehr</c:v>
                </c:pt>
              </c:strCache>
            </c:strRef>
          </c:tx>
          <c:spPr>
            <a:ln w="12700">
              <a:solidFill>
                <a:srgbClr val="808080"/>
              </a:solidFill>
              <a:prstDash val="solid"/>
            </a:ln>
          </c:spPr>
          <c:marker>
            <c:symbol val="diamond"/>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Nutzung'!$BZ$22:$BZ$46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1-72FE-4251-B0C1-85CC4ABA9551}"/>
            </c:ext>
          </c:extLst>
        </c:ser>
        <c:ser>
          <c:idx val="5"/>
          <c:order val="2"/>
          <c:tx>
            <c:strRef>
              <c:f>'10 - keine Nutzung'!$CA$19:$CA$20</c:f>
              <c:strCache>
                <c:ptCount val="2"/>
                <c:pt idx="0">
                  <c:v>Wirtschaftsverkehr</c:v>
                </c:pt>
              </c:strCache>
            </c:strRef>
          </c:tx>
          <c:spPr>
            <a:ln w="12700">
              <a:solidFill>
                <a:srgbClr val="808080"/>
              </a:solidFill>
              <a:prstDash val="sysDash"/>
            </a:ln>
          </c:spPr>
          <c:marker>
            <c:symbol val="triangle"/>
            <c:size val="5"/>
            <c:spPr>
              <a:solidFill>
                <a:srgbClr val="FFFFFF"/>
              </a:solidFill>
              <a:ln>
                <a:solidFill>
                  <a:srgbClr val="000000"/>
                </a:solidFill>
                <a:prstDash val="solid"/>
              </a:ln>
            </c:spPr>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Nutzung'!$CA$22:$CA$46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2-72FE-4251-B0C1-85CC4ABA9551}"/>
            </c:ext>
          </c:extLst>
        </c:ser>
        <c:ser>
          <c:idx val="7"/>
          <c:order val="3"/>
          <c:tx>
            <c:v>Gesamtanzahl Stellplätze</c:v>
          </c:tx>
          <c:spPr>
            <a:ln w="38100">
              <a:solidFill>
                <a:srgbClr val="000000"/>
              </a:solidFill>
              <a:prstDash val="solid"/>
            </a:ln>
          </c:spPr>
          <c:marker>
            <c:symbol val="none"/>
          </c:marker>
          <c:cat>
            <c:strRef>
              <c:f>'10 - keine Nutzung'!$AC$22:$AC$46</c:f>
              <c:strCache>
                <c:ptCount val="25"/>
                <c:pt idx="0">
                  <c:v>23:00 - 24:00</c:v>
                </c:pt>
                <c:pt idx="1">
                  <c:v>00:00 - 01:00</c:v>
                </c:pt>
                <c:pt idx="2">
                  <c:v>01:00 - 02:00</c:v>
                </c:pt>
                <c:pt idx="3">
                  <c:v>02:00 - 03:00</c:v>
                </c:pt>
                <c:pt idx="4">
                  <c:v>03:00 - 04:00</c:v>
                </c:pt>
                <c:pt idx="5">
                  <c:v>04:00 - 05:00</c:v>
                </c:pt>
                <c:pt idx="6">
                  <c:v>05:00 - 06:00</c:v>
                </c:pt>
                <c:pt idx="7">
                  <c:v>06:00 - 07:00</c:v>
                </c:pt>
                <c:pt idx="8">
                  <c:v>07:00 - 08:00</c:v>
                </c:pt>
                <c:pt idx="9">
                  <c:v>08:00 - 09:00</c:v>
                </c:pt>
                <c:pt idx="10">
                  <c:v>09:00 - 10:00</c:v>
                </c:pt>
                <c:pt idx="11">
                  <c:v>10:00 - 11:00</c:v>
                </c:pt>
                <c:pt idx="12">
                  <c:v>11:00 - 12:00</c:v>
                </c:pt>
                <c:pt idx="13">
                  <c:v>12:00 - 13:00</c:v>
                </c:pt>
                <c:pt idx="14">
                  <c:v>13:00 - 14:00</c:v>
                </c:pt>
                <c:pt idx="15">
                  <c:v>14:00 - 15:00</c:v>
                </c:pt>
                <c:pt idx="16">
                  <c:v>15:00 - 16:00</c:v>
                </c:pt>
                <c:pt idx="17">
                  <c:v>16:00 - 17:00</c:v>
                </c:pt>
                <c:pt idx="18">
                  <c:v>17:00 - 18:00</c:v>
                </c:pt>
                <c:pt idx="19">
                  <c:v>18:00 - 19:00</c:v>
                </c:pt>
                <c:pt idx="20">
                  <c:v>19:00 - 20:00</c:v>
                </c:pt>
                <c:pt idx="21">
                  <c:v>20:00 - 21:00</c:v>
                </c:pt>
                <c:pt idx="22">
                  <c:v>21:00 - 22:00</c:v>
                </c:pt>
                <c:pt idx="23">
                  <c:v>22:00 - 23:00</c:v>
                </c:pt>
                <c:pt idx="24">
                  <c:v>23:00 - 24:00</c:v>
                </c:pt>
              </c:strCache>
            </c:strRef>
          </c:cat>
          <c:val>
            <c:numRef>
              <c:f>'10 - keine Nutzung'!$CB$22:$CB$46</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1"/>
          <c:extLst>
            <c:ext xmlns:c16="http://schemas.microsoft.com/office/drawing/2014/chart" uri="{C3380CC4-5D6E-409C-BE32-E72D297353CC}">
              <c16:uniqueId val="{00000003-72FE-4251-B0C1-85CC4ABA9551}"/>
            </c:ext>
          </c:extLst>
        </c:ser>
        <c:dLbls>
          <c:showLegendKey val="0"/>
          <c:showVal val="0"/>
          <c:showCatName val="0"/>
          <c:showSerName val="0"/>
          <c:showPercent val="0"/>
          <c:showBubbleSize val="0"/>
        </c:dLbls>
        <c:marker val="1"/>
        <c:smooth val="0"/>
        <c:axId val="427962312"/>
        <c:axId val="427971328"/>
      </c:lineChart>
      <c:catAx>
        <c:axId val="427962312"/>
        <c:scaling>
          <c:orientation val="minMax"/>
        </c:scaling>
        <c:delete val="0"/>
        <c:axPos val="b"/>
        <c:numFmt formatCode="General" sourceLinked="1"/>
        <c:majorTickMark val="out"/>
        <c:minorTickMark val="none"/>
        <c:tickLblPos val="nextTo"/>
        <c:spPr>
          <a:ln w="3175">
            <a:solidFill>
              <a:srgbClr val="808080"/>
            </a:solidFill>
            <a:prstDash val="solid"/>
          </a:ln>
        </c:spPr>
        <c:txPr>
          <a:bodyPr rot="-5400000" vert="horz"/>
          <a:lstStyle/>
          <a:p>
            <a:pPr>
              <a:defRPr sz="1000" b="0" i="0" u="none" strike="noStrike" baseline="0">
                <a:solidFill>
                  <a:srgbClr val="000000"/>
                </a:solidFill>
                <a:latin typeface="Arial Narrow"/>
                <a:ea typeface="Arial Narrow"/>
                <a:cs typeface="Arial Narrow"/>
              </a:defRPr>
            </a:pPr>
            <a:endParaRPr lang="en-DE"/>
          </a:p>
        </c:txPr>
        <c:crossAx val="427971328"/>
        <c:crosses val="autoZero"/>
        <c:auto val="1"/>
        <c:lblAlgn val="ctr"/>
        <c:lblOffset val="100"/>
        <c:tickLblSkip val="1"/>
        <c:noMultiLvlLbl val="0"/>
      </c:catAx>
      <c:valAx>
        <c:axId val="427971328"/>
        <c:scaling>
          <c:orientation val="minMax"/>
          <c:min val="0"/>
        </c:scaling>
        <c:delete val="0"/>
        <c:axPos val="l"/>
        <c:majorGridlines/>
        <c:numFmt formatCode="#,##0_);\(#,##0\)" sourceLinked="0"/>
        <c:majorTickMark val="out"/>
        <c:minorTickMark val="none"/>
        <c:tickLblPos val="nextTo"/>
        <c:spPr>
          <a:ln w="3175">
            <a:solidFill>
              <a:srgbClr val="808080"/>
            </a:solidFill>
            <a:prstDash val="solid"/>
          </a:ln>
        </c:spPr>
        <c:txPr>
          <a:bodyPr/>
          <a:lstStyle/>
          <a:p>
            <a:pPr>
              <a:defRPr sz="1000" b="1"/>
            </a:pPr>
            <a:endParaRPr lang="en-DE"/>
          </a:p>
        </c:txPr>
        <c:crossAx val="427962312"/>
        <c:crosses val="autoZero"/>
        <c:crossBetween val="between"/>
      </c:valAx>
      <c:spPr>
        <a:noFill/>
        <a:ln w="12700">
          <a:solidFill>
            <a:srgbClr val="000000"/>
          </a:solidFill>
          <a:prstDash val="solid"/>
        </a:ln>
      </c:spPr>
    </c:plotArea>
    <c:legend>
      <c:legendPos val="b"/>
      <c:layout>
        <c:manualLayout>
          <c:xMode val="edge"/>
          <c:yMode val="edge"/>
          <c:x val="6.0035934229815201E-2"/>
          <c:y val="0.88394068316283769"/>
          <c:w val="0.89605871984798457"/>
          <c:h val="5.7444421054349118E-2"/>
        </c:manualLayout>
      </c:layout>
      <c:overlay val="0"/>
      <c:txPr>
        <a:bodyPr/>
        <a:lstStyle/>
        <a:p>
          <a:pPr>
            <a:defRPr sz="920" b="1" i="1" u="none" strike="noStrike" baseline="0">
              <a:solidFill>
                <a:srgbClr val="000000"/>
              </a:solidFill>
              <a:latin typeface="Arial"/>
              <a:ea typeface="Arial"/>
              <a:cs typeface="Arial"/>
            </a:defRPr>
          </a:pPr>
          <a:endParaRPr lang="en-DE"/>
        </a:p>
      </c:txPr>
    </c:legend>
    <c:plotVisOnly val="1"/>
    <c:dispBlanksAs val="gap"/>
    <c:showDLblsOverMax val="0"/>
  </c:chart>
  <c:spPr>
    <a:noFill/>
    <a:ln w="9525">
      <a:noFill/>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paperSize="9" orientation="landscape"/>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'GL-Sets'!$C$9:$C$32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49F2-4A0A-974C-50DB7B8A8AA7}"/>
            </c:ext>
          </c:extLst>
        </c:ser>
        <c:ser>
          <c:idx val="1"/>
          <c:order val="1"/>
          <c:tx>
            <c:strRef>
              <c:f>'GL-Sets'!$D$7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'GL-Sets'!$D$9:$D$32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49F2-4A0A-974C-50DB7B8A8AA7}"/>
            </c:ext>
          </c:extLst>
        </c:ser>
        <c:dLbls>
          <c:showLegendKey val="0"/>
          <c:showVal val="0"/>
          <c:showCatName val="0"/>
          <c:showSerName val="0"/>
          <c:showPercent val="0"/>
          <c:showBubbleSize val="0"/>
        </c:dLbls>
        <c:smooth val="0"/>
        <c:axId val="427974072"/>
        <c:axId val="427975248"/>
      </c:lineChart>
      <c:catAx>
        <c:axId val="427974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7975248"/>
        <c:crosses val="autoZero"/>
        <c:auto val="1"/>
        <c:lblAlgn val="ctr"/>
        <c:lblOffset val="100"/>
        <c:tickLblSkip val="1"/>
        <c:tickMarkSkip val="1"/>
        <c:noMultiLvlLbl val="0"/>
      </c:catAx>
      <c:valAx>
        <c:axId val="4279752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7974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'GL-Sets'!$E$9:$E$32</c:f>
              <c:numCache>
                <c:formatCode>0.00</c:formatCode>
                <c:ptCount val="24"/>
                <c:pt idx="0">
                  <c:v>0</c:v>
                </c:pt>
                <c:pt idx="1">
                  <c:v>0</c:v>
                </c:pt>
                <c:pt idx="2">
                  <c:v>0</c:v>
                </c:pt>
                <c:pt idx="3">
                  <c:v>-0.25</c:v>
                </c:pt>
                <c:pt idx="4">
                  <c:v>-1</c:v>
                </c:pt>
                <c:pt idx="5">
                  <c:v>-4.5</c:v>
                </c:pt>
                <c:pt idx="6">
                  <c:v>-15</c:v>
                </c:pt>
                <c:pt idx="7">
                  <c:v>-14</c:v>
                </c:pt>
                <c:pt idx="8">
                  <c:v>-8</c:v>
                </c:pt>
                <c:pt idx="9">
                  <c:v>-5.25</c:v>
                </c:pt>
                <c:pt idx="10">
                  <c:v>-4.25</c:v>
                </c:pt>
                <c:pt idx="11">
                  <c:v>-3</c:v>
                </c:pt>
                <c:pt idx="12">
                  <c:v>-3.5</c:v>
                </c:pt>
                <c:pt idx="13">
                  <c:v>-5.5</c:v>
                </c:pt>
                <c:pt idx="14">
                  <c:v>-6</c:v>
                </c:pt>
                <c:pt idx="15">
                  <c:v>-4.75</c:v>
                </c:pt>
                <c:pt idx="16">
                  <c:v>-6</c:v>
                </c:pt>
                <c:pt idx="17">
                  <c:v>-7.5</c:v>
                </c:pt>
                <c:pt idx="18">
                  <c:v>-4.5</c:v>
                </c:pt>
                <c:pt idx="19">
                  <c:v>-4.25</c:v>
                </c:pt>
                <c:pt idx="20">
                  <c:v>-2</c:v>
                </c:pt>
                <c:pt idx="21">
                  <c:v>-0.5</c:v>
                </c:pt>
                <c:pt idx="22">
                  <c:v>-0.25</c:v>
                </c:pt>
                <c:pt idx="23">
                  <c:v>0</c:v>
                </c:pt>
              </c:numCache>
            </c:numRef>
          </c:val>
          <c:smooth val="1"/>
          <c:extLst>
            <c:ext xmlns:c16="http://schemas.microsoft.com/office/drawing/2014/chart" uri="{C3380CC4-5D6E-409C-BE32-E72D297353CC}">
              <c16:uniqueId val="{00000000-3388-46FF-8606-BD7EE9175F32}"/>
            </c:ext>
          </c:extLst>
        </c:ser>
        <c:ser>
          <c:idx val="1"/>
          <c:order val="1"/>
          <c:tx>
            <c:strRef>
              <c:f>'GL-Sets'!$F$7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'GL-Sets'!$F$9:$F$32</c:f>
              <c:numCache>
                <c:formatCode>0.00</c:formatCode>
                <c:ptCount val="24"/>
                <c:pt idx="0">
                  <c:v>0.25</c:v>
                </c:pt>
                <c:pt idx="1">
                  <c:v>0.2</c:v>
                </c:pt>
                <c:pt idx="2">
                  <c:v>0</c:v>
                </c:pt>
                <c:pt idx="3">
                  <c:v>0</c:v>
                </c:pt>
                <c:pt idx="4">
                  <c:v>0</c:v>
                </c:pt>
                <c:pt idx="5">
                  <c:v>0.25</c:v>
                </c:pt>
                <c:pt idx="6">
                  <c:v>0.9</c:v>
                </c:pt>
                <c:pt idx="7">
                  <c:v>2</c:v>
                </c:pt>
                <c:pt idx="8">
                  <c:v>2.5</c:v>
                </c:pt>
                <c:pt idx="9">
                  <c:v>2.75</c:v>
                </c:pt>
                <c:pt idx="10">
                  <c:v>3.5</c:v>
                </c:pt>
                <c:pt idx="11">
                  <c:v>5.25</c:v>
                </c:pt>
                <c:pt idx="12">
                  <c:v>7.5</c:v>
                </c:pt>
                <c:pt idx="13">
                  <c:v>7</c:v>
                </c:pt>
                <c:pt idx="14">
                  <c:v>4.25</c:v>
                </c:pt>
                <c:pt idx="15">
                  <c:v>6.5</c:v>
                </c:pt>
                <c:pt idx="16">
                  <c:v>14</c:v>
                </c:pt>
                <c:pt idx="17">
                  <c:v>13.75</c:v>
                </c:pt>
                <c:pt idx="18">
                  <c:v>10.4</c:v>
                </c:pt>
                <c:pt idx="19">
                  <c:v>6</c:v>
                </c:pt>
                <c:pt idx="20">
                  <c:v>3.75</c:v>
                </c:pt>
                <c:pt idx="21">
                  <c:v>3.5</c:v>
                </c:pt>
                <c:pt idx="22">
                  <c:v>3.75</c:v>
                </c:pt>
                <c:pt idx="23">
                  <c:v>2</c:v>
                </c:pt>
              </c:numCache>
            </c:numRef>
          </c:val>
          <c:smooth val="1"/>
          <c:extLst>
            <c:ext xmlns:c16="http://schemas.microsoft.com/office/drawing/2014/chart" uri="{C3380CC4-5D6E-409C-BE32-E72D297353CC}">
              <c16:uniqueId val="{00000001-3388-46FF-8606-BD7EE9175F32}"/>
            </c:ext>
          </c:extLst>
        </c:ser>
        <c:dLbls>
          <c:showLegendKey val="0"/>
          <c:showVal val="0"/>
          <c:showCatName val="0"/>
          <c:showSerName val="0"/>
          <c:showPercent val="0"/>
          <c:showBubbleSize val="0"/>
        </c:dLbls>
        <c:smooth val="0"/>
        <c:axId val="428895760"/>
        <c:axId val="428896936"/>
      </c:lineChart>
      <c:catAx>
        <c:axId val="428895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6936"/>
        <c:crosses val="autoZero"/>
        <c:auto val="1"/>
        <c:lblAlgn val="ctr"/>
        <c:lblOffset val="100"/>
        <c:tickLblSkip val="1"/>
        <c:tickMarkSkip val="1"/>
        <c:noMultiLvlLbl val="0"/>
      </c:catAx>
      <c:valAx>
        <c:axId val="4288969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000000"/>
            </a:solidFill>
            <a:prstDash val="solid"/>
          </a:ln>
        </c:spPr>
        <c:txPr>
          <a:bodyPr/>
          <a:lstStyle/>
          <a:p>
            <a:pPr>
              <a:defRPr sz="800"/>
            </a:pPr>
            <a:endParaRPr lang="en-DE"/>
          </a:p>
        </c:txPr>
        <c:crossAx val="4288957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'GL-Sets'!$G$9:$G$32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CB6-44D9-B868-18426A4EDB8C}"/>
            </c:ext>
          </c:extLst>
        </c:ser>
        <c:ser>
          <c:idx val="1"/>
          <c:order val="1"/>
          <c:tx>
            <c:strRef>
              <c:f>'GL-Sets'!$H$7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'GL-Sets'!$H$9:$H$32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CB6-44D9-B868-18426A4EDB8C}"/>
            </c:ext>
          </c:extLst>
        </c:ser>
        <c:dLbls>
          <c:showLegendKey val="0"/>
          <c:showVal val="0"/>
          <c:showCatName val="0"/>
          <c:showSerName val="0"/>
          <c:showPercent val="0"/>
          <c:showBubbleSize val="0"/>
        </c:dLbls>
        <c:smooth val="0"/>
        <c:axId val="428897720"/>
        <c:axId val="428904384"/>
      </c:lineChart>
      <c:catAx>
        <c:axId val="428897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4384"/>
        <c:crosses val="autoZero"/>
        <c:auto val="1"/>
        <c:lblAlgn val="ctr"/>
        <c:lblOffset val="100"/>
        <c:tickLblSkip val="1"/>
        <c:tickMarkSkip val="1"/>
        <c:noMultiLvlLbl val="0"/>
      </c:catAx>
      <c:valAx>
        <c:axId val="4289043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4316109422492398E-2"/>
          <c:w val="0.79764243614931463"/>
          <c:h val="0.72644376899695873"/>
        </c:manualLayout>
      </c:layout>
      <c:lineChart>
        <c:grouping val="standard"/>
        <c:varyColors val="0"/>
        <c:ser>
          <c:idx val="0"/>
          <c:order val="0"/>
          <c:tx>
            <c:strRef>
              <c:f>'GL-Sets'!$J$7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'GL-Sets'!$J$9:$J$32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ED5A-44F9-BAEE-A694DDCF5604}"/>
            </c:ext>
          </c:extLst>
        </c:ser>
        <c:ser>
          <c:idx val="1"/>
          <c:order val="1"/>
          <c:tx>
            <c:strRef>
              <c:f>'GL-Sets'!$K$7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'GL-Sets'!$K$9:$K$32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ED5A-44F9-BAEE-A694DDCF5604}"/>
            </c:ext>
          </c:extLst>
        </c:ser>
        <c:dLbls>
          <c:showLegendKey val="0"/>
          <c:showVal val="0"/>
          <c:showCatName val="0"/>
          <c:showSerName val="0"/>
          <c:showPercent val="0"/>
          <c:showBubbleSize val="0"/>
        </c:dLbls>
        <c:smooth val="0"/>
        <c:axId val="428903992"/>
        <c:axId val="428901640"/>
      </c:lineChart>
      <c:catAx>
        <c:axId val="428903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1640"/>
        <c:crosses val="autoZero"/>
        <c:auto val="1"/>
        <c:lblAlgn val="ctr"/>
        <c:lblOffset val="100"/>
        <c:tickLblSkip val="1"/>
        <c:tickMarkSkip val="1"/>
        <c:noMultiLvlLbl val="0"/>
      </c:catAx>
      <c:valAx>
        <c:axId val="428901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3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'GL-Sets'!$L$9:$L$32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E81A-4451-B318-F46F122276DD}"/>
            </c:ext>
          </c:extLst>
        </c:ser>
        <c:ser>
          <c:idx val="1"/>
          <c:order val="1"/>
          <c:tx>
            <c:strRef>
              <c:f>'GL-Sets'!$M$7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'GL-Sets'!$M$9:$M$32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E81A-4451-B318-F46F122276DD}"/>
            </c:ext>
          </c:extLst>
        </c:ser>
        <c:dLbls>
          <c:showLegendKey val="0"/>
          <c:showVal val="0"/>
          <c:showCatName val="0"/>
          <c:showSerName val="0"/>
          <c:showPercent val="0"/>
          <c:showBubbleSize val="0"/>
        </c:dLbls>
        <c:smooth val="0"/>
        <c:axId val="428903600"/>
        <c:axId val="428900464"/>
      </c:lineChart>
      <c:catAx>
        <c:axId val="428903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0464"/>
        <c:crosses val="autoZero"/>
        <c:auto val="1"/>
        <c:lblAlgn val="ctr"/>
        <c:lblOffset val="100"/>
        <c:tickLblSkip val="1"/>
        <c:tickMarkSkip val="1"/>
        <c:noMultiLvlLbl val="0"/>
      </c:catAx>
      <c:valAx>
        <c:axId val="42890046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'GL-Sets'!$N$9:$N$32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D8CE-4BCA-9814-766D40628645}"/>
            </c:ext>
          </c:extLst>
        </c:ser>
        <c:ser>
          <c:idx val="1"/>
          <c:order val="1"/>
          <c:tx>
            <c:strRef>
              <c:f>'GL-Sets'!$O$7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'GL-Sets'!$O$9:$O$32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D8CE-4BCA-9814-766D40628645}"/>
            </c:ext>
          </c:extLst>
        </c:ser>
        <c:dLbls>
          <c:showLegendKey val="0"/>
          <c:showVal val="0"/>
          <c:showCatName val="0"/>
          <c:showSerName val="0"/>
          <c:showPercent val="0"/>
          <c:showBubbleSize val="0"/>
        </c:dLbls>
        <c:smooth val="0"/>
        <c:axId val="428893016"/>
        <c:axId val="428893408"/>
      </c:lineChart>
      <c:catAx>
        <c:axId val="4288930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3408"/>
        <c:crosses val="autoZero"/>
        <c:auto val="1"/>
        <c:lblAlgn val="ctr"/>
        <c:lblOffset val="100"/>
        <c:tickLblSkip val="1"/>
        <c:tickMarkSkip val="1"/>
        <c:noMultiLvlLbl val="0"/>
      </c:catAx>
      <c:valAx>
        <c:axId val="42889340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3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'GL-Sets'!$Q$7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'GL-Sets'!$Q$9:$Q$32</c:f>
              <c:numCache>
                <c:formatCode>0.00</c:formatCode>
                <c:ptCount val="24"/>
                <c:pt idx="0">
                  <c:v>0</c:v>
                </c:pt>
                <c:pt idx="1">
                  <c:v>0</c:v>
                </c:pt>
                <c:pt idx="2">
                  <c:v>0</c:v>
                </c:pt>
                <c:pt idx="3">
                  <c:v>0</c:v>
                </c:pt>
                <c:pt idx="4">
                  <c:v>0</c:v>
                </c:pt>
                <c:pt idx="5">
                  <c:v>0</c:v>
                </c:pt>
                <c:pt idx="6">
                  <c:v>0</c:v>
                </c:pt>
                <c:pt idx="7">
                  <c:v>0</c:v>
                </c:pt>
                <c:pt idx="8">
                  <c:v>-3.5</c:v>
                </c:pt>
                <c:pt idx="9">
                  <c:v>-5.4</c:v>
                </c:pt>
                <c:pt idx="10">
                  <c:v>-7.6</c:v>
                </c:pt>
                <c:pt idx="11">
                  <c:v>-8.6</c:v>
                </c:pt>
                <c:pt idx="12">
                  <c:v>-8.6999999999999993</c:v>
                </c:pt>
                <c:pt idx="13">
                  <c:v>-5.9</c:v>
                </c:pt>
                <c:pt idx="14">
                  <c:v>-6</c:v>
                </c:pt>
                <c:pt idx="15">
                  <c:v>-5.9</c:v>
                </c:pt>
                <c:pt idx="16">
                  <c:v>-8.4</c:v>
                </c:pt>
                <c:pt idx="17">
                  <c:v>-10.6</c:v>
                </c:pt>
                <c:pt idx="18">
                  <c:v>-13.6</c:v>
                </c:pt>
                <c:pt idx="19">
                  <c:v>-12.6</c:v>
                </c:pt>
                <c:pt idx="20">
                  <c:v>-3.2</c:v>
                </c:pt>
                <c:pt idx="21">
                  <c:v>0</c:v>
                </c:pt>
                <c:pt idx="22">
                  <c:v>0</c:v>
                </c:pt>
                <c:pt idx="23">
                  <c:v>0</c:v>
                </c:pt>
              </c:numCache>
            </c:numRef>
          </c:val>
          <c:smooth val="1"/>
          <c:extLst>
            <c:ext xmlns:c16="http://schemas.microsoft.com/office/drawing/2014/chart" uri="{C3380CC4-5D6E-409C-BE32-E72D297353CC}">
              <c16:uniqueId val="{00000000-AEDB-4DAF-89D1-50D9153C7C42}"/>
            </c:ext>
          </c:extLst>
        </c:ser>
        <c:ser>
          <c:idx val="1"/>
          <c:order val="1"/>
          <c:tx>
            <c:strRef>
              <c:f>'GL-Sets'!$R$7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'GL-Sets'!$R$9:$R$32</c:f>
              <c:numCache>
                <c:formatCode>0.00</c:formatCode>
                <c:ptCount val="24"/>
                <c:pt idx="0">
                  <c:v>0</c:v>
                </c:pt>
                <c:pt idx="1">
                  <c:v>0</c:v>
                </c:pt>
                <c:pt idx="2">
                  <c:v>0</c:v>
                </c:pt>
                <c:pt idx="3">
                  <c:v>0</c:v>
                </c:pt>
                <c:pt idx="4">
                  <c:v>0</c:v>
                </c:pt>
                <c:pt idx="5">
                  <c:v>0</c:v>
                </c:pt>
                <c:pt idx="6">
                  <c:v>0</c:v>
                </c:pt>
                <c:pt idx="7">
                  <c:v>2.7</c:v>
                </c:pt>
                <c:pt idx="8">
                  <c:v>5.05</c:v>
                </c:pt>
                <c:pt idx="9">
                  <c:v>8.65</c:v>
                </c:pt>
                <c:pt idx="10">
                  <c:v>8.75</c:v>
                </c:pt>
                <c:pt idx="11">
                  <c:v>7.35</c:v>
                </c:pt>
                <c:pt idx="12">
                  <c:v>6.75</c:v>
                </c:pt>
                <c:pt idx="13">
                  <c:v>4.95</c:v>
                </c:pt>
                <c:pt idx="14">
                  <c:v>6.05</c:v>
                </c:pt>
                <c:pt idx="15">
                  <c:v>6.95</c:v>
                </c:pt>
                <c:pt idx="16">
                  <c:v>9.65</c:v>
                </c:pt>
                <c:pt idx="17">
                  <c:v>12</c:v>
                </c:pt>
                <c:pt idx="18">
                  <c:v>14.1</c:v>
                </c:pt>
                <c:pt idx="19">
                  <c:v>7.05</c:v>
                </c:pt>
                <c:pt idx="20">
                  <c:v>0</c:v>
                </c:pt>
                <c:pt idx="21">
                  <c:v>0</c:v>
                </c:pt>
                <c:pt idx="22">
                  <c:v>0</c:v>
                </c:pt>
                <c:pt idx="23">
                  <c:v>0</c:v>
                </c:pt>
              </c:numCache>
            </c:numRef>
          </c:val>
          <c:smooth val="1"/>
          <c:extLst>
            <c:ext xmlns:c16="http://schemas.microsoft.com/office/drawing/2014/chart" uri="{C3380CC4-5D6E-409C-BE32-E72D297353CC}">
              <c16:uniqueId val="{00000001-AEDB-4DAF-89D1-50D9153C7C42}"/>
            </c:ext>
          </c:extLst>
        </c:ser>
        <c:dLbls>
          <c:showLegendKey val="0"/>
          <c:showVal val="0"/>
          <c:showCatName val="0"/>
          <c:showSerName val="0"/>
          <c:showPercent val="0"/>
          <c:showBubbleSize val="0"/>
        </c:dLbls>
        <c:smooth val="0"/>
        <c:axId val="428894192"/>
        <c:axId val="428894584"/>
      </c:lineChart>
      <c:catAx>
        <c:axId val="428894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894584"/>
        <c:crosses val="autoZero"/>
        <c:auto val="1"/>
        <c:lblAlgn val="ctr"/>
        <c:lblOffset val="100"/>
        <c:tickLblSkip val="1"/>
        <c:tickMarkSkip val="1"/>
        <c:noMultiLvlLbl val="0"/>
      </c:catAx>
      <c:valAx>
        <c:axId val="42889458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894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'GL-Sets'!$S$9:$S$32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0"/>
          <c:extLst>
            <c:ext xmlns:c16="http://schemas.microsoft.com/office/drawing/2014/chart" uri="{C3380CC4-5D6E-409C-BE32-E72D297353CC}">
              <c16:uniqueId val="{00000000-750B-4E21-AB7D-00212304D344}"/>
            </c:ext>
          </c:extLst>
        </c:ser>
        <c:ser>
          <c:idx val="1"/>
          <c:order val="1"/>
          <c:tx>
            <c:strRef>
              <c:f>'GL-Sets'!$T$7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'GL-Sets'!$T$9:$T$32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750B-4E21-AB7D-00212304D344}"/>
            </c:ext>
          </c:extLst>
        </c:ser>
        <c:dLbls>
          <c:showLegendKey val="0"/>
          <c:showVal val="0"/>
          <c:showCatName val="0"/>
          <c:showSerName val="0"/>
          <c:showPercent val="0"/>
          <c:showBubbleSize val="0"/>
        </c:dLbls>
        <c:smooth val="0"/>
        <c:axId val="428905560"/>
        <c:axId val="428905952"/>
      </c:lineChart>
      <c:catAx>
        <c:axId val="428905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5952"/>
        <c:crosses val="autoZero"/>
        <c:auto val="1"/>
        <c:lblAlgn val="ctr"/>
        <c:lblOffset val="100"/>
        <c:tickLblSkip val="1"/>
        <c:tickMarkSkip val="1"/>
        <c:noMultiLvlLbl val="0"/>
      </c:catAx>
      <c:valAx>
        <c:axId val="428905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5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2.1472465001087782E-2"/>
          <c:w val="0.79330956479154358"/>
          <c:h val="0.72699631503682915"/>
        </c:manualLayout>
      </c:layout>
      <c:lineChart>
        <c:grouping val="standard"/>
        <c:varyColors val="0"/>
        <c:ser>
          <c:idx val="0"/>
          <c:order val="0"/>
          <c:tx>
            <c:strRef>
              <c:f>'GL-Sets'!$U$7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'GL-Sets'!$U$9:$U$32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F06-4441-BCFE-773D3F6B2F2A}"/>
            </c:ext>
          </c:extLst>
        </c:ser>
        <c:ser>
          <c:idx val="1"/>
          <c:order val="1"/>
          <c:tx>
            <c:strRef>
              <c:f>'GL-Sets'!$V$7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'GL-Sets'!$V$9:$V$32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F06-4441-BCFE-773D3F6B2F2A}"/>
            </c:ext>
          </c:extLst>
        </c:ser>
        <c:dLbls>
          <c:showLegendKey val="0"/>
          <c:showVal val="0"/>
          <c:showCatName val="0"/>
          <c:showSerName val="0"/>
          <c:showPercent val="0"/>
          <c:showBubbleSize val="0"/>
        </c:dLbls>
        <c:smooth val="0"/>
        <c:axId val="428907912"/>
        <c:axId val="428904776"/>
      </c:lineChart>
      <c:catAx>
        <c:axId val="4289079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8904776"/>
        <c:crosses val="autoZero"/>
        <c:auto val="1"/>
        <c:lblAlgn val="ctr"/>
        <c:lblOffset val="100"/>
        <c:tickLblSkip val="1"/>
        <c:tickMarkSkip val="1"/>
        <c:noMultiLvlLbl val="0"/>
      </c:catAx>
      <c:valAx>
        <c:axId val="42890477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7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'GL-Sets'!$X$7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'GL-Sets'!$X$9:$X$32</c:f>
              <c:numCache>
                <c:formatCode>0.00</c:formatCode>
                <c:ptCount val="24"/>
                <c:pt idx="0">
                  <c:v>-0.5</c:v>
                </c:pt>
                <c:pt idx="1">
                  <c:v>0</c:v>
                </c:pt>
                <c:pt idx="2">
                  <c:v>0</c:v>
                </c:pt>
                <c:pt idx="3">
                  <c:v>-0.4</c:v>
                </c:pt>
                <c:pt idx="4">
                  <c:v>-0.25</c:v>
                </c:pt>
                <c:pt idx="5">
                  <c:v>0</c:v>
                </c:pt>
                <c:pt idx="6">
                  <c:v>-2</c:v>
                </c:pt>
                <c:pt idx="7">
                  <c:v>-3</c:v>
                </c:pt>
                <c:pt idx="8">
                  <c:v>-3.5</c:v>
                </c:pt>
                <c:pt idx="9">
                  <c:v>-1.75</c:v>
                </c:pt>
                <c:pt idx="10">
                  <c:v>-1.25</c:v>
                </c:pt>
                <c:pt idx="11">
                  <c:v>-3.5</c:v>
                </c:pt>
                <c:pt idx="12">
                  <c:v>-4.5</c:v>
                </c:pt>
                <c:pt idx="13">
                  <c:v>-3.25</c:v>
                </c:pt>
                <c:pt idx="14">
                  <c:v>-4.5</c:v>
                </c:pt>
                <c:pt idx="15">
                  <c:v>-3.4</c:v>
                </c:pt>
                <c:pt idx="16">
                  <c:v>-4.75</c:v>
                </c:pt>
                <c:pt idx="17">
                  <c:v>-8</c:v>
                </c:pt>
                <c:pt idx="18">
                  <c:v>-11.5</c:v>
                </c:pt>
                <c:pt idx="19">
                  <c:v>-12.7</c:v>
                </c:pt>
                <c:pt idx="20">
                  <c:v>-9.5</c:v>
                </c:pt>
                <c:pt idx="21">
                  <c:v>-8.5</c:v>
                </c:pt>
                <c:pt idx="22">
                  <c:v>-8</c:v>
                </c:pt>
                <c:pt idx="23">
                  <c:v>-5.25</c:v>
                </c:pt>
              </c:numCache>
            </c:numRef>
          </c:val>
          <c:smooth val="0"/>
          <c:extLst>
            <c:ext xmlns:c16="http://schemas.microsoft.com/office/drawing/2014/chart" uri="{C3380CC4-5D6E-409C-BE32-E72D297353CC}">
              <c16:uniqueId val="{00000000-1C27-414A-B9E1-4A00284872A5}"/>
            </c:ext>
          </c:extLst>
        </c:ser>
        <c:ser>
          <c:idx val="1"/>
          <c:order val="1"/>
          <c:tx>
            <c:strRef>
              <c:f>'GL-Sets'!$Y$7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'GL-Sets'!$Y$9:$Y$32</c:f>
              <c:numCache>
                <c:formatCode>0.00</c:formatCode>
                <c:ptCount val="24"/>
                <c:pt idx="0">
                  <c:v>0</c:v>
                </c:pt>
                <c:pt idx="1">
                  <c:v>0</c:v>
                </c:pt>
                <c:pt idx="2">
                  <c:v>0</c:v>
                </c:pt>
                <c:pt idx="3">
                  <c:v>0</c:v>
                </c:pt>
                <c:pt idx="4">
                  <c:v>0</c:v>
                </c:pt>
                <c:pt idx="5">
                  <c:v>0</c:v>
                </c:pt>
                <c:pt idx="6">
                  <c:v>3</c:v>
                </c:pt>
                <c:pt idx="7">
                  <c:v>3.25</c:v>
                </c:pt>
                <c:pt idx="8">
                  <c:v>1.5</c:v>
                </c:pt>
                <c:pt idx="9">
                  <c:v>2</c:v>
                </c:pt>
                <c:pt idx="10">
                  <c:v>2.25</c:v>
                </c:pt>
                <c:pt idx="11">
                  <c:v>4</c:v>
                </c:pt>
                <c:pt idx="12">
                  <c:v>4.9000000000000004</c:v>
                </c:pt>
                <c:pt idx="13">
                  <c:v>3.5</c:v>
                </c:pt>
                <c:pt idx="14">
                  <c:v>5</c:v>
                </c:pt>
                <c:pt idx="15">
                  <c:v>5.25</c:v>
                </c:pt>
                <c:pt idx="16">
                  <c:v>6</c:v>
                </c:pt>
                <c:pt idx="17">
                  <c:v>12</c:v>
                </c:pt>
                <c:pt idx="18">
                  <c:v>15.2</c:v>
                </c:pt>
                <c:pt idx="19">
                  <c:v>17.75</c:v>
                </c:pt>
                <c:pt idx="20">
                  <c:v>9.9</c:v>
                </c:pt>
                <c:pt idx="21">
                  <c:v>2.25</c:v>
                </c:pt>
                <c:pt idx="22">
                  <c:v>1.25</c:v>
                </c:pt>
                <c:pt idx="23">
                  <c:v>1</c:v>
                </c:pt>
              </c:numCache>
            </c:numRef>
          </c:val>
          <c:smooth val="1"/>
          <c:extLst>
            <c:ext xmlns:c16="http://schemas.microsoft.com/office/drawing/2014/chart" uri="{C3380CC4-5D6E-409C-BE32-E72D297353CC}">
              <c16:uniqueId val="{00000001-1C27-414A-B9E1-4A00284872A5}"/>
            </c:ext>
          </c:extLst>
        </c:ser>
        <c:dLbls>
          <c:showLegendKey val="0"/>
          <c:showVal val="0"/>
          <c:showCatName val="0"/>
          <c:showSerName val="0"/>
          <c:showPercent val="0"/>
          <c:showBubbleSize val="0"/>
        </c:dLbls>
        <c:smooth val="0"/>
        <c:axId val="430122720"/>
        <c:axId val="430120760"/>
      </c:lineChart>
      <c:catAx>
        <c:axId val="430122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20760"/>
        <c:crosses val="autoZero"/>
        <c:auto val="1"/>
        <c:lblAlgn val="ctr"/>
        <c:lblOffset val="100"/>
        <c:tickLblSkip val="1"/>
        <c:tickMarkSkip val="1"/>
        <c:noMultiLvlLbl val="0"/>
      </c:catAx>
      <c:valAx>
        <c:axId val="4301207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22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'GL-Sets'!$Z$9:$Z$32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36C4-4887-95BC-E9F6D90FC341}"/>
            </c:ext>
          </c:extLst>
        </c:ser>
        <c:ser>
          <c:idx val="1"/>
          <c:order val="1"/>
          <c:tx>
            <c:strRef>
              <c:f>'GL-Sets'!$AA$7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'GL-Sets'!$AA$9:$AA$32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36C4-4887-95BC-E9F6D90FC341}"/>
            </c:ext>
          </c:extLst>
        </c:ser>
        <c:dLbls>
          <c:showLegendKey val="0"/>
          <c:showVal val="0"/>
          <c:showCatName val="0"/>
          <c:showSerName val="0"/>
          <c:showPercent val="0"/>
          <c:showBubbleSize val="0"/>
        </c:dLbls>
        <c:smooth val="0"/>
        <c:axId val="430119976"/>
        <c:axId val="430120368"/>
      </c:lineChart>
      <c:catAx>
        <c:axId val="430119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20368"/>
        <c:crosses val="autoZero"/>
        <c:auto val="1"/>
        <c:lblAlgn val="ctr"/>
        <c:lblOffset val="100"/>
        <c:tickLblSkip val="1"/>
        <c:tickMarkSkip val="1"/>
        <c:noMultiLvlLbl val="0"/>
      </c:catAx>
      <c:valAx>
        <c:axId val="4301203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2269980000621574E-2"/>
          <c:w val="0.79330956479154358"/>
          <c:h val="0.73619880003729565"/>
        </c:manualLayout>
      </c:layout>
      <c:lineChart>
        <c:grouping val="standard"/>
        <c:varyColors val="0"/>
        <c:ser>
          <c:idx val="0"/>
          <c:order val="0"/>
          <c:tx>
            <c:strRef>
              <c:f>'GL-Sets'!$AB$7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'GL-Sets'!$AB$9:$AB$32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7DF6-49B6-8BFD-B768598FB699}"/>
            </c:ext>
          </c:extLst>
        </c:ser>
        <c:ser>
          <c:idx val="1"/>
          <c:order val="1"/>
          <c:tx>
            <c:strRef>
              <c:f>'GL-Sets'!$AC$7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'GL-Sets'!$AC$9:$AC$32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7DF6-49B6-8BFD-B768598FB699}"/>
            </c:ext>
          </c:extLst>
        </c:ser>
        <c:dLbls>
          <c:showLegendKey val="0"/>
          <c:showVal val="0"/>
          <c:showCatName val="0"/>
          <c:showSerName val="0"/>
          <c:showPercent val="0"/>
          <c:showBubbleSize val="0"/>
        </c:dLbls>
        <c:smooth val="0"/>
        <c:axId val="430115664"/>
        <c:axId val="430117232"/>
      </c:lineChart>
      <c:catAx>
        <c:axId val="430115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7232"/>
        <c:crosses val="autoZero"/>
        <c:auto val="1"/>
        <c:lblAlgn val="ctr"/>
        <c:lblOffset val="100"/>
        <c:tickLblSkip val="1"/>
        <c:tickMarkSkip val="1"/>
        <c:noMultiLvlLbl val="0"/>
      </c:catAx>
      <c:valAx>
        <c:axId val="43011723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5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'GL-Sets'!$AE$7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'GL-Sets'!$AE$9:$AE$32</c:f>
              <c:numCache>
                <c:formatCode>0.00</c:formatCode>
                <c:ptCount val="24"/>
                <c:pt idx="0">
                  <c:v>0</c:v>
                </c:pt>
                <c:pt idx="1">
                  <c:v>0</c:v>
                </c:pt>
                <c:pt idx="2">
                  <c:v>0</c:v>
                </c:pt>
                <c:pt idx="3">
                  <c:v>0</c:v>
                </c:pt>
                <c:pt idx="4">
                  <c:v>0</c:v>
                </c:pt>
                <c:pt idx="5">
                  <c:v>0</c:v>
                </c:pt>
                <c:pt idx="6">
                  <c:v>0</c:v>
                </c:pt>
                <c:pt idx="7">
                  <c:v>0</c:v>
                </c:pt>
                <c:pt idx="8">
                  <c:v>0</c:v>
                </c:pt>
                <c:pt idx="9">
                  <c:v>-6.16</c:v>
                </c:pt>
                <c:pt idx="10">
                  <c:v>-11.66</c:v>
                </c:pt>
                <c:pt idx="11">
                  <c:v>-9.68</c:v>
                </c:pt>
                <c:pt idx="12">
                  <c:v>-10.119999999999999</c:v>
                </c:pt>
                <c:pt idx="13">
                  <c:v>-8.14</c:v>
                </c:pt>
                <c:pt idx="14">
                  <c:v>-8.25</c:v>
                </c:pt>
                <c:pt idx="15">
                  <c:v>-5.61</c:v>
                </c:pt>
                <c:pt idx="16">
                  <c:v>-7.59</c:v>
                </c:pt>
                <c:pt idx="17">
                  <c:v>-6.05</c:v>
                </c:pt>
                <c:pt idx="18">
                  <c:v>-9.02</c:v>
                </c:pt>
                <c:pt idx="19">
                  <c:v>-4.4000000000000004</c:v>
                </c:pt>
                <c:pt idx="20">
                  <c:v>-13.32</c:v>
                </c:pt>
                <c:pt idx="21">
                  <c:v>0</c:v>
                </c:pt>
                <c:pt idx="22">
                  <c:v>0</c:v>
                </c:pt>
                <c:pt idx="23">
                  <c:v>0</c:v>
                </c:pt>
              </c:numCache>
            </c:numRef>
          </c:val>
          <c:smooth val="1"/>
          <c:extLst>
            <c:ext xmlns:c16="http://schemas.microsoft.com/office/drawing/2014/chart" uri="{C3380CC4-5D6E-409C-BE32-E72D297353CC}">
              <c16:uniqueId val="{00000000-FC5F-4A18-8641-3CACFD9AA662}"/>
            </c:ext>
          </c:extLst>
        </c:ser>
        <c:ser>
          <c:idx val="1"/>
          <c:order val="1"/>
          <c:tx>
            <c:strRef>
              <c:f>'GL-Sets'!$AF$7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'GL-Sets'!$AF$9:$AF$32</c:f>
              <c:numCache>
                <c:formatCode>0.00</c:formatCode>
                <c:ptCount val="24"/>
                <c:pt idx="0">
                  <c:v>0</c:v>
                </c:pt>
                <c:pt idx="1">
                  <c:v>0</c:v>
                </c:pt>
                <c:pt idx="2">
                  <c:v>0</c:v>
                </c:pt>
                <c:pt idx="3">
                  <c:v>0</c:v>
                </c:pt>
                <c:pt idx="4">
                  <c:v>0</c:v>
                </c:pt>
                <c:pt idx="5">
                  <c:v>0</c:v>
                </c:pt>
                <c:pt idx="6">
                  <c:v>0</c:v>
                </c:pt>
                <c:pt idx="7">
                  <c:v>0</c:v>
                </c:pt>
                <c:pt idx="8">
                  <c:v>13.86</c:v>
                </c:pt>
                <c:pt idx="9">
                  <c:v>12.55</c:v>
                </c:pt>
                <c:pt idx="10">
                  <c:v>11.99</c:v>
                </c:pt>
                <c:pt idx="11">
                  <c:v>7.26</c:v>
                </c:pt>
                <c:pt idx="12">
                  <c:v>7.81</c:v>
                </c:pt>
                <c:pt idx="13">
                  <c:v>7.92</c:v>
                </c:pt>
                <c:pt idx="14">
                  <c:v>8.0299999999999994</c:v>
                </c:pt>
                <c:pt idx="15">
                  <c:v>4.07</c:v>
                </c:pt>
                <c:pt idx="16">
                  <c:v>6.82</c:v>
                </c:pt>
                <c:pt idx="17">
                  <c:v>7.59</c:v>
                </c:pt>
                <c:pt idx="18">
                  <c:v>10.01</c:v>
                </c:pt>
                <c:pt idx="19">
                  <c:v>2.09</c:v>
                </c:pt>
                <c:pt idx="20">
                  <c:v>0</c:v>
                </c:pt>
                <c:pt idx="21">
                  <c:v>0</c:v>
                </c:pt>
                <c:pt idx="22">
                  <c:v>0</c:v>
                </c:pt>
                <c:pt idx="23">
                  <c:v>0</c:v>
                </c:pt>
              </c:numCache>
            </c:numRef>
          </c:val>
          <c:smooth val="1"/>
          <c:extLst>
            <c:ext xmlns:c16="http://schemas.microsoft.com/office/drawing/2014/chart" uri="{C3380CC4-5D6E-409C-BE32-E72D297353CC}">
              <c16:uniqueId val="{00000001-FC5F-4A18-8641-3CACFD9AA662}"/>
            </c:ext>
          </c:extLst>
        </c:ser>
        <c:dLbls>
          <c:showLegendKey val="0"/>
          <c:showVal val="0"/>
          <c:showCatName val="0"/>
          <c:showSerName val="0"/>
          <c:showPercent val="0"/>
          <c:showBubbleSize val="0"/>
        </c:dLbls>
        <c:smooth val="0"/>
        <c:axId val="430118408"/>
        <c:axId val="430118016"/>
      </c:lineChart>
      <c:catAx>
        <c:axId val="430118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8016"/>
        <c:crosses val="autoZero"/>
        <c:auto val="1"/>
        <c:lblAlgn val="ctr"/>
        <c:lblOffset val="100"/>
        <c:tickLblSkip val="1"/>
        <c:tickMarkSkip val="1"/>
        <c:noMultiLvlLbl val="0"/>
      </c:catAx>
      <c:valAx>
        <c:axId val="43011801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8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'GL-Sets'!$AG$9:$AG$32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8EC5-423C-929F-98675B27A051}"/>
            </c:ext>
          </c:extLst>
        </c:ser>
        <c:ser>
          <c:idx val="1"/>
          <c:order val="1"/>
          <c:tx>
            <c:strRef>
              <c:f>'GL-Sets'!$AH$7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'GL-Sets'!$AH$9:$AH$32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8EC5-423C-929F-98675B27A051}"/>
            </c:ext>
          </c:extLst>
        </c:ser>
        <c:dLbls>
          <c:showLegendKey val="0"/>
          <c:showVal val="0"/>
          <c:showCatName val="0"/>
          <c:showSerName val="0"/>
          <c:showPercent val="0"/>
          <c:showBubbleSize val="0"/>
        </c:dLbls>
        <c:smooth val="0"/>
        <c:axId val="430109000"/>
        <c:axId val="430108216"/>
      </c:lineChart>
      <c:catAx>
        <c:axId val="430109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08216"/>
        <c:crosses val="autoZero"/>
        <c:auto val="1"/>
        <c:lblAlgn val="ctr"/>
        <c:lblOffset val="100"/>
        <c:tickLblSkip val="1"/>
        <c:tickMarkSkip val="1"/>
        <c:noMultiLvlLbl val="0"/>
      </c:catAx>
      <c:valAx>
        <c:axId val="4301082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9000"/>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'GL-Sets'!$AI$9:$AI$32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AD3-4BD2-A9B4-C5CFCFEBB86F}"/>
            </c:ext>
          </c:extLst>
        </c:ser>
        <c:ser>
          <c:idx val="1"/>
          <c:order val="1"/>
          <c:tx>
            <c:strRef>
              <c:f>'GL-Sets'!$AJ$7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'GL-Sets'!$AJ$9:$AJ$32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AD3-4BD2-A9B4-C5CFCFEBB86F}"/>
            </c:ext>
          </c:extLst>
        </c:ser>
        <c:dLbls>
          <c:showLegendKey val="0"/>
          <c:showVal val="0"/>
          <c:showCatName val="0"/>
          <c:showSerName val="0"/>
          <c:showPercent val="0"/>
          <c:showBubbleSize val="0"/>
        </c:dLbls>
        <c:smooth val="0"/>
        <c:axId val="430109784"/>
        <c:axId val="430112528"/>
      </c:lineChart>
      <c:catAx>
        <c:axId val="430109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2528"/>
        <c:crosses val="autoZero"/>
        <c:auto val="1"/>
        <c:lblAlgn val="ctr"/>
        <c:lblOffset val="100"/>
        <c:tickLblSkip val="1"/>
        <c:tickMarkSkip val="1"/>
        <c:noMultiLvlLbl val="0"/>
      </c:catAx>
      <c:valAx>
        <c:axId val="4301125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'GL-Sets'!$AL$7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'GL-Sets'!$AL$9:$AL$32</c:f>
              <c:numCache>
                <c:formatCode>0.00</c:formatCode>
                <c:ptCount val="24"/>
                <c:pt idx="0">
                  <c:v>0</c:v>
                </c:pt>
                <c:pt idx="1">
                  <c:v>0</c:v>
                </c:pt>
                <c:pt idx="2">
                  <c:v>0</c:v>
                </c:pt>
                <c:pt idx="3">
                  <c:v>0</c:v>
                </c:pt>
                <c:pt idx="4">
                  <c:v>0</c:v>
                </c:pt>
                <c:pt idx="5">
                  <c:v>0</c:v>
                </c:pt>
                <c:pt idx="6">
                  <c:v>0</c:v>
                </c:pt>
                <c:pt idx="7">
                  <c:v>0</c:v>
                </c:pt>
                <c:pt idx="8">
                  <c:v>0</c:v>
                </c:pt>
                <c:pt idx="9">
                  <c:v>-2.2000000000000002</c:v>
                </c:pt>
                <c:pt idx="10">
                  <c:v>-2.09</c:v>
                </c:pt>
                <c:pt idx="11">
                  <c:v>-8.24</c:v>
                </c:pt>
                <c:pt idx="12">
                  <c:v>-5.8</c:v>
                </c:pt>
                <c:pt idx="13">
                  <c:v>-5.34</c:v>
                </c:pt>
                <c:pt idx="14">
                  <c:v>-5.68</c:v>
                </c:pt>
                <c:pt idx="15">
                  <c:v>-6.38</c:v>
                </c:pt>
                <c:pt idx="16">
                  <c:v>-7.2</c:v>
                </c:pt>
                <c:pt idx="17">
                  <c:v>-7.19</c:v>
                </c:pt>
                <c:pt idx="18">
                  <c:v>-6.26</c:v>
                </c:pt>
                <c:pt idx="19">
                  <c:v>-8.35</c:v>
                </c:pt>
                <c:pt idx="20">
                  <c:v>-9.2799999999999994</c:v>
                </c:pt>
                <c:pt idx="21">
                  <c:v>-10.09</c:v>
                </c:pt>
                <c:pt idx="22">
                  <c:v>-9.98</c:v>
                </c:pt>
                <c:pt idx="23">
                  <c:v>-5.92</c:v>
                </c:pt>
              </c:numCache>
            </c:numRef>
          </c:val>
          <c:smooth val="1"/>
          <c:extLst>
            <c:ext xmlns:c16="http://schemas.microsoft.com/office/drawing/2014/chart" uri="{C3380CC4-5D6E-409C-BE32-E72D297353CC}">
              <c16:uniqueId val="{00000000-A3D9-46CA-9ADE-38B7C51EBA2A}"/>
            </c:ext>
          </c:extLst>
        </c:ser>
        <c:ser>
          <c:idx val="1"/>
          <c:order val="1"/>
          <c:tx>
            <c:strRef>
              <c:f>'GL-Sets'!$AM$7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'GL-Sets'!$AM$9:$AM$32</c:f>
              <c:numCache>
                <c:formatCode>0.00</c:formatCode>
                <c:ptCount val="24"/>
                <c:pt idx="0">
                  <c:v>0</c:v>
                </c:pt>
                <c:pt idx="1">
                  <c:v>0</c:v>
                </c:pt>
                <c:pt idx="2">
                  <c:v>0</c:v>
                </c:pt>
                <c:pt idx="3">
                  <c:v>0</c:v>
                </c:pt>
                <c:pt idx="4">
                  <c:v>0</c:v>
                </c:pt>
                <c:pt idx="5">
                  <c:v>0</c:v>
                </c:pt>
                <c:pt idx="6">
                  <c:v>0</c:v>
                </c:pt>
                <c:pt idx="7">
                  <c:v>0</c:v>
                </c:pt>
                <c:pt idx="8">
                  <c:v>0</c:v>
                </c:pt>
                <c:pt idx="9">
                  <c:v>12.06</c:v>
                </c:pt>
                <c:pt idx="10">
                  <c:v>5.57</c:v>
                </c:pt>
                <c:pt idx="11">
                  <c:v>5.22</c:v>
                </c:pt>
                <c:pt idx="12">
                  <c:v>6.96</c:v>
                </c:pt>
                <c:pt idx="13">
                  <c:v>6.84</c:v>
                </c:pt>
                <c:pt idx="14">
                  <c:v>7.89</c:v>
                </c:pt>
                <c:pt idx="15">
                  <c:v>6.5</c:v>
                </c:pt>
                <c:pt idx="16">
                  <c:v>8.82</c:v>
                </c:pt>
                <c:pt idx="17">
                  <c:v>10.56</c:v>
                </c:pt>
                <c:pt idx="18">
                  <c:v>9.51</c:v>
                </c:pt>
                <c:pt idx="19">
                  <c:v>9.4</c:v>
                </c:pt>
                <c:pt idx="20">
                  <c:v>7.54</c:v>
                </c:pt>
                <c:pt idx="21">
                  <c:v>2.09</c:v>
                </c:pt>
                <c:pt idx="22">
                  <c:v>1.04</c:v>
                </c:pt>
                <c:pt idx="23">
                  <c:v>0</c:v>
                </c:pt>
              </c:numCache>
            </c:numRef>
          </c:val>
          <c:smooth val="1"/>
          <c:extLst>
            <c:ext xmlns:c16="http://schemas.microsoft.com/office/drawing/2014/chart" uri="{C3380CC4-5D6E-409C-BE32-E72D297353CC}">
              <c16:uniqueId val="{00000001-A3D9-46CA-9ADE-38B7C51EBA2A}"/>
            </c:ext>
          </c:extLst>
        </c:ser>
        <c:dLbls>
          <c:showLegendKey val="0"/>
          <c:showVal val="0"/>
          <c:showCatName val="0"/>
          <c:showSerName val="0"/>
          <c:showPercent val="0"/>
          <c:showBubbleSize val="0"/>
        </c:dLbls>
        <c:smooth val="0"/>
        <c:axId val="430108608"/>
        <c:axId val="430116056"/>
      </c:lineChart>
      <c:catAx>
        <c:axId val="4301086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6056"/>
        <c:crosses val="autoZero"/>
        <c:auto val="1"/>
        <c:lblAlgn val="ctr"/>
        <c:lblOffset val="100"/>
        <c:tickLblSkip val="1"/>
        <c:tickMarkSkip val="1"/>
        <c:noMultiLvlLbl val="0"/>
      </c:catAx>
      <c:valAx>
        <c:axId val="43011605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08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1.2269980000621574E-2"/>
          <c:w val="0.79764243614931463"/>
          <c:h val="0.73619880003729565"/>
        </c:manualLayout>
      </c:layout>
      <c:lineChart>
        <c:grouping val="standard"/>
        <c:varyColors val="0"/>
        <c:ser>
          <c:idx val="0"/>
          <c:order val="0"/>
          <c:tx>
            <c:strRef>
              <c:f>'GL-Sets'!$AN$7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'GL-Sets'!$AN$9:$AN$32</c:f>
              <c:numCache>
                <c:formatCode>0.00</c:formatCode>
                <c:ptCount val="24"/>
                <c:pt idx="0">
                  <c:v>-0.5</c:v>
                </c:pt>
                <c:pt idx="1">
                  <c:v>0</c:v>
                </c:pt>
                <c:pt idx="2">
                  <c:v>0</c:v>
                </c:pt>
                <c:pt idx="3">
                  <c:v>0</c:v>
                </c:pt>
                <c:pt idx="4">
                  <c:v>0</c:v>
                </c:pt>
                <c:pt idx="5">
                  <c:v>0</c:v>
                </c:pt>
                <c:pt idx="6">
                  <c:v>0</c:v>
                </c:pt>
                <c:pt idx="7">
                  <c:v>-2.75</c:v>
                </c:pt>
                <c:pt idx="8">
                  <c:v>-5.25</c:v>
                </c:pt>
                <c:pt idx="9">
                  <c:v>-3.5</c:v>
                </c:pt>
                <c:pt idx="10">
                  <c:v>-3.25</c:v>
                </c:pt>
                <c:pt idx="11">
                  <c:v>-2.5</c:v>
                </c:pt>
                <c:pt idx="12">
                  <c:v>-9</c:v>
                </c:pt>
                <c:pt idx="13">
                  <c:v>-8.75</c:v>
                </c:pt>
                <c:pt idx="14">
                  <c:v>-6</c:v>
                </c:pt>
                <c:pt idx="15">
                  <c:v>-7</c:v>
                </c:pt>
                <c:pt idx="16">
                  <c:v>-11.75</c:v>
                </c:pt>
                <c:pt idx="17">
                  <c:v>-13.75</c:v>
                </c:pt>
                <c:pt idx="18">
                  <c:v>-7</c:v>
                </c:pt>
                <c:pt idx="19">
                  <c:v>-3.5</c:v>
                </c:pt>
                <c:pt idx="20">
                  <c:v>-6</c:v>
                </c:pt>
                <c:pt idx="21">
                  <c:v>-4</c:v>
                </c:pt>
                <c:pt idx="22">
                  <c:v>-3.5</c:v>
                </c:pt>
                <c:pt idx="23">
                  <c:v>-2</c:v>
                </c:pt>
              </c:numCache>
            </c:numRef>
          </c:val>
          <c:smooth val="1"/>
          <c:extLst>
            <c:ext xmlns:c16="http://schemas.microsoft.com/office/drawing/2014/chart" uri="{C3380CC4-5D6E-409C-BE32-E72D297353CC}">
              <c16:uniqueId val="{00000000-6A4C-42CA-A7F1-3E1CA3502219}"/>
            </c:ext>
          </c:extLst>
        </c:ser>
        <c:ser>
          <c:idx val="1"/>
          <c:order val="1"/>
          <c:tx>
            <c:strRef>
              <c:f>'GL-Sets'!$AO$7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'GL-Sets'!$AO$9:$AO$32</c:f>
              <c:numCache>
                <c:formatCode>0.00</c:formatCode>
                <c:ptCount val="24"/>
                <c:pt idx="0">
                  <c:v>0</c:v>
                </c:pt>
                <c:pt idx="1">
                  <c:v>0</c:v>
                </c:pt>
                <c:pt idx="2">
                  <c:v>0</c:v>
                </c:pt>
                <c:pt idx="3">
                  <c:v>0</c:v>
                </c:pt>
                <c:pt idx="4">
                  <c:v>0</c:v>
                </c:pt>
                <c:pt idx="5">
                  <c:v>0</c:v>
                </c:pt>
                <c:pt idx="6">
                  <c:v>5</c:v>
                </c:pt>
                <c:pt idx="7">
                  <c:v>10</c:v>
                </c:pt>
                <c:pt idx="8">
                  <c:v>21.7</c:v>
                </c:pt>
                <c:pt idx="9">
                  <c:v>11.15</c:v>
                </c:pt>
                <c:pt idx="10">
                  <c:v>5.2</c:v>
                </c:pt>
                <c:pt idx="11">
                  <c:v>0.5</c:v>
                </c:pt>
                <c:pt idx="12">
                  <c:v>7.2</c:v>
                </c:pt>
                <c:pt idx="13">
                  <c:v>13.4</c:v>
                </c:pt>
                <c:pt idx="14">
                  <c:v>8</c:v>
                </c:pt>
                <c:pt idx="15">
                  <c:v>6.5</c:v>
                </c:pt>
                <c:pt idx="16">
                  <c:v>4.8</c:v>
                </c:pt>
                <c:pt idx="17">
                  <c:v>2.25</c:v>
                </c:pt>
                <c:pt idx="18">
                  <c:v>1.25</c:v>
                </c:pt>
                <c:pt idx="19">
                  <c:v>1</c:v>
                </c:pt>
                <c:pt idx="20">
                  <c:v>0.8</c:v>
                </c:pt>
                <c:pt idx="21">
                  <c:v>0.75</c:v>
                </c:pt>
                <c:pt idx="22">
                  <c:v>0.5</c:v>
                </c:pt>
                <c:pt idx="23">
                  <c:v>0</c:v>
                </c:pt>
              </c:numCache>
            </c:numRef>
          </c:val>
          <c:smooth val="1"/>
          <c:extLst>
            <c:ext xmlns:c16="http://schemas.microsoft.com/office/drawing/2014/chart" uri="{C3380CC4-5D6E-409C-BE32-E72D297353CC}">
              <c16:uniqueId val="{00000001-6A4C-42CA-A7F1-3E1CA3502219}"/>
            </c:ext>
          </c:extLst>
        </c:ser>
        <c:dLbls>
          <c:showLegendKey val="0"/>
          <c:showVal val="0"/>
          <c:showCatName val="0"/>
          <c:showSerName val="0"/>
          <c:showPercent val="0"/>
          <c:showBubbleSize val="0"/>
        </c:dLbls>
        <c:smooth val="0"/>
        <c:axId val="430114096"/>
        <c:axId val="430119192"/>
      </c:lineChart>
      <c:catAx>
        <c:axId val="4301140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119192"/>
        <c:crosses val="autoZero"/>
        <c:auto val="1"/>
        <c:lblAlgn val="ctr"/>
        <c:lblOffset val="100"/>
        <c:tickLblSkip val="1"/>
        <c:tickMarkSkip val="1"/>
        <c:noMultiLvlLbl val="0"/>
      </c:catAx>
      <c:valAx>
        <c:axId val="4301191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114096"/>
        <c:crosses val="autoZero"/>
        <c:crossBetween val="between"/>
      </c:valAx>
      <c:spPr>
        <a:noFill/>
        <a:ln w="3175">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'GL-Sets'!$AP$9:$AP$32</c:f>
              <c:numCache>
                <c:formatCode>0.00</c:formatCode>
                <c:ptCount val="24"/>
                <c:pt idx="0">
                  <c:v>0</c:v>
                </c:pt>
                <c:pt idx="1">
                  <c:v>0</c:v>
                </c:pt>
                <c:pt idx="2">
                  <c:v>0</c:v>
                </c:pt>
                <c:pt idx="3">
                  <c:v>0</c:v>
                </c:pt>
                <c:pt idx="4">
                  <c:v>0</c:v>
                </c:pt>
                <c:pt idx="5">
                  <c:v>0</c:v>
                </c:pt>
                <c:pt idx="6">
                  <c:v>0</c:v>
                </c:pt>
                <c:pt idx="7">
                  <c:v>-4.75</c:v>
                </c:pt>
                <c:pt idx="8">
                  <c:v>-7</c:v>
                </c:pt>
                <c:pt idx="9">
                  <c:v>-8.25</c:v>
                </c:pt>
                <c:pt idx="10">
                  <c:v>-9.25</c:v>
                </c:pt>
                <c:pt idx="11">
                  <c:v>-10.75</c:v>
                </c:pt>
                <c:pt idx="12">
                  <c:v>-9.25</c:v>
                </c:pt>
                <c:pt idx="13">
                  <c:v>-7.75</c:v>
                </c:pt>
                <c:pt idx="14">
                  <c:v>-6.6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2D5-4628-A54E-F5991FFB141F}"/>
            </c:ext>
          </c:extLst>
        </c:ser>
        <c:ser>
          <c:idx val="1"/>
          <c:order val="1"/>
          <c:tx>
            <c:strRef>
              <c:f>'GL-Sets'!$AQ$7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'GL-Sets'!$AQ$9:$AQ$32</c:f>
              <c:numCache>
                <c:formatCode>0.00</c:formatCode>
                <c:ptCount val="24"/>
                <c:pt idx="0">
                  <c:v>0</c:v>
                </c:pt>
                <c:pt idx="1">
                  <c:v>0</c:v>
                </c:pt>
                <c:pt idx="2">
                  <c:v>0</c:v>
                </c:pt>
                <c:pt idx="3">
                  <c:v>0</c:v>
                </c:pt>
                <c:pt idx="4">
                  <c:v>0</c:v>
                </c:pt>
                <c:pt idx="5">
                  <c:v>0</c:v>
                </c:pt>
                <c:pt idx="6">
                  <c:v>3</c:v>
                </c:pt>
                <c:pt idx="7">
                  <c:v>8</c:v>
                </c:pt>
                <c:pt idx="8">
                  <c:v>10.4</c:v>
                </c:pt>
                <c:pt idx="9">
                  <c:v>9.25</c:v>
                </c:pt>
                <c:pt idx="10">
                  <c:v>10.5</c:v>
                </c:pt>
                <c:pt idx="11">
                  <c:v>9.9</c:v>
                </c:pt>
                <c:pt idx="12">
                  <c:v>7.5</c:v>
                </c:pt>
                <c:pt idx="13">
                  <c:v>7</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2D5-4628-A54E-F5991FFB141F}"/>
            </c:ext>
          </c:extLst>
        </c:ser>
        <c:dLbls>
          <c:showLegendKey val="0"/>
          <c:showVal val="0"/>
          <c:showCatName val="0"/>
          <c:showSerName val="0"/>
          <c:showPercent val="0"/>
          <c:showBubbleSize val="0"/>
        </c:dLbls>
        <c:smooth val="0"/>
        <c:axId val="428906344"/>
        <c:axId val="427975640"/>
      </c:lineChart>
      <c:catAx>
        <c:axId val="428906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27975640"/>
        <c:crosses val="autoZero"/>
        <c:auto val="1"/>
        <c:lblAlgn val="ctr"/>
        <c:lblOffset val="100"/>
        <c:tickLblSkip val="1"/>
        <c:tickMarkSkip val="1"/>
        <c:noMultiLvlLbl val="0"/>
      </c:catAx>
      <c:valAx>
        <c:axId val="4279756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28906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0383-4DC0-B338-3109DC48966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0383-4DC0-B338-3109DC48966C}"/>
            </c:ext>
          </c:extLst>
        </c:ser>
        <c:dLbls>
          <c:showLegendKey val="0"/>
          <c:showVal val="0"/>
          <c:showCatName val="0"/>
          <c:showSerName val="0"/>
          <c:showPercent val="0"/>
          <c:showBubbleSize val="0"/>
        </c:dLbls>
        <c:smooth val="0"/>
        <c:axId val="430301480"/>
        <c:axId val="430300696"/>
      </c:lineChart>
      <c:catAx>
        <c:axId val="430301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300696"/>
        <c:crosses val="autoZero"/>
        <c:auto val="1"/>
        <c:lblAlgn val="ctr"/>
        <c:lblOffset val="100"/>
        <c:tickLblSkip val="1"/>
        <c:tickMarkSkip val="1"/>
        <c:noMultiLvlLbl val="0"/>
      </c:catAx>
      <c:valAx>
        <c:axId val="4303006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301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150-4D0C-8D4D-4954C16F10C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150-4D0C-8D4D-4954C16F10C8}"/>
            </c:ext>
          </c:extLst>
        </c:ser>
        <c:dLbls>
          <c:showLegendKey val="0"/>
          <c:showVal val="0"/>
          <c:showCatName val="0"/>
          <c:showSerName val="0"/>
          <c:showPercent val="0"/>
          <c:showBubbleSize val="0"/>
        </c:dLbls>
        <c:smooth val="0"/>
        <c:axId val="430298736"/>
        <c:axId val="430290504"/>
      </c:lineChart>
      <c:catAx>
        <c:axId val="430298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0504"/>
        <c:crosses val="autoZero"/>
        <c:auto val="1"/>
        <c:lblAlgn val="ctr"/>
        <c:lblOffset val="100"/>
        <c:tickLblSkip val="1"/>
        <c:tickMarkSkip val="1"/>
        <c:noMultiLvlLbl val="0"/>
      </c:catAx>
      <c:valAx>
        <c:axId val="4302905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2987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4314-4EDC-BB5F-8553BC56E80E}"/>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4314-4EDC-BB5F-8553BC56E80E}"/>
            </c:ext>
          </c:extLst>
        </c:ser>
        <c:dLbls>
          <c:showLegendKey val="0"/>
          <c:showVal val="0"/>
          <c:showCatName val="0"/>
          <c:showSerName val="0"/>
          <c:showPercent val="0"/>
          <c:showBubbleSize val="0"/>
        </c:dLbls>
        <c:smooth val="0"/>
        <c:axId val="430292072"/>
        <c:axId val="430294424"/>
      </c:lineChart>
      <c:catAx>
        <c:axId val="430292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4424"/>
        <c:crosses val="autoZero"/>
        <c:auto val="1"/>
        <c:lblAlgn val="ctr"/>
        <c:lblOffset val="100"/>
        <c:tickLblSkip val="1"/>
        <c:tickMarkSkip val="1"/>
        <c:noMultiLvlLbl val="0"/>
      </c:catAx>
      <c:valAx>
        <c:axId val="4302944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30292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E1-4F16-9240-C5B732C7F6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E1-4F16-9240-C5B732C7F6F3}"/>
            </c:ext>
          </c:extLst>
        </c:ser>
        <c:dLbls>
          <c:showLegendKey val="0"/>
          <c:showVal val="0"/>
          <c:showCatName val="0"/>
          <c:showSerName val="0"/>
          <c:showPercent val="0"/>
          <c:showBubbleSize val="0"/>
        </c:dLbls>
        <c:smooth val="0"/>
        <c:axId val="430290896"/>
        <c:axId val="430295208"/>
      </c:lineChart>
      <c:catAx>
        <c:axId val="4302908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5208"/>
        <c:crosses val="autoZero"/>
        <c:auto val="1"/>
        <c:lblAlgn val="ctr"/>
        <c:lblOffset val="100"/>
        <c:tickLblSkip val="1"/>
        <c:tickMarkSkip val="1"/>
        <c:noMultiLvlLbl val="0"/>
      </c:catAx>
      <c:valAx>
        <c:axId val="43029520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08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F7-4C5C-9681-64D00F15374C}"/>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F7-4C5C-9681-64D00F15374C}"/>
            </c:ext>
          </c:extLst>
        </c:ser>
        <c:dLbls>
          <c:showLegendKey val="0"/>
          <c:showVal val="0"/>
          <c:showCatName val="0"/>
          <c:showSerName val="0"/>
          <c:showPercent val="0"/>
          <c:showBubbleSize val="0"/>
        </c:dLbls>
        <c:smooth val="0"/>
        <c:axId val="430294816"/>
        <c:axId val="430292856"/>
      </c:lineChart>
      <c:catAx>
        <c:axId val="430294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2856"/>
        <c:crosses val="autoZero"/>
        <c:auto val="1"/>
        <c:lblAlgn val="ctr"/>
        <c:lblOffset val="100"/>
        <c:tickLblSkip val="1"/>
        <c:tickMarkSkip val="1"/>
        <c:noMultiLvlLbl val="0"/>
      </c:catAx>
      <c:valAx>
        <c:axId val="43029285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4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6D-40BD-A43B-25102DE2499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6D-40BD-A43B-25102DE24998}"/>
            </c:ext>
          </c:extLst>
        </c:ser>
        <c:dLbls>
          <c:showLegendKey val="0"/>
          <c:showVal val="0"/>
          <c:showCatName val="0"/>
          <c:showSerName val="0"/>
          <c:showPercent val="0"/>
          <c:showBubbleSize val="0"/>
        </c:dLbls>
        <c:smooth val="0"/>
        <c:axId val="430295992"/>
        <c:axId val="430293640"/>
      </c:lineChart>
      <c:catAx>
        <c:axId val="430295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93640"/>
        <c:crosses val="autoZero"/>
        <c:auto val="1"/>
        <c:lblAlgn val="ctr"/>
        <c:lblOffset val="100"/>
        <c:tickLblSkip val="1"/>
        <c:tickMarkSkip val="1"/>
        <c:noMultiLvlLbl val="0"/>
      </c:catAx>
      <c:valAx>
        <c:axId val="43029364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5992"/>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41-4721-9DB8-533D34CD91C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41-4721-9DB8-533D34CD91C6}"/>
            </c:ext>
          </c:extLst>
        </c:ser>
        <c:dLbls>
          <c:showLegendKey val="0"/>
          <c:showVal val="0"/>
          <c:showCatName val="0"/>
          <c:showSerName val="0"/>
          <c:showPercent val="0"/>
          <c:showBubbleSize val="0"/>
        </c:dLbls>
        <c:smooth val="0"/>
        <c:axId val="430299520"/>
        <c:axId val="430287760"/>
      </c:lineChart>
      <c:catAx>
        <c:axId val="430299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87760"/>
        <c:crosses val="autoZero"/>
        <c:auto val="1"/>
        <c:lblAlgn val="ctr"/>
        <c:lblOffset val="100"/>
        <c:tickLblSkip val="1"/>
        <c:tickMarkSkip val="1"/>
        <c:noMultiLvlLbl val="0"/>
      </c:catAx>
      <c:valAx>
        <c:axId val="43028776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995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3-4569-975A-D4B8F21A0E2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3-4569-975A-D4B8F21A0E25}"/>
            </c:ext>
          </c:extLst>
        </c:ser>
        <c:dLbls>
          <c:showLegendKey val="0"/>
          <c:showVal val="0"/>
          <c:showCatName val="0"/>
          <c:showSerName val="0"/>
          <c:showPercent val="0"/>
          <c:showBubbleSize val="0"/>
        </c:dLbls>
        <c:smooth val="0"/>
        <c:axId val="430288936"/>
        <c:axId val="430289720"/>
      </c:lineChart>
      <c:catAx>
        <c:axId val="430288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0289720"/>
        <c:crosses val="autoZero"/>
        <c:auto val="1"/>
        <c:lblAlgn val="ctr"/>
        <c:lblOffset val="100"/>
        <c:tickLblSkip val="1"/>
        <c:tickMarkSkip val="1"/>
        <c:noMultiLvlLbl val="0"/>
      </c:catAx>
      <c:valAx>
        <c:axId val="43028972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02889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23-4BE8-8F81-3F8A5E118AE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23-4BE8-8F81-3F8A5E118AEB}"/>
            </c:ext>
          </c:extLst>
        </c:ser>
        <c:dLbls>
          <c:showLegendKey val="0"/>
          <c:showVal val="0"/>
          <c:showCatName val="0"/>
          <c:showSerName val="0"/>
          <c:showPercent val="0"/>
          <c:showBubbleSize val="0"/>
        </c:dLbls>
        <c:smooth val="0"/>
        <c:axId val="431623288"/>
        <c:axId val="431629168"/>
      </c:lineChart>
      <c:catAx>
        <c:axId val="4316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9168"/>
        <c:crosses val="autoZero"/>
        <c:auto val="1"/>
        <c:lblAlgn val="ctr"/>
        <c:lblOffset val="100"/>
        <c:tickLblSkip val="1"/>
        <c:tickMarkSkip val="1"/>
        <c:noMultiLvlLbl val="0"/>
      </c:catAx>
      <c:valAx>
        <c:axId val="43162916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3288"/>
        <c:crosses val="autoZero"/>
        <c:crossBetween val="between"/>
        <c:majorUnit val="10"/>
      </c:valAx>
      <c:spPr>
        <a:noFill/>
        <a:ln w="12700">
          <a:solidFill>
            <a:srgbClr val="000000"/>
          </a:solidFill>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CA-48CB-A8FB-DB607C0460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CA-48CB-A8FB-DB607C0460F7}"/>
            </c:ext>
          </c:extLst>
        </c:ser>
        <c:dLbls>
          <c:showLegendKey val="0"/>
          <c:showVal val="0"/>
          <c:showCatName val="0"/>
          <c:showSerName val="0"/>
          <c:showPercent val="0"/>
          <c:showBubbleSize val="0"/>
        </c:dLbls>
        <c:smooth val="0"/>
        <c:axId val="431621720"/>
        <c:axId val="431632304"/>
      </c:lineChart>
      <c:catAx>
        <c:axId val="43162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2304"/>
        <c:crosses val="autoZero"/>
        <c:auto val="1"/>
        <c:lblAlgn val="ctr"/>
        <c:lblOffset val="100"/>
        <c:tickLblSkip val="1"/>
        <c:tickMarkSkip val="1"/>
        <c:noMultiLvlLbl val="0"/>
      </c:catAx>
      <c:valAx>
        <c:axId val="43163230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17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8C-4E7E-9F0A-9B2F8A276B6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8C-4E7E-9F0A-9B2F8A276B60}"/>
            </c:ext>
          </c:extLst>
        </c:ser>
        <c:dLbls>
          <c:showLegendKey val="0"/>
          <c:showVal val="0"/>
          <c:showCatName val="0"/>
          <c:showSerName val="0"/>
          <c:showPercent val="0"/>
          <c:showBubbleSize val="0"/>
        </c:dLbls>
        <c:smooth val="0"/>
        <c:axId val="431627208"/>
        <c:axId val="431628384"/>
      </c:lineChart>
      <c:catAx>
        <c:axId val="4316272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8384"/>
        <c:crosses val="autoZero"/>
        <c:auto val="1"/>
        <c:lblAlgn val="ctr"/>
        <c:lblOffset val="100"/>
        <c:tickLblSkip val="1"/>
        <c:tickMarkSkip val="1"/>
        <c:noMultiLvlLbl val="0"/>
      </c:catAx>
      <c:valAx>
        <c:axId val="4316283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720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FD-4AAA-A6BC-02444AB5A32B}"/>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FD-4AAA-A6BC-02444AB5A32B}"/>
            </c:ext>
          </c:extLst>
        </c:ser>
        <c:dLbls>
          <c:showLegendKey val="0"/>
          <c:showVal val="0"/>
          <c:showCatName val="0"/>
          <c:showSerName val="0"/>
          <c:showPercent val="0"/>
          <c:showBubbleSize val="0"/>
        </c:dLbls>
        <c:smooth val="0"/>
        <c:axId val="431630736"/>
        <c:axId val="431622112"/>
      </c:lineChart>
      <c:catAx>
        <c:axId val="4316307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2112"/>
        <c:crosses val="autoZero"/>
        <c:auto val="1"/>
        <c:lblAlgn val="ctr"/>
        <c:lblOffset val="100"/>
        <c:tickLblSkip val="1"/>
        <c:tickMarkSkip val="1"/>
        <c:noMultiLvlLbl val="0"/>
      </c:catAx>
      <c:valAx>
        <c:axId val="4316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07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DD-4E49-AEEB-22966D79975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DD-4E49-AEEB-22966D79975C}"/>
            </c:ext>
          </c:extLst>
        </c:ser>
        <c:dLbls>
          <c:showLegendKey val="0"/>
          <c:showVal val="0"/>
          <c:showCatName val="0"/>
          <c:showSerName val="0"/>
          <c:showPercent val="0"/>
          <c:showBubbleSize val="0"/>
        </c:dLbls>
        <c:gapWidth val="150"/>
        <c:overlap val="100"/>
        <c:axId val="431620152"/>
        <c:axId val="431624464"/>
      </c:barChart>
      <c:catAx>
        <c:axId val="431620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4464"/>
        <c:crosses val="autoZero"/>
        <c:auto val="1"/>
        <c:lblAlgn val="ctr"/>
        <c:lblOffset val="100"/>
        <c:tickLblSkip val="1"/>
        <c:tickMarkSkip val="1"/>
        <c:noMultiLvlLbl val="0"/>
      </c:catAx>
      <c:valAx>
        <c:axId val="431624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0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A-451A-A0D9-17BCD95846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A-451A-A0D9-17BCD95846F2}"/>
            </c:ext>
          </c:extLst>
        </c:ser>
        <c:dLbls>
          <c:showLegendKey val="0"/>
          <c:showVal val="0"/>
          <c:showCatName val="0"/>
          <c:showSerName val="0"/>
          <c:showPercent val="0"/>
          <c:showBubbleSize val="0"/>
        </c:dLbls>
        <c:gapWidth val="150"/>
        <c:overlap val="100"/>
        <c:axId val="431621328"/>
        <c:axId val="431626816"/>
      </c:barChart>
      <c:catAx>
        <c:axId val="431621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6816"/>
        <c:crosses val="autoZero"/>
        <c:auto val="1"/>
        <c:lblAlgn val="ctr"/>
        <c:lblOffset val="100"/>
        <c:tickLblSkip val="1"/>
        <c:tickMarkSkip val="1"/>
        <c:noMultiLvlLbl val="0"/>
      </c:catAx>
      <c:valAx>
        <c:axId val="431626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1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A9-47A9-864E-322306FC55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A9-47A9-864E-322306FC5545}"/>
            </c:ext>
          </c:extLst>
        </c:ser>
        <c:dLbls>
          <c:showLegendKey val="0"/>
          <c:showVal val="0"/>
          <c:showCatName val="0"/>
          <c:showSerName val="0"/>
          <c:showPercent val="0"/>
          <c:showBubbleSize val="0"/>
        </c:dLbls>
        <c:gapWidth val="150"/>
        <c:overlap val="100"/>
        <c:axId val="431622896"/>
        <c:axId val="431624072"/>
      </c:barChart>
      <c:catAx>
        <c:axId val="43162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24072"/>
        <c:crosses val="autoZero"/>
        <c:auto val="1"/>
        <c:lblAlgn val="ctr"/>
        <c:lblOffset val="100"/>
        <c:tickLblSkip val="1"/>
        <c:tickMarkSkip val="1"/>
        <c:noMultiLvlLbl val="0"/>
      </c:catAx>
      <c:valAx>
        <c:axId val="431624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22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1-4228-86C6-172D77467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1-4228-86C6-172D7746781B}"/>
            </c:ext>
          </c:extLst>
        </c:ser>
        <c:dLbls>
          <c:showLegendKey val="0"/>
          <c:showVal val="0"/>
          <c:showCatName val="0"/>
          <c:showSerName val="0"/>
          <c:showPercent val="0"/>
          <c:showBubbleSize val="0"/>
        </c:dLbls>
        <c:gapWidth val="150"/>
        <c:overlap val="100"/>
        <c:axId val="431642104"/>
        <c:axId val="431639360"/>
      </c:barChart>
      <c:catAx>
        <c:axId val="431642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9360"/>
        <c:crosses val="autoZero"/>
        <c:auto val="1"/>
        <c:lblAlgn val="ctr"/>
        <c:lblOffset val="100"/>
        <c:tickLblSkip val="1"/>
        <c:tickMarkSkip val="1"/>
        <c:noMultiLvlLbl val="0"/>
      </c:catAx>
      <c:valAx>
        <c:axId val="431639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2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C1-4EDB-85F2-977796D328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C1-4EDB-85F2-977796D32808}"/>
            </c:ext>
          </c:extLst>
        </c:ser>
        <c:dLbls>
          <c:showLegendKey val="0"/>
          <c:showVal val="0"/>
          <c:showCatName val="0"/>
          <c:showSerName val="0"/>
          <c:showPercent val="0"/>
          <c:showBubbleSize val="0"/>
        </c:dLbls>
        <c:gapWidth val="150"/>
        <c:overlap val="100"/>
        <c:axId val="431641712"/>
        <c:axId val="431642888"/>
      </c:barChart>
      <c:catAx>
        <c:axId val="43164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2888"/>
        <c:crosses val="autoZero"/>
        <c:auto val="1"/>
        <c:lblAlgn val="ctr"/>
        <c:lblOffset val="100"/>
        <c:tickLblSkip val="1"/>
        <c:tickMarkSkip val="1"/>
        <c:noMultiLvlLbl val="0"/>
      </c:catAx>
      <c:valAx>
        <c:axId val="431642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03-4613-92B9-EFC0BA15D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03-4613-92B9-EFC0BA15DF1C}"/>
            </c:ext>
          </c:extLst>
        </c:ser>
        <c:dLbls>
          <c:showLegendKey val="0"/>
          <c:showVal val="0"/>
          <c:showCatName val="0"/>
          <c:showSerName val="0"/>
          <c:showPercent val="0"/>
          <c:showBubbleSize val="0"/>
        </c:dLbls>
        <c:gapWidth val="150"/>
        <c:overlap val="100"/>
        <c:axId val="431637008"/>
        <c:axId val="431644456"/>
      </c:barChart>
      <c:catAx>
        <c:axId val="431637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4456"/>
        <c:crosses val="autoZero"/>
        <c:auto val="1"/>
        <c:lblAlgn val="ctr"/>
        <c:lblOffset val="100"/>
        <c:tickLblSkip val="1"/>
        <c:tickMarkSkip val="1"/>
        <c:noMultiLvlLbl val="0"/>
      </c:catAx>
      <c:valAx>
        <c:axId val="43164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7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79-45A7-9549-61CE036AC3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79-45A7-9549-61CE036AC31D}"/>
            </c:ext>
          </c:extLst>
        </c:ser>
        <c:dLbls>
          <c:showLegendKey val="0"/>
          <c:showVal val="0"/>
          <c:showCatName val="0"/>
          <c:showSerName val="0"/>
          <c:showPercent val="0"/>
          <c:showBubbleSize val="0"/>
        </c:dLbls>
        <c:gapWidth val="150"/>
        <c:overlap val="100"/>
        <c:axId val="431632696"/>
        <c:axId val="431639752"/>
      </c:barChart>
      <c:catAx>
        <c:axId val="431632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39752"/>
        <c:crosses val="autoZero"/>
        <c:auto val="1"/>
        <c:lblAlgn val="ctr"/>
        <c:lblOffset val="100"/>
        <c:tickLblSkip val="1"/>
        <c:tickMarkSkip val="1"/>
        <c:noMultiLvlLbl val="0"/>
      </c:catAx>
      <c:valAx>
        <c:axId val="431639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26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65-45CA-8A41-0EF6640FE2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65-45CA-8A41-0EF6640FE294}"/>
            </c:ext>
          </c:extLst>
        </c:ser>
        <c:dLbls>
          <c:showLegendKey val="0"/>
          <c:showVal val="0"/>
          <c:showCatName val="0"/>
          <c:showSerName val="0"/>
          <c:showPercent val="0"/>
          <c:showBubbleSize val="0"/>
        </c:dLbls>
        <c:gapWidth val="150"/>
        <c:overlap val="100"/>
        <c:axId val="431637792"/>
        <c:axId val="431640144"/>
      </c:barChart>
      <c:catAx>
        <c:axId val="431637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0144"/>
        <c:crosses val="autoZero"/>
        <c:auto val="1"/>
        <c:lblAlgn val="ctr"/>
        <c:lblOffset val="100"/>
        <c:tickLblSkip val="1"/>
        <c:tickMarkSkip val="1"/>
        <c:noMultiLvlLbl val="0"/>
      </c:catAx>
      <c:valAx>
        <c:axId val="431640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7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25-45B9-BCC4-D8EA9C0949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25-45B9-BCC4-D8EA9C0949D9}"/>
            </c:ext>
          </c:extLst>
        </c:ser>
        <c:dLbls>
          <c:showLegendKey val="0"/>
          <c:showVal val="0"/>
          <c:showCatName val="0"/>
          <c:showSerName val="0"/>
          <c:showPercent val="0"/>
          <c:showBubbleSize val="0"/>
        </c:dLbls>
        <c:gapWidth val="150"/>
        <c:overlap val="100"/>
        <c:axId val="431638576"/>
        <c:axId val="431640536"/>
      </c:barChart>
      <c:catAx>
        <c:axId val="431638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0536"/>
        <c:crosses val="autoZero"/>
        <c:auto val="1"/>
        <c:lblAlgn val="ctr"/>
        <c:lblOffset val="100"/>
        <c:tickLblSkip val="1"/>
        <c:tickMarkSkip val="1"/>
        <c:noMultiLvlLbl val="0"/>
      </c:catAx>
      <c:valAx>
        <c:axId val="431640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38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48-49C9-904E-9BF12BCE54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48-49C9-904E-9BF12BCE54DF}"/>
            </c:ext>
          </c:extLst>
        </c:ser>
        <c:dLbls>
          <c:showLegendKey val="0"/>
          <c:showVal val="0"/>
          <c:showCatName val="0"/>
          <c:showSerName val="0"/>
          <c:showPercent val="0"/>
          <c:showBubbleSize val="0"/>
        </c:dLbls>
        <c:gapWidth val="150"/>
        <c:overlap val="100"/>
        <c:axId val="431648376"/>
        <c:axId val="431645240"/>
      </c:barChart>
      <c:catAx>
        <c:axId val="43164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5240"/>
        <c:crosses val="autoZero"/>
        <c:auto val="1"/>
        <c:lblAlgn val="ctr"/>
        <c:lblOffset val="100"/>
        <c:tickLblSkip val="1"/>
        <c:tickMarkSkip val="1"/>
        <c:noMultiLvlLbl val="0"/>
      </c:catAx>
      <c:valAx>
        <c:axId val="43164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61-4E94-9B59-E18AEFC698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61-4E94-9B59-E18AEFC69825}"/>
            </c:ext>
          </c:extLst>
        </c:ser>
        <c:dLbls>
          <c:showLegendKey val="0"/>
          <c:showVal val="0"/>
          <c:showCatName val="0"/>
          <c:showSerName val="0"/>
          <c:showPercent val="0"/>
          <c:showBubbleSize val="0"/>
        </c:dLbls>
        <c:gapWidth val="150"/>
        <c:overlap val="100"/>
        <c:axId val="431647200"/>
        <c:axId val="431647592"/>
      </c:barChart>
      <c:catAx>
        <c:axId val="431647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47592"/>
        <c:crosses val="autoZero"/>
        <c:auto val="1"/>
        <c:lblAlgn val="ctr"/>
        <c:lblOffset val="100"/>
        <c:tickLblSkip val="1"/>
        <c:tickMarkSkip val="1"/>
        <c:noMultiLvlLbl val="0"/>
      </c:catAx>
      <c:valAx>
        <c:axId val="431647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7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3B-4F3D-AE95-1DC214A1B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3B-4F3D-AE95-1DC214A1B62A}"/>
            </c:ext>
          </c:extLst>
        </c:ser>
        <c:dLbls>
          <c:showLegendKey val="0"/>
          <c:showVal val="0"/>
          <c:showCatName val="0"/>
          <c:showSerName val="0"/>
          <c:showPercent val="0"/>
          <c:showBubbleSize val="0"/>
        </c:dLbls>
        <c:gapWidth val="150"/>
        <c:overlap val="100"/>
        <c:axId val="431649944"/>
        <c:axId val="431650728"/>
      </c:barChart>
      <c:catAx>
        <c:axId val="43164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50728"/>
        <c:crosses val="autoZero"/>
        <c:auto val="1"/>
        <c:lblAlgn val="ctr"/>
        <c:lblOffset val="100"/>
        <c:tickLblSkip val="1"/>
        <c:tickMarkSkip val="1"/>
        <c:noMultiLvlLbl val="0"/>
      </c:catAx>
      <c:valAx>
        <c:axId val="431650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E2-4119-9A48-1AB38637F0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E2-4119-9A48-1AB38637F0E6}"/>
            </c:ext>
          </c:extLst>
        </c:ser>
        <c:dLbls>
          <c:showLegendKey val="0"/>
          <c:showVal val="0"/>
          <c:showCatName val="0"/>
          <c:showSerName val="0"/>
          <c:showPercent val="0"/>
          <c:showBubbleSize val="0"/>
        </c:dLbls>
        <c:gapWidth val="150"/>
        <c:overlap val="100"/>
        <c:axId val="431646024"/>
        <c:axId val="431652296"/>
      </c:barChart>
      <c:catAx>
        <c:axId val="431646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1652296"/>
        <c:crosses val="autoZero"/>
        <c:auto val="1"/>
        <c:lblAlgn val="ctr"/>
        <c:lblOffset val="100"/>
        <c:tickLblSkip val="1"/>
        <c:tickMarkSkip val="1"/>
        <c:noMultiLvlLbl val="0"/>
      </c:catAx>
      <c:valAx>
        <c:axId val="43165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16460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04-4835-AF47-A8DB87D86E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04-4835-AF47-A8DB87D86EE5}"/>
            </c:ext>
          </c:extLst>
        </c:ser>
        <c:dLbls>
          <c:showLegendKey val="0"/>
          <c:showVal val="0"/>
          <c:showCatName val="0"/>
          <c:showSerName val="0"/>
          <c:showPercent val="0"/>
          <c:showBubbleSize val="0"/>
        </c:dLbls>
        <c:gapWidth val="150"/>
        <c:overlap val="100"/>
        <c:axId val="432636504"/>
        <c:axId val="432641600"/>
      </c:barChart>
      <c:catAx>
        <c:axId val="432636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41600"/>
        <c:crosses val="autoZero"/>
        <c:auto val="1"/>
        <c:lblAlgn val="ctr"/>
        <c:lblOffset val="100"/>
        <c:tickLblSkip val="1"/>
        <c:tickMarkSkip val="1"/>
        <c:noMultiLvlLbl val="0"/>
      </c:catAx>
      <c:valAx>
        <c:axId val="432641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6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8-4FA9-BA62-96F8D1E7A8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8-4FA9-BA62-96F8D1E7A81E}"/>
            </c:ext>
          </c:extLst>
        </c:ser>
        <c:dLbls>
          <c:showLegendKey val="0"/>
          <c:showVal val="0"/>
          <c:showCatName val="0"/>
          <c:showSerName val="0"/>
          <c:showPercent val="0"/>
          <c:showBubbleSize val="0"/>
        </c:dLbls>
        <c:gapWidth val="150"/>
        <c:overlap val="100"/>
        <c:axId val="432640424"/>
        <c:axId val="432637288"/>
      </c:barChart>
      <c:catAx>
        <c:axId val="43264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7288"/>
        <c:crosses val="autoZero"/>
        <c:auto val="1"/>
        <c:lblAlgn val="ctr"/>
        <c:lblOffset val="100"/>
        <c:tickLblSkip val="1"/>
        <c:tickMarkSkip val="1"/>
        <c:noMultiLvlLbl val="0"/>
      </c:catAx>
      <c:valAx>
        <c:axId val="43263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4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5B-4B4B-853F-071769458FB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5B-4B4B-853F-071769458FB2}"/>
            </c:ext>
          </c:extLst>
        </c:ser>
        <c:dLbls>
          <c:showLegendKey val="0"/>
          <c:showVal val="0"/>
          <c:showCatName val="0"/>
          <c:showSerName val="0"/>
          <c:showPercent val="0"/>
          <c:showBubbleSize val="0"/>
        </c:dLbls>
        <c:gapWidth val="150"/>
        <c:overlap val="100"/>
        <c:axId val="432637680"/>
        <c:axId val="432638072"/>
      </c:barChart>
      <c:catAx>
        <c:axId val="43263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8072"/>
        <c:crosses val="autoZero"/>
        <c:auto val="1"/>
        <c:lblAlgn val="ctr"/>
        <c:lblOffset val="100"/>
        <c:tickLblSkip val="1"/>
        <c:tickMarkSkip val="1"/>
        <c:noMultiLvlLbl val="0"/>
      </c:catAx>
      <c:valAx>
        <c:axId val="432638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7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5-48BE-B3C1-364ACA37CA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5-48BE-B3C1-364ACA37CA63}"/>
            </c:ext>
          </c:extLst>
        </c:ser>
        <c:dLbls>
          <c:showLegendKey val="0"/>
          <c:showVal val="0"/>
          <c:showCatName val="0"/>
          <c:showSerName val="0"/>
          <c:showPercent val="0"/>
          <c:showBubbleSize val="0"/>
        </c:dLbls>
        <c:gapWidth val="150"/>
        <c:overlap val="100"/>
        <c:axId val="432639248"/>
        <c:axId val="432639640"/>
      </c:barChart>
      <c:catAx>
        <c:axId val="432639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9640"/>
        <c:crosses val="autoZero"/>
        <c:auto val="1"/>
        <c:lblAlgn val="ctr"/>
        <c:lblOffset val="100"/>
        <c:tickLblSkip val="1"/>
        <c:tickMarkSkip val="1"/>
        <c:noMultiLvlLbl val="0"/>
      </c:catAx>
      <c:valAx>
        <c:axId val="432639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9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AF-4487-AAE4-240AF5CE62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AF-4487-AAE4-240AF5CE62DC}"/>
            </c:ext>
          </c:extLst>
        </c:ser>
        <c:dLbls>
          <c:showLegendKey val="0"/>
          <c:showVal val="0"/>
          <c:showCatName val="0"/>
          <c:showSerName val="0"/>
          <c:showPercent val="0"/>
          <c:showBubbleSize val="0"/>
        </c:dLbls>
        <c:gapWidth val="150"/>
        <c:overlap val="100"/>
        <c:axId val="432613768"/>
        <c:axId val="432612200"/>
      </c:barChart>
      <c:catAx>
        <c:axId val="432613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2200"/>
        <c:crosses val="autoZero"/>
        <c:auto val="1"/>
        <c:lblAlgn val="ctr"/>
        <c:lblOffset val="100"/>
        <c:tickLblSkip val="1"/>
        <c:tickMarkSkip val="1"/>
        <c:noMultiLvlLbl val="0"/>
      </c:catAx>
      <c:valAx>
        <c:axId val="43261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3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AE-4C76-9584-3A437EA6A3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AE-4C76-9584-3A437EA6A360}"/>
            </c:ext>
          </c:extLst>
        </c:ser>
        <c:dLbls>
          <c:showLegendKey val="0"/>
          <c:showVal val="0"/>
          <c:showCatName val="0"/>
          <c:showSerName val="0"/>
          <c:showPercent val="0"/>
          <c:showBubbleSize val="0"/>
        </c:dLbls>
        <c:gapWidth val="150"/>
        <c:overlap val="100"/>
        <c:axId val="432616904"/>
        <c:axId val="432616512"/>
      </c:barChart>
      <c:catAx>
        <c:axId val="43261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6512"/>
        <c:crosses val="autoZero"/>
        <c:auto val="1"/>
        <c:lblAlgn val="ctr"/>
        <c:lblOffset val="100"/>
        <c:tickLblSkip val="1"/>
        <c:tickMarkSkip val="1"/>
        <c:noMultiLvlLbl val="0"/>
      </c:catAx>
      <c:valAx>
        <c:axId val="432616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F7-42E5-9D18-85543763C7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F7-42E5-9D18-85543763C779}"/>
            </c:ext>
          </c:extLst>
        </c:ser>
        <c:dLbls>
          <c:showLegendKey val="0"/>
          <c:showVal val="0"/>
          <c:showCatName val="0"/>
          <c:showSerName val="0"/>
          <c:showPercent val="0"/>
          <c:showBubbleSize val="0"/>
        </c:dLbls>
        <c:gapWidth val="150"/>
        <c:overlap val="100"/>
        <c:axId val="432623568"/>
        <c:axId val="432621608"/>
      </c:barChart>
      <c:catAx>
        <c:axId val="43262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21608"/>
        <c:crosses val="autoZero"/>
        <c:auto val="1"/>
        <c:lblAlgn val="ctr"/>
        <c:lblOffset val="100"/>
        <c:tickLblSkip val="1"/>
        <c:tickMarkSkip val="1"/>
        <c:noMultiLvlLbl val="0"/>
      </c:catAx>
      <c:valAx>
        <c:axId val="432621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3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B4-42ED-90C1-0C5681CE91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B4-42ED-90C1-0C5681CE9148}"/>
            </c:ext>
          </c:extLst>
        </c:ser>
        <c:dLbls>
          <c:showLegendKey val="0"/>
          <c:showVal val="0"/>
          <c:showCatName val="0"/>
          <c:showSerName val="0"/>
          <c:showPercent val="0"/>
          <c:showBubbleSize val="0"/>
        </c:dLbls>
        <c:gapWidth val="150"/>
        <c:overlap val="100"/>
        <c:axId val="432620432"/>
        <c:axId val="432617688"/>
      </c:barChart>
      <c:catAx>
        <c:axId val="432620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7688"/>
        <c:crosses val="autoZero"/>
        <c:auto val="1"/>
        <c:lblAlgn val="ctr"/>
        <c:lblOffset val="100"/>
        <c:tickLblSkip val="1"/>
        <c:tickMarkSkip val="1"/>
        <c:noMultiLvlLbl val="0"/>
      </c:catAx>
      <c:valAx>
        <c:axId val="43261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0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F-4631-93A6-D3ECAFD7FA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F-4631-93A6-D3ECAFD7FAFC}"/>
            </c:ext>
          </c:extLst>
        </c:ser>
        <c:dLbls>
          <c:showLegendKey val="0"/>
          <c:showVal val="0"/>
          <c:showCatName val="0"/>
          <c:showSerName val="0"/>
          <c:showPercent val="0"/>
          <c:showBubbleSize val="0"/>
        </c:dLbls>
        <c:gapWidth val="150"/>
        <c:overlap val="100"/>
        <c:axId val="432622000"/>
        <c:axId val="432614944"/>
      </c:barChart>
      <c:catAx>
        <c:axId val="432622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4944"/>
        <c:crosses val="autoZero"/>
        <c:auto val="1"/>
        <c:lblAlgn val="ctr"/>
        <c:lblOffset val="100"/>
        <c:tickLblSkip val="1"/>
        <c:tickMarkSkip val="1"/>
        <c:noMultiLvlLbl val="0"/>
      </c:catAx>
      <c:valAx>
        <c:axId val="432614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2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32-4912-B19F-89B99B8C8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32-4912-B19F-89B99B8C87AF}"/>
            </c:ext>
          </c:extLst>
        </c:ser>
        <c:dLbls>
          <c:showLegendKey val="0"/>
          <c:showVal val="0"/>
          <c:showCatName val="0"/>
          <c:showSerName val="0"/>
          <c:showPercent val="0"/>
          <c:showBubbleSize val="0"/>
        </c:dLbls>
        <c:gapWidth val="150"/>
        <c:overlap val="100"/>
        <c:axId val="432615728"/>
        <c:axId val="432618864"/>
      </c:barChart>
      <c:catAx>
        <c:axId val="43261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18864"/>
        <c:crosses val="autoZero"/>
        <c:auto val="1"/>
        <c:lblAlgn val="ctr"/>
        <c:lblOffset val="100"/>
        <c:tickLblSkip val="1"/>
        <c:tickMarkSkip val="1"/>
        <c:noMultiLvlLbl val="0"/>
      </c:catAx>
      <c:valAx>
        <c:axId val="432618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1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17-4840-AE60-B9D0B1C37A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17-4840-AE60-B9D0B1C37A27}"/>
            </c:ext>
          </c:extLst>
        </c:ser>
        <c:dLbls>
          <c:showLegendKey val="0"/>
          <c:showVal val="0"/>
          <c:showCatName val="0"/>
          <c:showSerName val="0"/>
          <c:showPercent val="0"/>
          <c:showBubbleSize val="0"/>
        </c:dLbls>
        <c:gapWidth val="150"/>
        <c:overlap val="100"/>
        <c:axId val="432630624"/>
        <c:axId val="432631800"/>
      </c:barChart>
      <c:catAx>
        <c:axId val="43263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1800"/>
        <c:crosses val="autoZero"/>
        <c:auto val="1"/>
        <c:lblAlgn val="ctr"/>
        <c:lblOffset val="100"/>
        <c:tickLblSkip val="1"/>
        <c:tickMarkSkip val="1"/>
        <c:noMultiLvlLbl val="0"/>
      </c:catAx>
      <c:valAx>
        <c:axId val="43263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0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55-4B60-88DB-767BA6454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55-4B60-88DB-767BA6454124}"/>
            </c:ext>
          </c:extLst>
        </c:ser>
        <c:dLbls>
          <c:showLegendKey val="0"/>
          <c:showVal val="0"/>
          <c:showCatName val="0"/>
          <c:showSerName val="0"/>
          <c:showPercent val="0"/>
          <c:showBubbleSize val="0"/>
        </c:dLbls>
        <c:gapWidth val="150"/>
        <c:overlap val="100"/>
        <c:axId val="432634936"/>
        <c:axId val="432631016"/>
      </c:barChart>
      <c:catAx>
        <c:axId val="432634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1016"/>
        <c:crosses val="autoZero"/>
        <c:auto val="1"/>
        <c:lblAlgn val="ctr"/>
        <c:lblOffset val="100"/>
        <c:tickLblSkip val="1"/>
        <c:tickMarkSkip val="1"/>
        <c:noMultiLvlLbl val="0"/>
      </c:catAx>
      <c:valAx>
        <c:axId val="43263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4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52-4797-A5FB-A596CDB5DC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52-4797-A5FB-A596CDB5DCD3}"/>
            </c:ext>
          </c:extLst>
        </c:ser>
        <c:dLbls>
          <c:showLegendKey val="0"/>
          <c:showVal val="0"/>
          <c:showCatName val="0"/>
          <c:showSerName val="0"/>
          <c:showPercent val="0"/>
          <c:showBubbleSize val="0"/>
        </c:dLbls>
        <c:gapWidth val="150"/>
        <c:overlap val="100"/>
        <c:axId val="432628272"/>
        <c:axId val="432632192"/>
      </c:barChart>
      <c:catAx>
        <c:axId val="432628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2192"/>
        <c:crosses val="autoZero"/>
        <c:auto val="1"/>
        <c:lblAlgn val="ctr"/>
        <c:lblOffset val="100"/>
        <c:tickLblSkip val="1"/>
        <c:tickMarkSkip val="1"/>
        <c:noMultiLvlLbl val="0"/>
      </c:catAx>
      <c:valAx>
        <c:axId val="43263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8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A8-4B8B-97EF-642BD71BEFB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A8-4B8B-97EF-642BD71BEFBB}"/>
            </c:ext>
          </c:extLst>
        </c:ser>
        <c:dLbls>
          <c:showLegendKey val="0"/>
          <c:showVal val="0"/>
          <c:showCatName val="0"/>
          <c:showSerName val="0"/>
          <c:showPercent val="0"/>
          <c:showBubbleSize val="0"/>
        </c:dLbls>
        <c:gapWidth val="150"/>
        <c:overlap val="100"/>
        <c:axId val="432629448"/>
        <c:axId val="432633760"/>
      </c:barChart>
      <c:catAx>
        <c:axId val="432629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3760"/>
        <c:crosses val="autoZero"/>
        <c:auto val="1"/>
        <c:lblAlgn val="ctr"/>
        <c:lblOffset val="100"/>
        <c:tickLblSkip val="1"/>
        <c:tickMarkSkip val="1"/>
        <c:noMultiLvlLbl val="0"/>
      </c:catAx>
      <c:valAx>
        <c:axId val="432633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9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13-4DA7-B5DB-44982998F0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13-4DA7-B5DB-44982998F099}"/>
            </c:ext>
          </c:extLst>
        </c:ser>
        <c:dLbls>
          <c:showLegendKey val="0"/>
          <c:showVal val="0"/>
          <c:showCatName val="0"/>
          <c:showSerName val="0"/>
          <c:showPercent val="0"/>
          <c:showBubbleSize val="0"/>
        </c:dLbls>
        <c:gapWidth val="150"/>
        <c:overlap val="100"/>
        <c:axId val="432634152"/>
        <c:axId val="432635328"/>
      </c:barChart>
      <c:catAx>
        <c:axId val="432634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35328"/>
        <c:crosses val="autoZero"/>
        <c:auto val="1"/>
        <c:lblAlgn val="ctr"/>
        <c:lblOffset val="100"/>
        <c:tickLblSkip val="1"/>
        <c:tickMarkSkip val="1"/>
        <c:noMultiLvlLbl val="0"/>
      </c:catAx>
      <c:valAx>
        <c:axId val="43263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34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6D-4564-AED4-4A94379FD4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6D-4564-AED4-4A94379FD4DE}"/>
            </c:ext>
          </c:extLst>
        </c:ser>
        <c:dLbls>
          <c:showLegendKey val="0"/>
          <c:showVal val="0"/>
          <c:showCatName val="0"/>
          <c:showSerName val="0"/>
          <c:showPercent val="0"/>
          <c:showBubbleSize val="0"/>
        </c:dLbls>
        <c:gapWidth val="150"/>
        <c:overlap val="100"/>
        <c:axId val="432623960"/>
        <c:axId val="432624352"/>
      </c:barChart>
      <c:catAx>
        <c:axId val="432623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2624352"/>
        <c:crosses val="autoZero"/>
        <c:auto val="1"/>
        <c:lblAlgn val="ctr"/>
        <c:lblOffset val="100"/>
        <c:tickLblSkip val="1"/>
        <c:tickMarkSkip val="1"/>
        <c:noMultiLvlLbl val="0"/>
      </c:catAx>
      <c:valAx>
        <c:axId val="432624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3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DF-46D8-9A25-15B13C4586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DF-46D8-9A25-15B13C4586E4}"/>
            </c:ext>
          </c:extLst>
        </c:ser>
        <c:dLbls>
          <c:showLegendKey val="0"/>
          <c:showVal val="0"/>
          <c:showCatName val="0"/>
          <c:showSerName val="0"/>
          <c:showPercent val="0"/>
          <c:showBubbleSize val="0"/>
        </c:dLbls>
        <c:gapWidth val="150"/>
        <c:overlap val="100"/>
        <c:axId val="432626312"/>
        <c:axId val="433960088"/>
      </c:barChart>
      <c:catAx>
        <c:axId val="432626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0088"/>
        <c:crosses val="autoZero"/>
        <c:auto val="1"/>
        <c:lblAlgn val="ctr"/>
        <c:lblOffset val="100"/>
        <c:tickLblSkip val="1"/>
        <c:tickMarkSkip val="1"/>
        <c:noMultiLvlLbl val="0"/>
      </c:catAx>
      <c:valAx>
        <c:axId val="43396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2626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F1-4F2A-8F9A-1A70A2698E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F1-4F2A-8F9A-1A70A2698E13}"/>
            </c:ext>
          </c:extLst>
        </c:ser>
        <c:dLbls>
          <c:showLegendKey val="0"/>
          <c:showVal val="0"/>
          <c:showCatName val="0"/>
          <c:showSerName val="0"/>
          <c:showPercent val="0"/>
          <c:showBubbleSize val="0"/>
        </c:dLbls>
        <c:gapWidth val="150"/>
        <c:overlap val="100"/>
        <c:axId val="433951072"/>
        <c:axId val="433957736"/>
      </c:barChart>
      <c:catAx>
        <c:axId val="43395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7736"/>
        <c:crosses val="autoZero"/>
        <c:auto val="1"/>
        <c:lblAlgn val="ctr"/>
        <c:lblOffset val="100"/>
        <c:tickLblSkip val="1"/>
        <c:tickMarkSkip val="1"/>
        <c:noMultiLvlLbl val="0"/>
      </c:catAx>
      <c:valAx>
        <c:axId val="433957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10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81-4A2A-B51F-6B7D4B09570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81-4A2A-B51F-6B7D4B095702}"/>
            </c:ext>
          </c:extLst>
        </c:ser>
        <c:dLbls>
          <c:showLegendKey val="0"/>
          <c:showVal val="0"/>
          <c:showCatName val="0"/>
          <c:showSerName val="0"/>
          <c:showPercent val="0"/>
          <c:showBubbleSize val="0"/>
        </c:dLbls>
        <c:gapWidth val="150"/>
        <c:overlap val="100"/>
        <c:axId val="433951856"/>
        <c:axId val="433963224"/>
      </c:barChart>
      <c:catAx>
        <c:axId val="43395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3224"/>
        <c:crosses val="autoZero"/>
        <c:auto val="1"/>
        <c:lblAlgn val="ctr"/>
        <c:lblOffset val="100"/>
        <c:tickLblSkip val="1"/>
        <c:tickMarkSkip val="1"/>
        <c:noMultiLvlLbl val="0"/>
      </c:catAx>
      <c:valAx>
        <c:axId val="433963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1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36-4089-B586-8789B089F5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36-4089-B586-8789B089F59E}"/>
            </c:ext>
          </c:extLst>
        </c:ser>
        <c:dLbls>
          <c:showLegendKey val="0"/>
          <c:showVal val="0"/>
          <c:showCatName val="0"/>
          <c:showSerName val="0"/>
          <c:showPercent val="0"/>
          <c:showBubbleSize val="0"/>
        </c:dLbls>
        <c:gapWidth val="150"/>
        <c:overlap val="100"/>
        <c:axId val="433958128"/>
        <c:axId val="433962440"/>
      </c:barChart>
      <c:catAx>
        <c:axId val="433958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2440"/>
        <c:crosses val="autoZero"/>
        <c:auto val="1"/>
        <c:lblAlgn val="ctr"/>
        <c:lblOffset val="100"/>
        <c:tickLblSkip val="1"/>
        <c:tickMarkSkip val="1"/>
        <c:noMultiLvlLbl val="0"/>
      </c:catAx>
      <c:valAx>
        <c:axId val="433962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8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D-45C7-B566-43014A9CD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D-45C7-B566-43014A9CD6E9}"/>
            </c:ext>
          </c:extLst>
        </c:ser>
        <c:dLbls>
          <c:showLegendKey val="0"/>
          <c:showVal val="0"/>
          <c:showCatName val="0"/>
          <c:showSerName val="0"/>
          <c:showPercent val="0"/>
          <c:showBubbleSize val="0"/>
        </c:dLbls>
        <c:gapWidth val="150"/>
        <c:overlap val="100"/>
        <c:axId val="433957344"/>
        <c:axId val="433958912"/>
      </c:barChart>
      <c:catAx>
        <c:axId val="43395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8912"/>
        <c:crosses val="autoZero"/>
        <c:auto val="1"/>
        <c:lblAlgn val="ctr"/>
        <c:lblOffset val="100"/>
        <c:tickLblSkip val="1"/>
        <c:tickMarkSkip val="1"/>
        <c:noMultiLvlLbl val="0"/>
      </c:catAx>
      <c:valAx>
        <c:axId val="43395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9A-488D-8E30-110C493553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9A-488D-8E30-110C493553A6}"/>
            </c:ext>
          </c:extLst>
        </c:ser>
        <c:dLbls>
          <c:showLegendKey val="0"/>
          <c:showVal val="0"/>
          <c:showCatName val="0"/>
          <c:showSerName val="0"/>
          <c:showPercent val="0"/>
          <c:showBubbleSize val="0"/>
        </c:dLbls>
        <c:gapWidth val="150"/>
        <c:overlap val="100"/>
        <c:axId val="433953424"/>
        <c:axId val="433959304"/>
      </c:barChart>
      <c:catAx>
        <c:axId val="433953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59304"/>
        <c:crosses val="autoZero"/>
        <c:auto val="1"/>
        <c:lblAlgn val="ctr"/>
        <c:lblOffset val="100"/>
        <c:tickLblSkip val="1"/>
        <c:tickMarkSkip val="1"/>
        <c:noMultiLvlLbl val="0"/>
      </c:catAx>
      <c:valAx>
        <c:axId val="43395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3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49-4D38-94FA-08873237BE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49-4D38-94FA-08873237BE0A}"/>
            </c:ext>
          </c:extLst>
        </c:ser>
        <c:dLbls>
          <c:showLegendKey val="0"/>
          <c:showVal val="0"/>
          <c:showCatName val="0"/>
          <c:showSerName val="0"/>
          <c:showPercent val="0"/>
          <c:showBubbleSize val="0"/>
        </c:dLbls>
        <c:gapWidth val="150"/>
        <c:overlap val="100"/>
        <c:axId val="433954208"/>
        <c:axId val="433962048"/>
      </c:barChart>
      <c:catAx>
        <c:axId val="433954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2048"/>
        <c:crosses val="autoZero"/>
        <c:auto val="1"/>
        <c:lblAlgn val="ctr"/>
        <c:lblOffset val="100"/>
        <c:tickLblSkip val="1"/>
        <c:tickMarkSkip val="1"/>
        <c:noMultiLvlLbl val="0"/>
      </c:catAx>
      <c:valAx>
        <c:axId val="433962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54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6D-4EE4-9086-05F3D69952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6D-4EE4-9086-05F3D699527A}"/>
            </c:ext>
          </c:extLst>
        </c:ser>
        <c:dLbls>
          <c:showLegendKey val="0"/>
          <c:showVal val="0"/>
          <c:showCatName val="0"/>
          <c:showSerName val="0"/>
          <c:showPercent val="0"/>
          <c:showBubbleSize val="0"/>
        </c:dLbls>
        <c:gapWidth val="150"/>
        <c:overlap val="100"/>
        <c:axId val="433967928"/>
        <c:axId val="433965576"/>
      </c:barChart>
      <c:catAx>
        <c:axId val="433967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5576"/>
        <c:crosses val="autoZero"/>
        <c:auto val="1"/>
        <c:lblAlgn val="ctr"/>
        <c:lblOffset val="100"/>
        <c:tickLblSkip val="1"/>
        <c:tickMarkSkip val="1"/>
        <c:noMultiLvlLbl val="0"/>
      </c:catAx>
      <c:valAx>
        <c:axId val="433965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7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0A-479A-9C41-873834C1C7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0A-479A-9C41-873834C1C7E4}"/>
            </c:ext>
          </c:extLst>
        </c:ser>
        <c:dLbls>
          <c:showLegendKey val="0"/>
          <c:showVal val="0"/>
          <c:showCatName val="0"/>
          <c:showSerName val="0"/>
          <c:showPercent val="0"/>
          <c:showBubbleSize val="0"/>
        </c:dLbls>
        <c:gapWidth val="150"/>
        <c:overlap val="100"/>
        <c:axId val="433969888"/>
        <c:axId val="433965184"/>
      </c:barChart>
      <c:catAx>
        <c:axId val="433969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5184"/>
        <c:crosses val="autoZero"/>
        <c:auto val="1"/>
        <c:lblAlgn val="ctr"/>
        <c:lblOffset val="100"/>
        <c:tickLblSkip val="1"/>
        <c:tickMarkSkip val="1"/>
        <c:noMultiLvlLbl val="0"/>
      </c:catAx>
      <c:valAx>
        <c:axId val="433965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9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20-437D-90A1-25B37532C7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20-437D-90A1-25B37532C725}"/>
            </c:ext>
          </c:extLst>
        </c:ser>
        <c:dLbls>
          <c:showLegendKey val="0"/>
          <c:showVal val="0"/>
          <c:showCatName val="0"/>
          <c:showSerName val="0"/>
          <c:showPercent val="0"/>
          <c:showBubbleSize val="0"/>
        </c:dLbls>
        <c:gapWidth val="150"/>
        <c:overlap val="100"/>
        <c:axId val="433964008"/>
        <c:axId val="433970280"/>
      </c:barChart>
      <c:catAx>
        <c:axId val="433964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70280"/>
        <c:crosses val="autoZero"/>
        <c:auto val="1"/>
        <c:lblAlgn val="ctr"/>
        <c:lblOffset val="100"/>
        <c:tickLblSkip val="1"/>
        <c:tickMarkSkip val="1"/>
        <c:noMultiLvlLbl val="0"/>
      </c:catAx>
      <c:valAx>
        <c:axId val="433970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4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F-4BBE-A501-46FC9A845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F-4BBE-A501-46FC9A845AFD}"/>
            </c:ext>
          </c:extLst>
        </c:ser>
        <c:dLbls>
          <c:showLegendKey val="0"/>
          <c:showVal val="0"/>
          <c:showCatName val="0"/>
          <c:showSerName val="0"/>
          <c:showPercent val="0"/>
          <c:showBubbleSize val="0"/>
        </c:dLbls>
        <c:gapWidth val="150"/>
        <c:overlap val="100"/>
        <c:axId val="433963616"/>
        <c:axId val="433964792"/>
      </c:barChart>
      <c:catAx>
        <c:axId val="43396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64792"/>
        <c:crosses val="autoZero"/>
        <c:auto val="1"/>
        <c:lblAlgn val="ctr"/>
        <c:lblOffset val="100"/>
        <c:tickLblSkip val="1"/>
        <c:tickMarkSkip val="1"/>
        <c:noMultiLvlLbl val="0"/>
      </c:catAx>
      <c:valAx>
        <c:axId val="433964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6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93-41B2-BA1E-FDE0A5ABF8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93-41B2-BA1E-FDE0A5ABF854}"/>
            </c:ext>
          </c:extLst>
        </c:ser>
        <c:dLbls>
          <c:showLegendKey val="0"/>
          <c:showVal val="0"/>
          <c:showCatName val="0"/>
          <c:showSerName val="0"/>
          <c:showPercent val="0"/>
          <c:showBubbleSize val="0"/>
        </c:dLbls>
        <c:gapWidth val="150"/>
        <c:overlap val="100"/>
        <c:axId val="433945192"/>
        <c:axId val="433945976"/>
      </c:barChart>
      <c:catAx>
        <c:axId val="43394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5976"/>
        <c:crosses val="autoZero"/>
        <c:auto val="1"/>
        <c:lblAlgn val="ctr"/>
        <c:lblOffset val="100"/>
        <c:tickLblSkip val="1"/>
        <c:tickMarkSkip val="1"/>
        <c:noMultiLvlLbl val="0"/>
      </c:catAx>
      <c:valAx>
        <c:axId val="433945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05-486A-9650-698227418E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05-486A-9650-698227418E32}"/>
            </c:ext>
          </c:extLst>
        </c:ser>
        <c:dLbls>
          <c:showLegendKey val="0"/>
          <c:showVal val="0"/>
          <c:showCatName val="0"/>
          <c:showSerName val="0"/>
          <c:showPercent val="0"/>
          <c:showBubbleSize val="0"/>
        </c:dLbls>
        <c:gapWidth val="150"/>
        <c:overlap val="100"/>
        <c:axId val="433938528"/>
        <c:axId val="433946368"/>
      </c:barChart>
      <c:catAx>
        <c:axId val="43393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6368"/>
        <c:crosses val="autoZero"/>
        <c:auto val="1"/>
        <c:lblAlgn val="ctr"/>
        <c:lblOffset val="100"/>
        <c:tickLblSkip val="1"/>
        <c:tickMarkSkip val="1"/>
        <c:noMultiLvlLbl val="0"/>
      </c:catAx>
      <c:valAx>
        <c:axId val="43394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3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2D-49C6-BD5D-AC4C87386B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2D-49C6-BD5D-AC4C87386BE6}"/>
            </c:ext>
          </c:extLst>
        </c:ser>
        <c:dLbls>
          <c:showLegendKey val="0"/>
          <c:showVal val="0"/>
          <c:showCatName val="0"/>
          <c:showSerName val="0"/>
          <c:showPercent val="0"/>
          <c:showBubbleSize val="0"/>
        </c:dLbls>
        <c:gapWidth val="150"/>
        <c:overlap val="100"/>
        <c:axId val="433940096"/>
        <c:axId val="433946760"/>
      </c:barChart>
      <c:catAx>
        <c:axId val="43394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6760"/>
        <c:crosses val="autoZero"/>
        <c:auto val="1"/>
        <c:lblAlgn val="ctr"/>
        <c:lblOffset val="100"/>
        <c:tickLblSkip val="1"/>
        <c:tickMarkSkip val="1"/>
        <c:noMultiLvlLbl val="0"/>
      </c:catAx>
      <c:valAx>
        <c:axId val="433946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78-4E35-B797-8C51F827C7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78-4E35-B797-8C51F827C782}"/>
            </c:ext>
          </c:extLst>
        </c:ser>
        <c:dLbls>
          <c:showLegendKey val="0"/>
          <c:showVal val="0"/>
          <c:showCatName val="0"/>
          <c:showSerName val="0"/>
          <c:showPercent val="0"/>
          <c:showBubbleSize val="0"/>
        </c:dLbls>
        <c:gapWidth val="150"/>
        <c:overlap val="100"/>
        <c:axId val="433947152"/>
        <c:axId val="433939312"/>
      </c:barChart>
      <c:catAx>
        <c:axId val="433947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39312"/>
        <c:crosses val="autoZero"/>
        <c:auto val="1"/>
        <c:lblAlgn val="ctr"/>
        <c:lblOffset val="100"/>
        <c:tickLblSkip val="1"/>
        <c:tickMarkSkip val="1"/>
        <c:noMultiLvlLbl val="0"/>
      </c:catAx>
      <c:valAx>
        <c:axId val="433939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7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AE-4844-AFD1-57505622FE9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AE-4844-AFD1-57505622FE94}"/>
            </c:ext>
          </c:extLst>
        </c:ser>
        <c:dLbls>
          <c:showLegendKey val="0"/>
          <c:showVal val="0"/>
          <c:showCatName val="0"/>
          <c:showSerName val="0"/>
          <c:showPercent val="0"/>
          <c:showBubbleSize val="0"/>
        </c:dLbls>
        <c:gapWidth val="150"/>
        <c:overlap val="100"/>
        <c:axId val="433947544"/>
        <c:axId val="433948328"/>
      </c:barChart>
      <c:catAx>
        <c:axId val="433947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8328"/>
        <c:crosses val="autoZero"/>
        <c:auto val="1"/>
        <c:lblAlgn val="ctr"/>
        <c:lblOffset val="100"/>
        <c:tickLblSkip val="1"/>
        <c:tickMarkSkip val="1"/>
        <c:noMultiLvlLbl val="0"/>
      </c:catAx>
      <c:valAx>
        <c:axId val="433948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7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F4-4568-8A1F-1B33206E82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F4-4568-8A1F-1B33206E8231}"/>
            </c:ext>
          </c:extLst>
        </c:ser>
        <c:dLbls>
          <c:showLegendKey val="0"/>
          <c:showVal val="0"/>
          <c:showCatName val="0"/>
          <c:showSerName val="0"/>
          <c:showPercent val="0"/>
          <c:showBubbleSize val="0"/>
        </c:dLbls>
        <c:gapWidth val="150"/>
        <c:overlap val="100"/>
        <c:axId val="433942840"/>
        <c:axId val="433943232"/>
      </c:barChart>
      <c:catAx>
        <c:axId val="43394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3943232"/>
        <c:crosses val="autoZero"/>
        <c:auto val="1"/>
        <c:lblAlgn val="ctr"/>
        <c:lblOffset val="100"/>
        <c:tickLblSkip val="1"/>
        <c:tickMarkSkip val="1"/>
        <c:noMultiLvlLbl val="0"/>
      </c:catAx>
      <c:valAx>
        <c:axId val="43394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394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A7-4982-AA37-B6F2774CCE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A7-4982-AA37-B6F2774CCEAB}"/>
            </c:ext>
          </c:extLst>
        </c:ser>
        <c:dLbls>
          <c:showLegendKey val="0"/>
          <c:showVal val="0"/>
          <c:showCatName val="0"/>
          <c:showSerName val="0"/>
          <c:showPercent val="0"/>
          <c:showBubbleSize val="0"/>
        </c:dLbls>
        <c:gapWidth val="150"/>
        <c:overlap val="100"/>
        <c:axId val="434258984"/>
        <c:axId val="434262904"/>
      </c:barChart>
      <c:catAx>
        <c:axId val="43425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2904"/>
        <c:crosses val="autoZero"/>
        <c:auto val="1"/>
        <c:lblAlgn val="ctr"/>
        <c:lblOffset val="100"/>
        <c:tickLblSkip val="1"/>
        <c:tickMarkSkip val="1"/>
        <c:noMultiLvlLbl val="0"/>
      </c:catAx>
      <c:valAx>
        <c:axId val="434262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8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E2-491A-B684-9C0FFB375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E2-491A-B684-9C0FFB375D73}"/>
            </c:ext>
          </c:extLst>
        </c:ser>
        <c:dLbls>
          <c:showLegendKey val="0"/>
          <c:showVal val="0"/>
          <c:showCatName val="0"/>
          <c:showSerName val="0"/>
          <c:showPercent val="0"/>
          <c:showBubbleSize val="0"/>
        </c:dLbls>
        <c:gapWidth val="150"/>
        <c:overlap val="100"/>
        <c:axId val="434260160"/>
        <c:axId val="434265648"/>
      </c:barChart>
      <c:catAx>
        <c:axId val="434260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5648"/>
        <c:crosses val="autoZero"/>
        <c:auto val="1"/>
        <c:lblAlgn val="ctr"/>
        <c:lblOffset val="100"/>
        <c:tickLblSkip val="1"/>
        <c:tickMarkSkip val="1"/>
        <c:noMultiLvlLbl val="0"/>
      </c:catAx>
      <c:valAx>
        <c:axId val="434265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60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14-4CFC-AE18-15BF719671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14-4CFC-AE18-15BF7196713B}"/>
            </c:ext>
          </c:extLst>
        </c:ser>
        <c:dLbls>
          <c:showLegendKey val="0"/>
          <c:showVal val="0"/>
          <c:showCatName val="0"/>
          <c:showSerName val="0"/>
          <c:showPercent val="0"/>
          <c:showBubbleSize val="0"/>
        </c:dLbls>
        <c:gapWidth val="150"/>
        <c:overlap val="100"/>
        <c:axId val="434264864"/>
        <c:axId val="434263688"/>
      </c:barChart>
      <c:catAx>
        <c:axId val="434264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3688"/>
        <c:crosses val="autoZero"/>
        <c:auto val="1"/>
        <c:lblAlgn val="ctr"/>
        <c:lblOffset val="100"/>
        <c:tickLblSkip val="1"/>
        <c:tickMarkSkip val="1"/>
        <c:noMultiLvlLbl val="0"/>
      </c:catAx>
      <c:valAx>
        <c:axId val="43426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64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0A-43DB-8ECC-CBF4BF68EF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0A-43DB-8ECC-CBF4BF68EF28}"/>
            </c:ext>
          </c:extLst>
        </c:ser>
        <c:dLbls>
          <c:showLegendKey val="0"/>
          <c:showVal val="0"/>
          <c:showCatName val="0"/>
          <c:showSerName val="0"/>
          <c:showPercent val="0"/>
          <c:showBubbleSize val="0"/>
        </c:dLbls>
        <c:gapWidth val="150"/>
        <c:overlap val="100"/>
        <c:axId val="434258592"/>
        <c:axId val="434261336"/>
      </c:barChart>
      <c:catAx>
        <c:axId val="43425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61336"/>
        <c:crosses val="autoZero"/>
        <c:auto val="1"/>
        <c:lblAlgn val="ctr"/>
        <c:lblOffset val="100"/>
        <c:tickLblSkip val="1"/>
        <c:tickMarkSkip val="1"/>
        <c:noMultiLvlLbl val="0"/>
      </c:catAx>
      <c:valAx>
        <c:axId val="434261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7F-418D-8F45-90C456865D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7F-418D-8F45-90C456865DA2}"/>
            </c:ext>
          </c:extLst>
        </c:ser>
        <c:dLbls>
          <c:showLegendKey val="0"/>
          <c:showVal val="0"/>
          <c:showCatName val="0"/>
          <c:showSerName val="0"/>
          <c:showPercent val="0"/>
          <c:showBubbleSize val="0"/>
        </c:dLbls>
        <c:gapWidth val="150"/>
        <c:overlap val="100"/>
        <c:axId val="434233504"/>
        <c:axId val="434240168"/>
      </c:barChart>
      <c:catAx>
        <c:axId val="43423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0168"/>
        <c:crosses val="autoZero"/>
        <c:auto val="1"/>
        <c:lblAlgn val="ctr"/>
        <c:lblOffset val="100"/>
        <c:tickLblSkip val="1"/>
        <c:tickMarkSkip val="1"/>
        <c:noMultiLvlLbl val="0"/>
      </c:catAx>
      <c:valAx>
        <c:axId val="434240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3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7F-4BA1-A4CE-6CCE8EB497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7F-4BA1-A4CE-6CCE8EB4978A}"/>
            </c:ext>
          </c:extLst>
        </c:ser>
        <c:dLbls>
          <c:showLegendKey val="0"/>
          <c:showVal val="0"/>
          <c:showCatName val="0"/>
          <c:showSerName val="0"/>
          <c:showPercent val="0"/>
          <c:showBubbleSize val="0"/>
        </c:dLbls>
        <c:gapWidth val="150"/>
        <c:overlap val="100"/>
        <c:axId val="434238992"/>
        <c:axId val="434237424"/>
      </c:barChart>
      <c:catAx>
        <c:axId val="43423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7424"/>
        <c:crosses val="autoZero"/>
        <c:auto val="1"/>
        <c:lblAlgn val="ctr"/>
        <c:lblOffset val="100"/>
        <c:tickLblSkip val="1"/>
        <c:tickMarkSkip val="1"/>
        <c:noMultiLvlLbl val="0"/>
      </c:catAx>
      <c:valAx>
        <c:axId val="434237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8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0C-4AE5-9CEA-72F447F7B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0C-4AE5-9CEA-72F447F7B724}"/>
            </c:ext>
          </c:extLst>
        </c:ser>
        <c:dLbls>
          <c:showLegendKey val="0"/>
          <c:showVal val="0"/>
          <c:showCatName val="0"/>
          <c:showSerName val="0"/>
          <c:showPercent val="0"/>
          <c:showBubbleSize val="0"/>
        </c:dLbls>
        <c:gapWidth val="150"/>
        <c:overlap val="100"/>
        <c:axId val="434241344"/>
        <c:axId val="434241736"/>
      </c:barChart>
      <c:catAx>
        <c:axId val="434241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1736"/>
        <c:crosses val="autoZero"/>
        <c:auto val="1"/>
        <c:lblAlgn val="ctr"/>
        <c:lblOffset val="100"/>
        <c:tickLblSkip val="1"/>
        <c:tickMarkSkip val="1"/>
        <c:noMultiLvlLbl val="0"/>
      </c:catAx>
      <c:valAx>
        <c:axId val="434241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1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17-4806-AFE6-2B12C3C69C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17-4806-AFE6-2B12C3C69C7C}"/>
            </c:ext>
          </c:extLst>
        </c:ser>
        <c:dLbls>
          <c:showLegendKey val="0"/>
          <c:showVal val="0"/>
          <c:showCatName val="0"/>
          <c:showSerName val="0"/>
          <c:showPercent val="0"/>
          <c:showBubbleSize val="0"/>
        </c:dLbls>
        <c:gapWidth val="150"/>
        <c:overlap val="100"/>
        <c:axId val="434236640"/>
        <c:axId val="434235072"/>
      </c:barChart>
      <c:catAx>
        <c:axId val="43423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5072"/>
        <c:crosses val="autoZero"/>
        <c:auto val="1"/>
        <c:lblAlgn val="ctr"/>
        <c:lblOffset val="100"/>
        <c:tickLblSkip val="1"/>
        <c:tickMarkSkip val="1"/>
        <c:noMultiLvlLbl val="0"/>
      </c:catAx>
      <c:valAx>
        <c:axId val="434235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3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94-456C-8CDF-03B63642082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94-456C-8CDF-03B636420823}"/>
            </c:ext>
          </c:extLst>
        </c:ser>
        <c:dLbls>
          <c:showLegendKey val="0"/>
          <c:showVal val="0"/>
          <c:showCatName val="0"/>
          <c:showSerName val="0"/>
          <c:showPercent val="0"/>
          <c:showBubbleSize val="0"/>
        </c:dLbls>
        <c:gapWidth val="150"/>
        <c:overlap val="100"/>
        <c:axId val="434242520"/>
        <c:axId val="434235464"/>
      </c:barChart>
      <c:catAx>
        <c:axId val="434242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5464"/>
        <c:crosses val="autoZero"/>
        <c:auto val="1"/>
        <c:lblAlgn val="ctr"/>
        <c:lblOffset val="100"/>
        <c:tickLblSkip val="1"/>
        <c:tickMarkSkip val="1"/>
        <c:noMultiLvlLbl val="0"/>
      </c:catAx>
      <c:valAx>
        <c:axId val="434235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2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A4-4863-B74F-D9AED0EFC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A4-4863-B74F-D9AED0EFC9A3}"/>
            </c:ext>
          </c:extLst>
        </c:ser>
        <c:dLbls>
          <c:showLegendKey val="0"/>
          <c:showVal val="0"/>
          <c:showCatName val="0"/>
          <c:showSerName val="0"/>
          <c:showPercent val="0"/>
          <c:showBubbleSize val="0"/>
        </c:dLbls>
        <c:gapWidth val="150"/>
        <c:overlap val="100"/>
        <c:axId val="434243696"/>
        <c:axId val="434237032"/>
      </c:barChart>
      <c:catAx>
        <c:axId val="434243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37032"/>
        <c:crosses val="autoZero"/>
        <c:auto val="1"/>
        <c:lblAlgn val="ctr"/>
        <c:lblOffset val="100"/>
        <c:tickLblSkip val="1"/>
        <c:tickMarkSkip val="1"/>
        <c:noMultiLvlLbl val="0"/>
      </c:catAx>
      <c:valAx>
        <c:axId val="434237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3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39-4FE4-8CC9-F08705EBE4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39-4FE4-8CC9-F08705EBE441}"/>
            </c:ext>
          </c:extLst>
        </c:ser>
        <c:dLbls>
          <c:showLegendKey val="0"/>
          <c:showVal val="0"/>
          <c:showCatName val="0"/>
          <c:showSerName val="0"/>
          <c:showPercent val="0"/>
          <c:showBubbleSize val="0"/>
        </c:dLbls>
        <c:gapWidth val="150"/>
        <c:overlap val="100"/>
        <c:axId val="434253496"/>
        <c:axId val="434247224"/>
      </c:barChart>
      <c:catAx>
        <c:axId val="43425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7224"/>
        <c:crosses val="autoZero"/>
        <c:auto val="1"/>
        <c:lblAlgn val="ctr"/>
        <c:lblOffset val="100"/>
        <c:tickLblSkip val="1"/>
        <c:tickMarkSkip val="1"/>
        <c:noMultiLvlLbl val="0"/>
      </c:catAx>
      <c:valAx>
        <c:axId val="434247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59-42F2-B94A-EFFEBD2D81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59-42F2-B94A-EFFEBD2D81CF}"/>
            </c:ext>
          </c:extLst>
        </c:ser>
        <c:dLbls>
          <c:showLegendKey val="0"/>
          <c:showVal val="0"/>
          <c:showCatName val="0"/>
          <c:showSerName val="0"/>
          <c:showPercent val="0"/>
          <c:showBubbleSize val="0"/>
        </c:dLbls>
        <c:gapWidth val="150"/>
        <c:overlap val="100"/>
        <c:axId val="434246048"/>
        <c:axId val="434248400"/>
      </c:barChart>
      <c:catAx>
        <c:axId val="434246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8400"/>
        <c:crosses val="autoZero"/>
        <c:auto val="1"/>
        <c:lblAlgn val="ctr"/>
        <c:lblOffset val="100"/>
        <c:tickLblSkip val="1"/>
        <c:tickMarkSkip val="1"/>
        <c:noMultiLvlLbl val="0"/>
      </c:catAx>
      <c:valAx>
        <c:axId val="434248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6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189-4943-8380-B7A7B4E63F4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189-4943-8380-B7A7B4E63F49}"/>
            </c:ext>
          </c:extLst>
        </c:ser>
        <c:dLbls>
          <c:showLegendKey val="0"/>
          <c:showVal val="0"/>
          <c:showCatName val="0"/>
          <c:showSerName val="0"/>
          <c:showPercent val="0"/>
          <c:showBubbleSize val="0"/>
        </c:dLbls>
        <c:gapWidth val="150"/>
        <c:overlap val="100"/>
        <c:axId val="434249576"/>
        <c:axId val="434249968"/>
      </c:barChart>
      <c:catAx>
        <c:axId val="43424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49968"/>
        <c:crosses val="autoZero"/>
        <c:auto val="1"/>
        <c:lblAlgn val="ctr"/>
        <c:lblOffset val="100"/>
        <c:tickLblSkip val="1"/>
        <c:tickMarkSkip val="1"/>
        <c:noMultiLvlLbl val="0"/>
      </c:catAx>
      <c:valAx>
        <c:axId val="434249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9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10-424B-AFFD-E07C8B0AB1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10-424B-AFFD-E07C8B0AB1FF}"/>
            </c:ext>
          </c:extLst>
        </c:ser>
        <c:dLbls>
          <c:showLegendKey val="0"/>
          <c:showVal val="0"/>
          <c:showCatName val="0"/>
          <c:showSerName val="0"/>
          <c:showPercent val="0"/>
          <c:showBubbleSize val="0"/>
        </c:dLbls>
        <c:gapWidth val="150"/>
        <c:overlap val="100"/>
        <c:axId val="434251928"/>
        <c:axId val="434252320"/>
      </c:barChart>
      <c:catAx>
        <c:axId val="43425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2320"/>
        <c:crosses val="autoZero"/>
        <c:auto val="1"/>
        <c:lblAlgn val="ctr"/>
        <c:lblOffset val="100"/>
        <c:tickLblSkip val="1"/>
        <c:tickMarkSkip val="1"/>
        <c:noMultiLvlLbl val="0"/>
      </c:catAx>
      <c:valAx>
        <c:axId val="434252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189" r="0.75000000000000189" t="0.98425196899999956" header="0.5" footer="0.5"/>
    <c:pageSetup orientation="portrait"/>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CA-4567-833F-6546DAB8DB3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CA-4567-833F-6546DAB8DB35}"/>
            </c:ext>
          </c:extLst>
        </c:ser>
        <c:dLbls>
          <c:showLegendKey val="0"/>
          <c:showVal val="0"/>
          <c:showCatName val="0"/>
          <c:showSerName val="0"/>
          <c:showPercent val="0"/>
          <c:showBubbleSize val="0"/>
        </c:dLbls>
        <c:smooth val="0"/>
        <c:axId val="434246832"/>
        <c:axId val="434255848"/>
      </c:lineChart>
      <c:catAx>
        <c:axId val="434246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5848"/>
        <c:crosses val="autoZero"/>
        <c:auto val="1"/>
        <c:lblAlgn val="ctr"/>
        <c:lblOffset val="100"/>
        <c:tickLblSkip val="1"/>
        <c:tickMarkSkip val="1"/>
        <c:noMultiLvlLbl val="0"/>
      </c:catAx>
      <c:valAx>
        <c:axId val="434255848"/>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46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31-4B1A-9ACE-D4A42C7400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31-4B1A-9ACE-D4A42C7400EA}"/>
            </c:ext>
          </c:extLst>
        </c:ser>
        <c:dLbls>
          <c:showLegendKey val="0"/>
          <c:showVal val="0"/>
          <c:showCatName val="0"/>
          <c:showSerName val="0"/>
          <c:showPercent val="0"/>
          <c:showBubbleSize val="0"/>
        </c:dLbls>
        <c:smooth val="0"/>
        <c:axId val="434257024"/>
        <c:axId val="434257416"/>
      </c:lineChart>
      <c:catAx>
        <c:axId val="4342570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7416"/>
        <c:crosses val="autoZero"/>
        <c:auto val="1"/>
        <c:lblAlgn val="ctr"/>
        <c:lblOffset val="100"/>
        <c:tickLblSkip val="1"/>
        <c:tickMarkSkip val="1"/>
        <c:noMultiLvlLbl val="0"/>
      </c:catAx>
      <c:valAx>
        <c:axId val="4342574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70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1-4A70-A9A6-FC38AC15887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1-4A70-A9A6-FC38AC158877}"/>
            </c:ext>
          </c:extLst>
        </c:ser>
        <c:dLbls>
          <c:showLegendKey val="0"/>
          <c:showVal val="0"/>
          <c:showCatName val="0"/>
          <c:showSerName val="0"/>
          <c:showPercent val="0"/>
          <c:showBubbleSize val="0"/>
        </c:dLbls>
        <c:smooth val="0"/>
        <c:axId val="434251144"/>
        <c:axId val="434251536"/>
      </c:lineChart>
      <c:catAx>
        <c:axId val="434251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4251536"/>
        <c:crosses val="autoZero"/>
        <c:auto val="1"/>
        <c:lblAlgn val="ctr"/>
        <c:lblOffset val="100"/>
        <c:tickLblSkip val="1"/>
        <c:tickMarkSkip val="1"/>
        <c:noMultiLvlLbl val="0"/>
      </c:catAx>
      <c:valAx>
        <c:axId val="434251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42511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EC-403C-A0EC-B0E54DA170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EC-403C-A0EC-B0E54DA17021}"/>
            </c:ext>
          </c:extLst>
        </c:ser>
        <c:dLbls>
          <c:showLegendKey val="0"/>
          <c:showVal val="0"/>
          <c:showCatName val="0"/>
          <c:showSerName val="0"/>
          <c:showPercent val="0"/>
          <c:showBubbleSize val="0"/>
        </c:dLbls>
        <c:gapWidth val="150"/>
        <c:overlap val="100"/>
        <c:axId val="436155240"/>
        <c:axId val="436160336"/>
      </c:barChart>
      <c:catAx>
        <c:axId val="436155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0336"/>
        <c:crosses val="autoZero"/>
        <c:auto val="1"/>
        <c:lblAlgn val="ctr"/>
        <c:lblOffset val="100"/>
        <c:tickLblSkip val="1"/>
        <c:tickMarkSkip val="1"/>
        <c:noMultiLvlLbl val="0"/>
      </c:catAx>
      <c:valAx>
        <c:axId val="436160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5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CA-4E20-ABE3-786E4DBF7FC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CA-4E20-ABE3-786E4DBF7FC1}"/>
            </c:ext>
          </c:extLst>
        </c:ser>
        <c:dLbls>
          <c:showLegendKey val="0"/>
          <c:showVal val="0"/>
          <c:showCatName val="0"/>
          <c:showSerName val="0"/>
          <c:showPercent val="0"/>
          <c:showBubbleSize val="0"/>
        </c:dLbls>
        <c:gapWidth val="150"/>
        <c:overlap val="100"/>
        <c:axId val="436160728"/>
        <c:axId val="436156808"/>
      </c:barChart>
      <c:catAx>
        <c:axId val="43616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6808"/>
        <c:crosses val="autoZero"/>
        <c:auto val="1"/>
        <c:lblAlgn val="ctr"/>
        <c:lblOffset val="100"/>
        <c:tickLblSkip val="1"/>
        <c:tickMarkSkip val="1"/>
        <c:noMultiLvlLbl val="0"/>
      </c:catAx>
      <c:valAx>
        <c:axId val="43615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27-45B5-AC40-64BDFE5036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27-45B5-AC40-64BDFE5036AD}"/>
            </c:ext>
          </c:extLst>
        </c:ser>
        <c:dLbls>
          <c:showLegendKey val="0"/>
          <c:showVal val="0"/>
          <c:showCatName val="0"/>
          <c:showSerName val="0"/>
          <c:showPercent val="0"/>
          <c:showBubbleSize val="0"/>
        </c:dLbls>
        <c:gapWidth val="150"/>
        <c:overlap val="100"/>
        <c:axId val="436163864"/>
        <c:axId val="436156024"/>
      </c:barChart>
      <c:catAx>
        <c:axId val="436163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6024"/>
        <c:crosses val="autoZero"/>
        <c:auto val="1"/>
        <c:lblAlgn val="ctr"/>
        <c:lblOffset val="100"/>
        <c:tickLblSkip val="1"/>
        <c:tickMarkSkip val="1"/>
        <c:noMultiLvlLbl val="0"/>
      </c:catAx>
      <c:valAx>
        <c:axId val="43615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3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F8-49A4-95AA-635F982BE4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F8-49A4-95AA-635F982BE4B4}"/>
            </c:ext>
          </c:extLst>
        </c:ser>
        <c:dLbls>
          <c:showLegendKey val="0"/>
          <c:showVal val="0"/>
          <c:showCatName val="0"/>
          <c:showSerName val="0"/>
          <c:showPercent val="0"/>
          <c:showBubbleSize val="0"/>
        </c:dLbls>
        <c:gapWidth val="150"/>
        <c:overlap val="100"/>
        <c:axId val="436161904"/>
        <c:axId val="436154456"/>
      </c:barChart>
      <c:catAx>
        <c:axId val="436161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54456"/>
        <c:crosses val="autoZero"/>
        <c:auto val="1"/>
        <c:lblAlgn val="ctr"/>
        <c:lblOffset val="100"/>
        <c:tickLblSkip val="1"/>
        <c:tickMarkSkip val="1"/>
        <c:noMultiLvlLbl val="0"/>
      </c:catAx>
      <c:valAx>
        <c:axId val="436154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61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C0-470C-BA69-FB5CCA110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C0-470C-BA69-FB5CCA110BB6}"/>
            </c:ext>
          </c:extLst>
        </c:ser>
        <c:dLbls>
          <c:showLegendKey val="0"/>
          <c:showVal val="0"/>
          <c:showCatName val="0"/>
          <c:showSerName val="0"/>
          <c:showPercent val="0"/>
          <c:showBubbleSize val="0"/>
        </c:dLbls>
        <c:gapWidth val="150"/>
        <c:overlap val="100"/>
        <c:axId val="436158376"/>
        <c:axId val="436166608"/>
      </c:barChart>
      <c:catAx>
        <c:axId val="43615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6608"/>
        <c:crosses val="autoZero"/>
        <c:auto val="1"/>
        <c:lblAlgn val="ctr"/>
        <c:lblOffset val="100"/>
        <c:tickLblSkip val="1"/>
        <c:tickMarkSkip val="1"/>
        <c:noMultiLvlLbl val="0"/>
      </c:catAx>
      <c:valAx>
        <c:axId val="43616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8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35-4665-9061-470F7899CC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35-4665-9061-470F7899CC2D}"/>
            </c:ext>
          </c:extLst>
        </c:ser>
        <c:dLbls>
          <c:showLegendKey val="0"/>
          <c:showVal val="0"/>
          <c:showCatName val="0"/>
          <c:showSerName val="0"/>
          <c:showPercent val="0"/>
          <c:showBubbleSize val="0"/>
        </c:dLbls>
        <c:gapWidth val="150"/>
        <c:overlap val="100"/>
        <c:axId val="436159552"/>
        <c:axId val="436162296"/>
      </c:barChart>
      <c:catAx>
        <c:axId val="43615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2296"/>
        <c:crosses val="autoZero"/>
        <c:auto val="1"/>
        <c:lblAlgn val="ctr"/>
        <c:lblOffset val="100"/>
        <c:tickLblSkip val="1"/>
        <c:tickMarkSkip val="1"/>
        <c:noMultiLvlLbl val="0"/>
      </c:catAx>
      <c:valAx>
        <c:axId val="436162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5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A9-4117-B8B1-DDC4C240E0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A9-4117-B8B1-DDC4C240E0A2}"/>
            </c:ext>
          </c:extLst>
        </c:ser>
        <c:dLbls>
          <c:showLegendKey val="0"/>
          <c:showVal val="0"/>
          <c:showCatName val="0"/>
          <c:showSerName val="0"/>
          <c:showPercent val="0"/>
          <c:showBubbleSize val="0"/>
        </c:dLbls>
        <c:gapWidth val="150"/>
        <c:overlap val="100"/>
        <c:axId val="436174448"/>
        <c:axId val="436168960"/>
      </c:barChart>
      <c:catAx>
        <c:axId val="436174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8960"/>
        <c:crosses val="autoZero"/>
        <c:auto val="1"/>
        <c:lblAlgn val="ctr"/>
        <c:lblOffset val="100"/>
        <c:tickLblSkip val="1"/>
        <c:tickMarkSkip val="1"/>
        <c:noMultiLvlLbl val="0"/>
      </c:catAx>
      <c:valAx>
        <c:axId val="436168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44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07D-4E03-ACC4-7C3993533E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07D-4E03-ACC4-7C3993533E14}"/>
            </c:ext>
          </c:extLst>
        </c:ser>
        <c:dLbls>
          <c:showLegendKey val="0"/>
          <c:showVal val="0"/>
          <c:showCatName val="0"/>
          <c:showSerName val="0"/>
          <c:showPercent val="0"/>
          <c:showBubbleSize val="0"/>
        </c:dLbls>
        <c:gapWidth val="150"/>
        <c:overlap val="100"/>
        <c:axId val="436170136"/>
        <c:axId val="436172880"/>
      </c:barChart>
      <c:catAx>
        <c:axId val="436170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2880"/>
        <c:crosses val="autoZero"/>
        <c:auto val="1"/>
        <c:lblAlgn val="ctr"/>
        <c:lblOffset val="100"/>
        <c:tickLblSkip val="1"/>
        <c:tickMarkSkip val="1"/>
        <c:noMultiLvlLbl val="0"/>
      </c:catAx>
      <c:valAx>
        <c:axId val="4361728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0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BB-4DE2-9400-A1527AFF20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BB-4DE2-9400-A1527AFF208A}"/>
            </c:ext>
          </c:extLst>
        </c:ser>
        <c:dLbls>
          <c:showLegendKey val="0"/>
          <c:showVal val="0"/>
          <c:showCatName val="0"/>
          <c:showSerName val="0"/>
          <c:showPercent val="0"/>
          <c:showBubbleSize val="0"/>
        </c:dLbls>
        <c:gapWidth val="150"/>
        <c:overlap val="100"/>
        <c:axId val="436173272"/>
        <c:axId val="436168176"/>
      </c:barChart>
      <c:catAx>
        <c:axId val="436173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8176"/>
        <c:crosses val="autoZero"/>
        <c:auto val="1"/>
        <c:lblAlgn val="ctr"/>
        <c:lblOffset val="100"/>
        <c:tickLblSkip val="1"/>
        <c:tickMarkSkip val="1"/>
        <c:noMultiLvlLbl val="0"/>
      </c:catAx>
      <c:valAx>
        <c:axId val="436168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3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10-4BF5-804C-44197E615C0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10-4BF5-804C-44197E615C0C}"/>
            </c:ext>
          </c:extLst>
        </c:ser>
        <c:dLbls>
          <c:showLegendKey val="0"/>
          <c:showVal val="0"/>
          <c:showCatName val="0"/>
          <c:showSerName val="0"/>
          <c:showPercent val="0"/>
          <c:showBubbleSize val="0"/>
        </c:dLbls>
        <c:gapWidth val="150"/>
        <c:overlap val="100"/>
        <c:axId val="436171704"/>
        <c:axId val="436167000"/>
      </c:barChart>
      <c:catAx>
        <c:axId val="436171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7000"/>
        <c:crosses val="autoZero"/>
        <c:auto val="1"/>
        <c:lblAlgn val="ctr"/>
        <c:lblOffset val="100"/>
        <c:tickLblSkip val="1"/>
        <c:tickMarkSkip val="1"/>
        <c:noMultiLvlLbl val="0"/>
      </c:catAx>
      <c:valAx>
        <c:axId val="436167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1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1-4818-944F-4048C9B977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1-4818-944F-4048C9B977E7}"/>
            </c:ext>
          </c:extLst>
        </c:ser>
        <c:dLbls>
          <c:showLegendKey val="0"/>
          <c:showVal val="0"/>
          <c:showCatName val="0"/>
          <c:showSerName val="0"/>
          <c:showPercent val="0"/>
          <c:showBubbleSize val="0"/>
        </c:dLbls>
        <c:gapWidth val="150"/>
        <c:overlap val="100"/>
        <c:axId val="436175232"/>
        <c:axId val="436167392"/>
      </c:barChart>
      <c:catAx>
        <c:axId val="436175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67392"/>
        <c:crosses val="autoZero"/>
        <c:auto val="1"/>
        <c:lblAlgn val="ctr"/>
        <c:lblOffset val="100"/>
        <c:tickLblSkip val="1"/>
        <c:tickMarkSkip val="1"/>
        <c:noMultiLvlLbl val="0"/>
      </c:catAx>
      <c:valAx>
        <c:axId val="436167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5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AC-4D6D-864E-16B9BD64F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AC-4D6D-864E-16B9BD64F0E4}"/>
            </c:ext>
          </c:extLst>
        </c:ser>
        <c:dLbls>
          <c:showLegendKey val="0"/>
          <c:showVal val="0"/>
          <c:showCatName val="0"/>
          <c:showSerName val="0"/>
          <c:showPercent val="0"/>
          <c:showBubbleSize val="0"/>
        </c:dLbls>
        <c:gapWidth val="150"/>
        <c:overlap val="100"/>
        <c:axId val="436177976"/>
        <c:axId val="436176408"/>
      </c:barChart>
      <c:catAx>
        <c:axId val="436177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6408"/>
        <c:crosses val="autoZero"/>
        <c:auto val="1"/>
        <c:lblAlgn val="ctr"/>
        <c:lblOffset val="100"/>
        <c:tickLblSkip val="1"/>
        <c:tickMarkSkip val="1"/>
        <c:noMultiLvlLbl val="0"/>
      </c:catAx>
      <c:valAx>
        <c:axId val="436176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7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8D-418E-968B-946541A1D7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8D-418E-968B-946541A1D72E}"/>
            </c:ext>
          </c:extLst>
        </c:ser>
        <c:dLbls>
          <c:showLegendKey val="0"/>
          <c:showVal val="0"/>
          <c:showCatName val="0"/>
          <c:showSerName val="0"/>
          <c:showPercent val="0"/>
          <c:showBubbleSize val="0"/>
        </c:dLbls>
        <c:gapWidth val="150"/>
        <c:overlap val="100"/>
        <c:axId val="436179152"/>
        <c:axId val="436185816"/>
      </c:barChart>
      <c:catAx>
        <c:axId val="43617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5816"/>
        <c:crosses val="autoZero"/>
        <c:auto val="1"/>
        <c:lblAlgn val="ctr"/>
        <c:lblOffset val="100"/>
        <c:tickLblSkip val="1"/>
        <c:tickMarkSkip val="1"/>
        <c:noMultiLvlLbl val="0"/>
      </c:catAx>
      <c:valAx>
        <c:axId val="436185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79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A0-4B36-9E8C-4F78F7C758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A0-4B36-9E8C-4F78F7C758D1}"/>
            </c:ext>
          </c:extLst>
        </c:ser>
        <c:dLbls>
          <c:showLegendKey val="0"/>
          <c:showVal val="0"/>
          <c:showCatName val="0"/>
          <c:showSerName val="0"/>
          <c:showPercent val="0"/>
          <c:showBubbleSize val="0"/>
        </c:dLbls>
        <c:gapWidth val="150"/>
        <c:overlap val="100"/>
        <c:axId val="436190128"/>
        <c:axId val="436191304"/>
      </c:barChart>
      <c:catAx>
        <c:axId val="43619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1304"/>
        <c:crosses val="autoZero"/>
        <c:auto val="1"/>
        <c:lblAlgn val="ctr"/>
        <c:lblOffset val="100"/>
        <c:tickLblSkip val="1"/>
        <c:tickMarkSkip val="1"/>
        <c:noMultiLvlLbl val="0"/>
      </c:catAx>
      <c:valAx>
        <c:axId val="436191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D0-4EEF-9FAB-4EF8A5ABD0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D0-4EEF-9FAB-4EF8A5ABD01C}"/>
            </c:ext>
          </c:extLst>
        </c:ser>
        <c:dLbls>
          <c:showLegendKey val="0"/>
          <c:showVal val="0"/>
          <c:showCatName val="0"/>
          <c:showSerName val="0"/>
          <c:showPercent val="0"/>
          <c:showBubbleSize val="0"/>
        </c:dLbls>
        <c:gapWidth val="150"/>
        <c:overlap val="100"/>
        <c:axId val="436181896"/>
        <c:axId val="436180720"/>
      </c:barChart>
      <c:catAx>
        <c:axId val="436181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0720"/>
        <c:crosses val="autoZero"/>
        <c:auto val="1"/>
        <c:lblAlgn val="ctr"/>
        <c:lblOffset val="100"/>
        <c:tickLblSkip val="1"/>
        <c:tickMarkSkip val="1"/>
        <c:noMultiLvlLbl val="0"/>
      </c:catAx>
      <c:valAx>
        <c:axId val="436180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1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2C1-45DD-9DEC-65CE208A80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2C1-45DD-9DEC-65CE208A8043}"/>
            </c:ext>
          </c:extLst>
        </c:ser>
        <c:dLbls>
          <c:showLegendKey val="0"/>
          <c:showVal val="0"/>
          <c:showCatName val="0"/>
          <c:showSerName val="0"/>
          <c:showPercent val="0"/>
          <c:showBubbleSize val="0"/>
        </c:dLbls>
        <c:gapWidth val="150"/>
        <c:overlap val="100"/>
        <c:axId val="436187776"/>
        <c:axId val="436184640"/>
      </c:barChart>
      <c:catAx>
        <c:axId val="43618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4640"/>
        <c:crosses val="autoZero"/>
        <c:auto val="1"/>
        <c:lblAlgn val="ctr"/>
        <c:lblOffset val="100"/>
        <c:tickLblSkip val="1"/>
        <c:tickMarkSkip val="1"/>
        <c:noMultiLvlLbl val="0"/>
      </c:catAx>
      <c:valAx>
        <c:axId val="43618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726-4053-B81E-5E6ED4C21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726-4053-B81E-5E6ED4C21F84}"/>
            </c:ext>
          </c:extLst>
        </c:ser>
        <c:dLbls>
          <c:showLegendKey val="0"/>
          <c:showVal val="0"/>
          <c:showCatName val="0"/>
          <c:showSerName val="0"/>
          <c:showPercent val="0"/>
          <c:showBubbleSize val="0"/>
        </c:dLbls>
        <c:gapWidth val="150"/>
        <c:overlap val="100"/>
        <c:axId val="436188952"/>
        <c:axId val="436190520"/>
      </c:barChart>
      <c:catAx>
        <c:axId val="436188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0520"/>
        <c:crosses val="autoZero"/>
        <c:auto val="1"/>
        <c:lblAlgn val="ctr"/>
        <c:lblOffset val="100"/>
        <c:tickLblSkip val="1"/>
        <c:tickMarkSkip val="1"/>
        <c:noMultiLvlLbl val="0"/>
      </c:catAx>
      <c:valAx>
        <c:axId val="436190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8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0-4A65-B8B6-FEFA461453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0-4A65-B8B6-FEFA461453AC}"/>
            </c:ext>
          </c:extLst>
        </c:ser>
        <c:dLbls>
          <c:showLegendKey val="0"/>
          <c:showVal val="0"/>
          <c:showCatName val="0"/>
          <c:showSerName val="0"/>
          <c:showPercent val="0"/>
          <c:showBubbleSize val="0"/>
        </c:dLbls>
        <c:gapWidth val="150"/>
        <c:overlap val="100"/>
        <c:axId val="436181504"/>
        <c:axId val="436184248"/>
      </c:barChart>
      <c:catAx>
        <c:axId val="436181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84248"/>
        <c:crosses val="autoZero"/>
        <c:auto val="1"/>
        <c:lblAlgn val="ctr"/>
        <c:lblOffset val="100"/>
        <c:tickLblSkip val="1"/>
        <c:tickMarkSkip val="1"/>
        <c:noMultiLvlLbl val="0"/>
      </c:catAx>
      <c:valAx>
        <c:axId val="436184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1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77-40B3-9952-7FF76D26FA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77-40B3-9952-7FF76D26FA20}"/>
            </c:ext>
          </c:extLst>
        </c:ser>
        <c:dLbls>
          <c:showLegendKey val="0"/>
          <c:showVal val="0"/>
          <c:showCatName val="0"/>
          <c:showSerName val="0"/>
          <c:showPercent val="0"/>
          <c:showBubbleSize val="0"/>
        </c:dLbls>
        <c:gapWidth val="150"/>
        <c:overlap val="100"/>
        <c:axId val="436185032"/>
        <c:axId val="436179936"/>
      </c:barChart>
      <c:catAx>
        <c:axId val="43618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79936"/>
        <c:crosses val="autoZero"/>
        <c:auto val="1"/>
        <c:lblAlgn val="ctr"/>
        <c:lblOffset val="100"/>
        <c:tickLblSkip val="1"/>
        <c:tickMarkSkip val="1"/>
        <c:noMultiLvlLbl val="0"/>
      </c:catAx>
      <c:valAx>
        <c:axId val="436179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85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3F-4F80-B216-CE9DD03FD31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3F-4F80-B216-CE9DD03FD317}"/>
            </c:ext>
          </c:extLst>
        </c:ser>
        <c:dLbls>
          <c:showLegendKey val="0"/>
          <c:showVal val="0"/>
          <c:showCatName val="0"/>
          <c:showSerName val="0"/>
          <c:showPercent val="0"/>
          <c:showBubbleSize val="0"/>
        </c:dLbls>
        <c:gapWidth val="150"/>
        <c:overlap val="100"/>
        <c:axId val="436203848"/>
        <c:axId val="436194832"/>
      </c:barChart>
      <c:catAx>
        <c:axId val="436203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4832"/>
        <c:crosses val="autoZero"/>
        <c:auto val="1"/>
        <c:lblAlgn val="ctr"/>
        <c:lblOffset val="100"/>
        <c:tickLblSkip val="1"/>
        <c:tickMarkSkip val="1"/>
        <c:noMultiLvlLbl val="0"/>
      </c:catAx>
      <c:valAx>
        <c:axId val="43619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3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A7-451C-9F69-6F388495F9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A7-451C-9F69-6F388495F951}"/>
            </c:ext>
          </c:extLst>
        </c:ser>
        <c:dLbls>
          <c:showLegendKey val="0"/>
          <c:showVal val="0"/>
          <c:showCatName val="0"/>
          <c:showSerName val="0"/>
          <c:showPercent val="0"/>
          <c:showBubbleSize val="0"/>
        </c:dLbls>
        <c:gapWidth val="150"/>
        <c:overlap val="100"/>
        <c:axId val="436195224"/>
        <c:axId val="436192088"/>
      </c:barChart>
      <c:catAx>
        <c:axId val="436195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2088"/>
        <c:crosses val="autoZero"/>
        <c:auto val="1"/>
        <c:lblAlgn val="ctr"/>
        <c:lblOffset val="100"/>
        <c:tickLblSkip val="1"/>
        <c:tickMarkSkip val="1"/>
        <c:noMultiLvlLbl val="0"/>
      </c:catAx>
      <c:valAx>
        <c:axId val="436192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5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90-4D4E-AEAE-262A74D6B43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90-4D4E-AEAE-262A74D6B432}"/>
            </c:ext>
          </c:extLst>
        </c:ser>
        <c:dLbls>
          <c:showLegendKey val="0"/>
          <c:showVal val="0"/>
          <c:showCatName val="0"/>
          <c:showSerName val="0"/>
          <c:showPercent val="0"/>
          <c:showBubbleSize val="0"/>
        </c:dLbls>
        <c:gapWidth val="150"/>
        <c:overlap val="100"/>
        <c:axId val="436200320"/>
        <c:axId val="436192872"/>
      </c:barChart>
      <c:catAx>
        <c:axId val="436200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2872"/>
        <c:crosses val="autoZero"/>
        <c:auto val="1"/>
        <c:lblAlgn val="ctr"/>
        <c:lblOffset val="100"/>
        <c:tickLblSkip val="1"/>
        <c:tickMarkSkip val="1"/>
        <c:noMultiLvlLbl val="0"/>
      </c:catAx>
      <c:valAx>
        <c:axId val="43619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03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09-40F2-84B2-5D8C86C8E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09-40F2-84B2-5D8C86C8E7BF}"/>
            </c:ext>
          </c:extLst>
        </c:ser>
        <c:dLbls>
          <c:showLegendKey val="0"/>
          <c:showVal val="0"/>
          <c:showCatName val="0"/>
          <c:showSerName val="0"/>
          <c:showPercent val="0"/>
          <c:showBubbleSize val="0"/>
        </c:dLbls>
        <c:gapWidth val="150"/>
        <c:overlap val="100"/>
        <c:axId val="436192480"/>
        <c:axId val="436201104"/>
      </c:barChart>
      <c:catAx>
        <c:axId val="43619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1104"/>
        <c:crosses val="autoZero"/>
        <c:auto val="1"/>
        <c:lblAlgn val="ctr"/>
        <c:lblOffset val="100"/>
        <c:tickLblSkip val="1"/>
        <c:tickMarkSkip val="1"/>
        <c:noMultiLvlLbl val="0"/>
      </c:catAx>
      <c:valAx>
        <c:axId val="436201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30-47E2-B6DC-58655AD2A1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30-47E2-B6DC-58655AD2A1F4}"/>
            </c:ext>
          </c:extLst>
        </c:ser>
        <c:dLbls>
          <c:showLegendKey val="0"/>
          <c:showVal val="0"/>
          <c:showCatName val="0"/>
          <c:showSerName val="0"/>
          <c:showPercent val="0"/>
          <c:showBubbleSize val="0"/>
        </c:dLbls>
        <c:gapWidth val="150"/>
        <c:overlap val="100"/>
        <c:axId val="436199928"/>
        <c:axId val="436197184"/>
      </c:barChart>
      <c:catAx>
        <c:axId val="43619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7184"/>
        <c:crosses val="autoZero"/>
        <c:auto val="1"/>
        <c:lblAlgn val="ctr"/>
        <c:lblOffset val="100"/>
        <c:tickLblSkip val="1"/>
        <c:tickMarkSkip val="1"/>
        <c:noMultiLvlLbl val="0"/>
      </c:catAx>
      <c:valAx>
        <c:axId val="43619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199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B5-40B9-8CA3-A7158365D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B5-40B9-8CA3-A7158365DF8F}"/>
            </c:ext>
          </c:extLst>
        </c:ser>
        <c:dLbls>
          <c:showLegendKey val="0"/>
          <c:showVal val="0"/>
          <c:showCatName val="0"/>
          <c:showSerName val="0"/>
          <c:showPercent val="0"/>
          <c:showBubbleSize val="0"/>
        </c:dLbls>
        <c:gapWidth val="150"/>
        <c:overlap val="100"/>
        <c:axId val="436202280"/>
        <c:axId val="436193656"/>
      </c:barChart>
      <c:catAx>
        <c:axId val="43620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193656"/>
        <c:crosses val="autoZero"/>
        <c:auto val="1"/>
        <c:lblAlgn val="ctr"/>
        <c:lblOffset val="100"/>
        <c:tickLblSkip val="1"/>
        <c:tickMarkSkip val="1"/>
        <c:noMultiLvlLbl val="0"/>
      </c:catAx>
      <c:valAx>
        <c:axId val="436193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4D-4A03-B141-5DCEE229E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4D-4A03-B141-5DCEE229EAD7}"/>
            </c:ext>
          </c:extLst>
        </c:ser>
        <c:dLbls>
          <c:showLegendKey val="0"/>
          <c:showVal val="0"/>
          <c:showCatName val="0"/>
          <c:showSerName val="0"/>
          <c:showPercent val="0"/>
          <c:showBubbleSize val="0"/>
        </c:dLbls>
        <c:gapWidth val="150"/>
        <c:overlap val="100"/>
        <c:axId val="436216784"/>
        <c:axId val="436204632"/>
      </c:barChart>
      <c:catAx>
        <c:axId val="436216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4632"/>
        <c:crosses val="autoZero"/>
        <c:auto val="1"/>
        <c:lblAlgn val="ctr"/>
        <c:lblOffset val="100"/>
        <c:tickLblSkip val="1"/>
        <c:tickMarkSkip val="1"/>
        <c:noMultiLvlLbl val="0"/>
      </c:catAx>
      <c:valAx>
        <c:axId val="43620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6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1C-4A83-BBF3-A38A2A3A4E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1C-4A83-BBF3-A38A2A3A4E43}"/>
            </c:ext>
          </c:extLst>
        </c:ser>
        <c:dLbls>
          <c:showLegendKey val="0"/>
          <c:showVal val="0"/>
          <c:showCatName val="0"/>
          <c:showSerName val="0"/>
          <c:showPercent val="0"/>
          <c:showBubbleSize val="0"/>
        </c:dLbls>
        <c:gapWidth val="150"/>
        <c:overlap val="100"/>
        <c:axId val="436209728"/>
        <c:axId val="436205416"/>
      </c:barChart>
      <c:catAx>
        <c:axId val="436209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5416"/>
        <c:crosses val="autoZero"/>
        <c:auto val="1"/>
        <c:lblAlgn val="ctr"/>
        <c:lblOffset val="100"/>
        <c:tickLblSkip val="1"/>
        <c:tickMarkSkip val="1"/>
        <c:noMultiLvlLbl val="0"/>
      </c:catAx>
      <c:valAx>
        <c:axId val="43620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9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CE-4ECD-9F41-C46D4E050C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CE-4ECD-9F41-C46D4E050C38}"/>
            </c:ext>
          </c:extLst>
        </c:ser>
        <c:dLbls>
          <c:showLegendKey val="0"/>
          <c:showVal val="0"/>
          <c:showCatName val="0"/>
          <c:showSerName val="0"/>
          <c:showPercent val="0"/>
          <c:showBubbleSize val="0"/>
        </c:dLbls>
        <c:gapWidth val="150"/>
        <c:overlap val="100"/>
        <c:axId val="436207376"/>
        <c:axId val="436210120"/>
      </c:barChart>
      <c:catAx>
        <c:axId val="436207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0120"/>
        <c:crosses val="autoZero"/>
        <c:auto val="1"/>
        <c:lblAlgn val="ctr"/>
        <c:lblOffset val="100"/>
        <c:tickLblSkip val="1"/>
        <c:tickMarkSkip val="1"/>
        <c:noMultiLvlLbl val="0"/>
      </c:catAx>
      <c:valAx>
        <c:axId val="436210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7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7D9-415D-9665-D07E9BB39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7D9-415D-9665-D07E9BB39AF2}"/>
            </c:ext>
          </c:extLst>
        </c:ser>
        <c:dLbls>
          <c:showLegendKey val="0"/>
          <c:showVal val="0"/>
          <c:showCatName val="0"/>
          <c:showSerName val="0"/>
          <c:showPercent val="0"/>
          <c:showBubbleSize val="0"/>
        </c:dLbls>
        <c:gapWidth val="150"/>
        <c:overlap val="100"/>
        <c:axId val="436205024"/>
        <c:axId val="436212080"/>
      </c:barChart>
      <c:catAx>
        <c:axId val="43620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2080"/>
        <c:crosses val="autoZero"/>
        <c:auto val="1"/>
        <c:lblAlgn val="ctr"/>
        <c:lblOffset val="100"/>
        <c:tickLblSkip val="1"/>
        <c:tickMarkSkip val="1"/>
        <c:noMultiLvlLbl val="0"/>
      </c:catAx>
      <c:valAx>
        <c:axId val="43621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AB5-4542-9F7E-3DE116F423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AB5-4542-9F7E-3DE116F423B0}"/>
            </c:ext>
          </c:extLst>
        </c:ser>
        <c:dLbls>
          <c:showLegendKey val="0"/>
          <c:showVal val="0"/>
          <c:showCatName val="0"/>
          <c:showSerName val="0"/>
          <c:showPercent val="0"/>
          <c:showBubbleSize val="0"/>
        </c:dLbls>
        <c:gapWidth val="150"/>
        <c:overlap val="100"/>
        <c:axId val="436212472"/>
        <c:axId val="436211688"/>
      </c:barChart>
      <c:catAx>
        <c:axId val="436212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1688"/>
        <c:crosses val="autoZero"/>
        <c:auto val="1"/>
        <c:lblAlgn val="ctr"/>
        <c:lblOffset val="100"/>
        <c:tickLblSkip val="1"/>
        <c:tickMarkSkip val="1"/>
        <c:noMultiLvlLbl val="0"/>
      </c:catAx>
      <c:valAx>
        <c:axId val="43621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2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54-4F39-943F-1989858C01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54-4F39-943F-1989858C0155}"/>
            </c:ext>
          </c:extLst>
        </c:ser>
        <c:dLbls>
          <c:showLegendKey val="0"/>
          <c:showVal val="0"/>
          <c:showCatName val="0"/>
          <c:showSerName val="0"/>
          <c:showPercent val="0"/>
          <c:showBubbleSize val="0"/>
        </c:dLbls>
        <c:gapWidth val="150"/>
        <c:overlap val="100"/>
        <c:axId val="436206200"/>
        <c:axId val="436213256"/>
      </c:barChart>
      <c:catAx>
        <c:axId val="436206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3256"/>
        <c:crosses val="autoZero"/>
        <c:auto val="1"/>
        <c:lblAlgn val="ctr"/>
        <c:lblOffset val="100"/>
        <c:tickLblSkip val="1"/>
        <c:tickMarkSkip val="1"/>
        <c:noMultiLvlLbl val="0"/>
      </c:catAx>
      <c:valAx>
        <c:axId val="436213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06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F1-4C01-8FCF-F9C0F406B7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F1-4C01-8FCF-F9C0F406B7B6}"/>
            </c:ext>
          </c:extLst>
        </c:ser>
        <c:dLbls>
          <c:showLegendKey val="0"/>
          <c:showVal val="0"/>
          <c:showCatName val="0"/>
          <c:showSerName val="0"/>
          <c:showPercent val="0"/>
          <c:showBubbleSize val="0"/>
        </c:dLbls>
        <c:gapWidth val="150"/>
        <c:overlap val="100"/>
        <c:axId val="436215216"/>
        <c:axId val="436206984"/>
      </c:barChart>
      <c:catAx>
        <c:axId val="43621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06984"/>
        <c:crosses val="autoZero"/>
        <c:auto val="1"/>
        <c:lblAlgn val="ctr"/>
        <c:lblOffset val="100"/>
        <c:tickLblSkip val="1"/>
        <c:tickMarkSkip val="1"/>
        <c:noMultiLvlLbl val="0"/>
      </c:catAx>
      <c:valAx>
        <c:axId val="43620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5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F3-4DE1-964C-A9B3EC6C0D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F3-4DE1-964C-A9B3EC6C0DED}"/>
            </c:ext>
          </c:extLst>
        </c:ser>
        <c:dLbls>
          <c:showLegendKey val="0"/>
          <c:showVal val="0"/>
          <c:showCatName val="0"/>
          <c:showSerName val="0"/>
          <c:showPercent val="0"/>
          <c:showBubbleSize val="0"/>
        </c:dLbls>
        <c:gapWidth val="150"/>
        <c:overlap val="100"/>
        <c:axId val="436217176"/>
        <c:axId val="436219136"/>
      </c:barChart>
      <c:catAx>
        <c:axId val="43621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6219136"/>
        <c:crosses val="autoZero"/>
        <c:auto val="1"/>
        <c:lblAlgn val="ctr"/>
        <c:lblOffset val="100"/>
        <c:tickLblSkip val="1"/>
        <c:tickMarkSkip val="1"/>
        <c:noMultiLvlLbl val="0"/>
      </c:catAx>
      <c:valAx>
        <c:axId val="436219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621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02-450D-8EAE-A9BD59CE9F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02-450D-8EAE-A9BD59CE9F53}"/>
            </c:ext>
          </c:extLst>
        </c:ser>
        <c:dLbls>
          <c:showLegendKey val="0"/>
          <c:showVal val="0"/>
          <c:showCatName val="0"/>
          <c:showSerName val="0"/>
          <c:showPercent val="0"/>
          <c:showBubbleSize val="0"/>
        </c:dLbls>
        <c:gapWidth val="150"/>
        <c:overlap val="100"/>
        <c:axId val="438474488"/>
        <c:axId val="438475272"/>
      </c:barChart>
      <c:catAx>
        <c:axId val="438474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5272"/>
        <c:crosses val="autoZero"/>
        <c:auto val="1"/>
        <c:lblAlgn val="ctr"/>
        <c:lblOffset val="100"/>
        <c:tickLblSkip val="1"/>
        <c:tickMarkSkip val="1"/>
        <c:noMultiLvlLbl val="0"/>
      </c:catAx>
      <c:valAx>
        <c:axId val="43847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4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1E-41D1-B705-6467E70C805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1E-41D1-B705-6467E70C805D}"/>
            </c:ext>
          </c:extLst>
        </c:ser>
        <c:dLbls>
          <c:showLegendKey val="0"/>
          <c:showVal val="0"/>
          <c:showCatName val="0"/>
          <c:showSerName val="0"/>
          <c:showPercent val="0"/>
          <c:showBubbleSize val="0"/>
        </c:dLbls>
        <c:gapWidth val="150"/>
        <c:overlap val="100"/>
        <c:axId val="438477624"/>
        <c:axId val="438482328"/>
      </c:barChart>
      <c:catAx>
        <c:axId val="43847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2328"/>
        <c:crosses val="autoZero"/>
        <c:auto val="1"/>
        <c:lblAlgn val="ctr"/>
        <c:lblOffset val="100"/>
        <c:tickLblSkip val="1"/>
        <c:tickMarkSkip val="1"/>
        <c:noMultiLvlLbl val="0"/>
      </c:catAx>
      <c:valAx>
        <c:axId val="43848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7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43-4B80-8EDB-D2D46450CD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43-4B80-8EDB-D2D46450CDBA}"/>
            </c:ext>
          </c:extLst>
        </c:ser>
        <c:dLbls>
          <c:showLegendKey val="0"/>
          <c:showVal val="0"/>
          <c:showCatName val="0"/>
          <c:showSerName val="0"/>
          <c:showPercent val="0"/>
          <c:showBubbleSize val="0"/>
        </c:dLbls>
        <c:gapWidth val="150"/>
        <c:overlap val="100"/>
        <c:axId val="438478016"/>
        <c:axId val="438482720"/>
      </c:barChart>
      <c:catAx>
        <c:axId val="438478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2720"/>
        <c:crosses val="autoZero"/>
        <c:auto val="1"/>
        <c:lblAlgn val="ctr"/>
        <c:lblOffset val="100"/>
        <c:tickLblSkip val="1"/>
        <c:tickMarkSkip val="1"/>
        <c:noMultiLvlLbl val="0"/>
      </c:catAx>
      <c:valAx>
        <c:axId val="43848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8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68-419F-A606-58E01E8B9D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68-419F-A606-58E01E8B9D55}"/>
            </c:ext>
          </c:extLst>
        </c:ser>
        <c:dLbls>
          <c:showLegendKey val="0"/>
          <c:showVal val="0"/>
          <c:showCatName val="0"/>
          <c:showSerName val="0"/>
          <c:showPercent val="0"/>
          <c:showBubbleSize val="0"/>
        </c:dLbls>
        <c:gapWidth val="150"/>
        <c:overlap val="100"/>
        <c:axId val="438483504"/>
        <c:axId val="438478408"/>
      </c:barChart>
      <c:catAx>
        <c:axId val="438483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8408"/>
        <c:crosses val="autoZero"/>
        <c:auto val="1"/>
        <c:lblAlgn val="ctr"/>
        <c:lblOffset val="100"/>
        <c:tickLblSkip val="1"/>
        <c:tickMarkSkip val="1"/>
        <c:noMultiLvlLbl val="0"/>
      </c:catAx>
      <c:valAx>
        <c:axId val="438478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3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55-408D-8B7C-8E28D8B326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55-408D-8B7C-8E28D8B3263F}"/>
            </c:ext>
          </c:extLst>
        </c:ser>
        <c:dLbls>
          <c:showLegendKey val="0"/>
          <c:showVal val="0"/>
          <c:showCatName val="0"/>
          <c:showSerName val="0"/>
          <c:showPercent val="0"/>
          <c:showBubbleSize val="0"/>
        </c:dLbls>
        <c:gapWidth val="150"/>
        <c:overlap val="100"/>
        <c:axId val="438479976"/>
        <c:axId val="438480368"/>
      </c:barChart>
      <c:catAx>
        <c:axId val="438479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0368"/>
        <c:crosses val="autoZero"/>
        <c:auto val="1"/>
        <c:lblAlgn val="ctr"/>
        <c:lblOffset val="100"/>
        <c:tickLblSkip val="1"/>
        <c:tickMarkSkip val="1"/>
        <c:noMultiLvlLbl val="0"/>
      </c:catAx>
      <c:valAx>
        <c:axId val="43848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9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BE-4F30-AC67-0BEDA1E46C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BE-4F30-AC67-0BEDA1E46C3A}"/>
            </c:ext>
          </c:extLst>
        </c:ser>
        <c:dLbls>
          <c:showLegendKey val="0"/>
          <c:showVal val="0"/>
          <c:showCatName val="0"/>
          <c:showSerName val="0"/>
          <c:showPercent val="0"/>
          <c:showBubbleSize val="0"/>
        </c:dLbls>
        <c:gapWidth val="150"/>
        <c:overlap val="100"/>
        <c:axId val="438474096"/>
        <c:axId val="438475664"/>
      </c:barChart>
      <c:catAx>
        <c:axId val="438474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75664"/>
        <c:crosses val="autoZero"/>
        <c:auto val="1"/>
        <c:lblAlgn val="ctr"/>
        <c:lblOffset val="100"/>
        <c:tickLblSkip val="1"/>
        <c:tickMarkSkip val="1"/>
        <c:noMultiLvlLbl val="0"/>
      </c:catAx>
      <c:valAx>
        <c:axId val="438475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4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61-4C14-B492-7F7ECA581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61-4C14-B492-7F7ECA5816C7}"/>
            </c:ext>
          </c:extLst>
        </c:ser>
        <c:dLbls>
          <c:showLegendKey val="0"/>
          <c:showVal val="0"/>
          <c:showCatName val="0"/>
          <c:showSerName val="0"/>
          <c:showPercent val="0"/>
          <c:showBubbleSize val="0"/>
        </c:dLbls>
        <c:gapWidth val="150"/>
        <c:overlap val="100"/>
        <c:axId val="438481936"/>
        <c:axId val="438489776"/>
      </c:barChart>
      <c:catAx>
        <c:axId val="43848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89776"/>
        <c:crosses val="autoZero"/>
        <c:auto val="1"/>
        <c:lblAlgn val="ctr"/>
        <c:lblOffset val="100"/>
        <c:tickLblSkip val="1"/>
        <c:tickMarkSkip val="1"/>
        <c:noMultiLvlLbl val="0"/>
      </c:catAx>
      <c:valAx>
        <c:axId val="438489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1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B-4E0F-95F6-EEA89D3B40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B-4E0F-95F6-EEA89D3B40CE}"/>
            </c:ext>
          </c:extLst>
        </c:ser>
        <c:dLbls>
          <c:showLegendKey val="0"/>
          <c:showVal val="0"/>
          <c:showCatName val="0"/>
          <c:showSerName val="0"/>
          <c:showPercent val="0"/>
          <c:showBubbleSize val="0"/>
        </c:dLbls>
        <c:gapWidth val="150"/>
        <c:overlap val="100"/>
        <c:axId val="438488992"/>
        <c:axId val="438496440"/>
      </c:barChart>
      <c:catAx>
        <c:axId val="43848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6440"/>
        <c:crosses val="autoZero"/>
        <c:auto val="1"/>
        <c:lblAlgn val="ctr"/>
        <c:lblOffset val="100"/>
        <c:tickLblSkip val="1"/>
        <c:tickMarkSkip val="1"/>
        <c:noMultiLvlLbl val="0"/>
      </c:catAx>
      <c:valAx>
        <c:axId val="43849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A-4693-9E7B-31A396D13F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A-4693-9E7B-31A396D13F34}"/>
            </c:ext>
          </c:extLst>
        </c:ser>
        <c:dLbls>
          <c:showLegendKey val="0"/>
          <c:showVal val="0"/>
          <c:showCatName val="0"/>
          <c:showSerName val="0"/>
          <c:showPercent val="0"/>
          <c:showBubbleSize val="0"/>
        </c:dLbls>
        <c:gapWidth val="150"/>
        <c:overlap val="100"/>
        <c:axId val="438490952"/>
        <c:axId val="438491344"/>
      </c:barChart>
      <c:catAx>
        <c:axId val="438490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1344"/>
        <c:crosses val="autoZero"/>
        <c:auto val="1"/>
        <c:lblAlgn val="ctr"/>
        <c:lblOffset val="100"/>
        <c:tickLblSkip val="1"/>
        <c:tickMarkSkip val="1"/>
        <c:noMultiLvlLbl val="0"/>
      </c:catAx>
      <c:valAx>
        <c:axId val="438491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0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AA-4F5D-9C97-48896CBA93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AA-4F5D-9C97-48896CBA93AE}"/>
            </c:ext>
          </c:extLst>
        </c:ser>
        <c:dLbls>
          <c:showLegendKey val="0"/>
          <c:showVal val="0"/>
          <c:showCatName val="0"/>
          <c:showSerName val="0"/>
          <c:showPercent val="0"/>
          <c:showBubbleSize val="0"/>
        </c:dLbls>
        <c:gapWidth val="150"/>
        <c:overlap val="100"/>
        <c:axId val="438493304"/>
        <c:axId val="438495656"/>
      </c:barChart>
      <c:catAx>
        <c:axId val="438493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5656"/>
        <c:crosses val="autoZero"/>
        <c:auto val="1"/>
        <c:lblAlgn val="ctr"/>
        <c:lblOffset val="100"/>
        <c:tickLblSkip val="1"/>
        <c:tickMarkSkip val="1"/>
        <c:noMultiLvlLbl val="0"/>
      </c:catAx>
      <c:valAx>
        <c:axId val="438495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3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0B-4499-84D0-C7680DA317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0B-4499-84D0-C7680DA317F6}"/>
            </c:ext>
          </c:extLst>
        </c:ser>
        <c:dLbls>
          <c:showLegendKey val="0"/>
          <c:showVal val="0"/>
          <c:showCatName val="0"/>
          <c:showSerName val="0"/>
          <c:showPercent val="0"/>
          <c:showBubbleSize val="0"/>
        </c:dLbls>
        <c:gapWidth val="150"/>
        <c:overlap val="100"/>
        <c:axId val="438487816"/>
        <c:axId val="438496048"/>
      </c:barChart>
      <c:catAx>
        <c:axId val="438487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6048"/>
        <c:crosses val="autoZero"/>
        <c:auto val="1"/>
        <c:lblAlgn val="ctr"/>
        <c:lblOffset val="100"/>
        <c:tickLblSkip val="1"/>
        <c:tickMarkSkip val="1"/>
        <c:noMultiLvlLbl val="0"/>
      </c:catAx>
      <c:valAx>
        <c:axId val="43849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7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89-43D1-90AD-7C181AF6AA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89-43D1-90AD-7C181AF6AA37}"/>
            </c:ext>
          </c:extLst>
        </c:ser>
        <c:dLbls>
          <c:showLegendKey val="0"/>
          <c:showVal val="0"/>
          <c:showCatName val="0"/>
          <c:showSerName val="0"/>
          <c:showPercent val="0"/>
          <c:showBubbleSize val="0"/>
        </c:dLbls>
        <c:gapWidth val="150"/>
        <c:overlap val="100"/>
        <c:axId val="438488208"/>
        <c:axId val="438493696"/>
      </c:barChart>
      <c:catAx>
        <c:axId val="438488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3696"/>
        <c:crosses val="autoZero"/>
        <c:auto val="1"/>
        <c:lblAlgn val="ctr"/>
        <c:lblOffset val="100"/>
        <c:tickLblSkip val="1"/>
        <c:tickMarkSkip val="1"/>
        <c:noMultiLvlLbl val="0"/>
      </c:catAx>
      <c:valAx>
        <c:axId val="438493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88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58-462B-9DB4-1C809EA7E02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58-462B-9DB4-1C809EA7E026}"/>
            </c:ext>
          </c:extLst>
        </c:ser>
        <c:dLbls>
          <c:showLegendKey val="0"/>
          <c:showVal val="0"/>
          <c:showCatName val="0"/>
          <c:showSerName val="0"/>
          <c:showPercent val="0"/>
          <c:showBubbleSize val="0"/>
        </c:dLbls>
        <c:gapWidth val="150"/>
        <c:overlap val="100"/>
        <c:axId val="438494480"/>
        <c:axId val="438494872"/>
      </c:barChart>
      <c:catAx>
        <c:axId val="438494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4872"/>
        <c:crosses val="autoZero"/>
        <c:auto val="1"/>
        <c:lblAlgn val="ctr"/>
        <c:lblOffset val="100"/>
        <c:tickLblSkip val="1"/>
        <c:tickMarkSkip val="1"/>
        <c:noMultiLvlLbl val="0"/>
      </c:catAx>
      <c:valAx>
        <c:axId val="438494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4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EDF-4E4F-9C85-2BFB5F8180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EDF-4E4F-9C85-2BFB5F818081}"/>
            </c:ext>
          </c:extLst>
        </c:ser>
        <c:dLbls>
          <c:showLegendKey val="0"/>
          <c:showVal val="0"/>
          <c:showCatName val="0"/>
          <c:showSerName val="0"/>
          <c:showPercent val="0"/>
          <c:showBubbleSize val="0"/>
        </c:dLbls>
        <c:gapWidth val="150"/>
        <c:overlap val="100"/>
        <c:axId val="438507024"/>
        <c:axId val="438499184"/>
      </c:barChart>
      <c:catAx>
        <c:axId val="43850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9184"/>
        <c:crosses val="autoZero"/>
        <c:auto val="1"/>
        <c:lblAlgn val="ctr"/>
        <c:lblOffset val="100"/>
        <c:tickLblSkip val="1"/>
        <c:tickMarkSkip val="1"/>
        <c:noMultiLvlLbl val="0"/>
      </c:catAx>
      <c:valAx>
        <c:axId val="438499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8E-47A1-B035-74027B55F5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8E-47A1-B035-74027B55F5AE}"/>
            </c:ext>
          </c:extLst>
        </c:ser>
        <c:dLbls>
          <c:showLegendKey val="0"/>
          <c:showVal val="0"/>
          <c:showCatName val="0"/>
          <c:showSerName val="0"/>
          <c:showPercent val="0"/>
          <c:showBubbleSize val="0"/>
        </c:dLbls>
        <c:gapWidth val="150"/>
        <c:overlap val="100"/>
        <c:axId val="438501536"/>
        <c:axId val="438503104"/>
      </c:barChart>
      <c:catAx>
        <c:axId val="438501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3104"/>
        <c:crosses val="autoZero"/>
        <c:auto val="1"/>
        <c:lblAlgn val="ctr"/>
        <c:lblOffset val="100"/>
        <c:tickLblSkip val="1"/>
        <c:tickMarkSkip val="1"/>
        <c:noMultiLvlLbl val="0"/>
      </c:catAx>
      <c:valAx>
        <c:axId val="438503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1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53-4C02-8ECA-DE7909676A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53-4C02-8ECA-DE7909676A99}"/>
            </c:ext>
          </c:extLst>
        </c:ser>
        <c:dLbls>
          <c:showLegendKey val="0"/>
          <c:showVal val="0"/>
          <c:showCatName val="0"/>
          <c:showSerName val="0"/>
          <c:showPercent val="0"/>
          <c:showBubbleSize val="0"/>
        </c:dLbls>
        <c:gapWidth val="150"/>
        <c:overlap val="100"/>
        <c:axId val="438499576"/>
        <c:axId val="438506632"/>
      </c:barChart>
      <c:catAx>
        <c:axId val="43849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6632"/>
        <c:crosses val="autoZero"/>
        <c:auto val="1"/>
        <c:lblAlgn val="ctr"/>
        <c:lblOffset val="100"/>
        <c:tickLblSkip val="1"/>
        <c:tickMarkSkip val="1"/>
        <c:noMultiLvlLbl val="0"/>
      </c:catAx>
      <c:valAx>
        <c:axId val="438506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CD-4BBB-976F-72296EBC09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CD-4BBB-976F-72296EBC095F}"/>
            </c:ext>
          </c:extLst>
        </c:ser>
        <c:dLbls>
          <c:showLegendKey val="0"/>
          <c:showVal val="0"/>
          <c:showCatName val="0"/>
          <c:showSerName val="0"/>
          <c:showPercent val="0"/>
          <c:showBubbleSize val="0"/>
        </c:dLbls>
        <c:gapWidth val="150"/>
        <c:overlap val="100"/>
        <c:axId val="438507808"/>
        <c:axId val="438503888"/>
      </c:barChart>
      <c:catAx>
        <c:axId val="43850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3888"/>
        <c:crosses val="autoZero"/>
        <c:auto val="1"/>
        <c:lblAlgn val="ctr"/>
        <c:lblOffset val="100"/>
        <c:tickLblSkip val="1"/>
        <c:tickMarkSkip val="1"/>
        <c:noMultiLvlLbl val="0"/>
      </c:catAx>
      <c:valAx>
        <c:axId val="43850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3E-4866-AC6D-7DB8ED5BC7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3E-4866-AC6D-7DB8ED5BC77F}"/>
            </c:ext>
          </c:extLst>
        </c:ser>
        <c:dLbls>
          <c:showLegendKey val="0"/>
          <c:showVal val="0"/>
          <c:showCatName val="0"/>
          <c:showSerName val="0"/>
          <c:showPercent val="0"/>
          <c:showBubbleSize val="0"/>
        </c:dLbls>
        <c:gapWidth val="150"/>
        <c:overlap val="100"/>
        <c:axId val="438498400"/>
        <c:axId val="438504672"/>
      </c:barChart>
      <c:catAx>
        <c:axId val="438498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04672"/>
        <c:crosses val="autoZero"/>
        <c:auto val="1"/>
        <c:lblAlgn val="ctr"/>
        <c:lblOffset val="100"/>
        <c:tickLblSkip val="1"/>
        <c:tickMarkSkip val="1"/>
        <c:noMultiLvlLbl val="0"/>
      </c:catAx>
      <c:valAx>
        <c:axId val="43850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98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62-4048-B02C-D37D5E987F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62-4048-B02C-D37D5E987FC8}"/>
            </c:ext>
          </c:extLst>
        </c:ser>
        <c:dLbls>
          <c:showLegendKey val="0"/>
          <c:showVal val="0"/>
          <c:showCatName val="0"/>
          <c:showSerName val="0"/>
          <c:showPercent val="0"/>
          <c:showBubbleSize val="0"/>
        </c:dLbls>
        <c:gapWidth val="150"/>
        <c:overlap val="100"/>
        <c:axId val="438508984"/>
        <c:axId val="438498792"/>
      </c:barChart>
      <c:catAx>
        <c:axId val="438508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98792"/>
        <c:crosses val="autoZero"/>
        <c:auto val="1"/>
        <c:lblAlgn val="ctr"/>
        <c:lblOffset val="100"/>
        <c:tickLblSkip val="1"/>
        <c:tickMarkSkip val="1"/>
        <c:noMultiLvlLbl val="0"/>
      </c:catAx>
      <c:valAx>
        <c:axId val="43849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08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89-4997-AE53-BF8ACC1D74D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89-4997-AE53-BF8ACC1D74D3}"/>
            </c:ext>
          </c:extLst>
        </c:ser>
        <c:dLbls>
          <c:showLegendKey val="0"/>
          <c:showVal val="0"/>
          <c:showCatName val="0"/>
          <c:showSerName val="0"/>
          <c:showPercent val="0"/>
          <c:showBubbleSize val="0"/>
        </c:dLbls>
        <c:gapWidth val="150"/>
        <c:overlap val="100"/>
        <c:axId val="438510944"/>
        <c:axId val="438512120"/>
      </c:barChart>
      <c:catAx>
        <c:axId val="438510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12120"/>
        <c:crosses val="autoZero"/>
        <c:auto val="1"/>
        <c:lblAlgn val="ctr"/>
        <c:lblOffset val="100"/>
        <c:tickLblSkip val="1"/>
        <c:tickMarkSkip val="1"/>
        <c:noMultiLvlLbl val="0"/>
      </c:catAx>
      <c:valAx>
        <c:axId val="43851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10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D1-4E6B-A30D-500B49BA48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D1-4E6B-A30D-500B49BA48FA}"/>
            </c:ext>
          </c:extLst>
        </c:ser>
        <c:dLbls>
          <c:showLegendKey val="0"/>
          <c:showVal val="0"/>
          <c:showCatName val="0"/>
          <c:showSerName val="0"/>
          <c:showPercent val="0"/>
          <c:showBubbleSize val="0"/>
        </c:dLbls>
        <c:gapWidth val="150"/>
        <c:overlap val="100"/>
        <c:axId val="438512512"/>
        <c:axId val="438511728"/>
      </c:barChart>
      <c:catAx>
        <c:axId val="438512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511728"/>
        <c:crosses val="autoZero"/>
        <c:auto val="1"/>
        <c:lblAlgn val="ctr"/>
        <c:lblOffset val="100"/>
        <c:tickLblSkip val="1"/>
        <c:tickMarkSkip val="1"/>
        <c:noMultiLvlLbl val="0"/>
      </c:catAx>
      <c:valAx>
        <c:axId val="438511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512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13-4AE8-9D47-CCBC5939D2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13-4AE8-9D47-CCBC5939D26F}"/>
            </c:ext>
          </c:extLst>
        </c:ser>
        <c:dLbls>
          <c:showLegendKey val="0"/>
          <c:showVal val="0"/>
          <c:showCatName val="0"/>
          <c:showSerName val="0"/>
          <c:showPercent val="0"/>
          <c:showBubbleSize val="0"/>
        </c:dLbls>
        <c:gapWidth val="150"/>
        <c:overlap val="100"/>
        <c:axId val="438453712"/>
        <c:axId val="438460376"/>
      </c:barChart>
      <c:catAx>
        <c:axId val="438453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0376"/>
        <c:crosses val="autoZero"/>
        <c:auto val="1"/>
        <c:lblAlgn val="ctr"/>
        <c:lblOffset val="100"/>
        <c:tickLblSkip val="1"/>
        <c:tickMarkSkip val="1"/>
        <c:noMultiLvlLbl val="0"/>
      </c:catAx>
      <c:valAx>
        <c:axId val="438460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37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5-4208-840A-D125A5BD9A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5-4208-840A-D125A5BD9A0E}"/>
            </c:ext>
          </c:extLst>
        </c:ser>
        <c:dLbls>
          <c:showLegendKey val="0"/>
          <c:showVal val="0"/>
          <c:showCatName val="0"/>
          <c:showSerName val="0"/>
          <c:showPercent val="0"/>
          <c:showBubbleSize val="0"/>
        </c:dLbls>
        <c:gapWidth val="150"/>
        <c:overlap val="100"/>
        <c:axId val="438449008"/>
        <c:axId val="438456848"/>
      </c:barChart>
      <c:catAx>
        <c:axId val="43844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6848"/>
        <c:crosses val="autoZero"/>
        <c:auto val="1"/>
        <c:lblAlgn val="ctr"/>
        <c:lblOffset val="100"/>
        <c:tickLblSkip val="1"/>
        <c:tickMarkSkip val="1"/>
        <c:noMultiLvlLbl val="0"/>
      </c:catAx>
      <c:valAx>
        <c:axId val="438456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49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58-4929-8975-F732482D494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58-4929-8975-F732482D4944}"/>
            </c:ext>
          </c:extLst>
        </c:ser>
        <c:dLbls>
          <c:showLegendKey val="0"/>
          <c:showVal val="0"/>
          <c:showCatName val="0"/>
          <c:showSerName val="0"/>
          <c:showPercent val="0"/>
          <c:showBubbleSize val="0"/>
        </c:dLbls>
        <c:gapWidth val="150"/>
        <c:overlap val="100"/>
        <c:axId val="438450184"/>
        <c:axId val="438450968"/>
      </c:barChart>
      <c:catAx>
        <c:axId val="438450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0968"/>
        <c:crosses val="autoZero"/>
        <c:auto val="1"/>
        <c:lblAlgn val="ctr"/>
        <c:lblOffset val="100"/>
        <c:tickLblSkip val="1"/>
        <c:tickMarkSkip val="1"/>
        <c:noMultiLvlLbl val="0"/>
      </c:catAx>
      <c:valAx>
        <c:axId val="438450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0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59-412E-B00A-E144CAB210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59-412E-B00A-E144CAB21084}"/>
            </c:ext>
          </c:extLst>
        </c:ser>
        <c:dLbls>
          <c:showLegendKey val="0"/>
          <c:showVal val="0"/>
          <c:showCatName val="0"/>
          <c:showSerName val="0"/>
          <c:showPercent val="0"/>
          <c:showBubbleSize val="0"/>
        </c:dLbls>
        <c:gapWidth val="150"/>
        <c:overlap val="100"/>
        <c:axId val="438454496"/>
        <c:axId val="438449400"/>
      </c:barChart>
      <c:catAx>
        <c:axId val="43845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49400"/>
        <c:crosses val="autoZero"/>
        <c:auto val="1"/>
        <c:lblAlgn val="ctr"/>
        <c:lblOffset val="100"/>
        <c:tickLblSkip val="1"/>
        <c:tickMarkSkip val="1"/>
        <c:noMultiLvlLbl val="0"/>
      </c:catAx>
      <c:valAx>
        <c:axId val="43844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4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05F-4F69-B361-8482B89BF4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05F-4F69-B361-8482B89BF46E}"/>
            </c:ext>
          </c:extLst>
        </c:ser>
        <c:dLbls>
          <c:showLegendKey val="0"/>
          <c:showVal val="0"/>
          <c:showCatName val="0"/>
          <c:showSerName val="0"/>
          <c:showPercent val="0"/>
          <c:showBubbleSize val="0"/>
        </c:dLbls>
        <c:gapWidth val="150"/>
        <c:overlap val="100"/>
        <c:axId val="438452144"/>
        <c:axId val="438453320"/>
      </c:barChart>
      <c:catAx>
        <c:axId val="43845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3320"/>
        <c:crosses val="autoZero"/>
        <c:auto val="1"/>
        <c:lblAlgn val="ctr"/>
        <c:lblOffset val="100"/>
        <c:tickLblSkip val="1"/>
        <c:tickMarkSkip val="1"/>
        <c:noMultiLvlLbl val="0"/>
      </c:catAx>
      <c:valAx>
        <c:axId val="43845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3C-48FD-8052-89EBB8E502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3C-48FD-8052-89EBB8E50211}"/>
            </c:ext>
          </c:extLst>
        </c:ser>
        <c:dLbls>
          <c:showLegendKey val="0"/>
          <c:showVal val="0"/>
          <c:showCatName val="0"/>
          <c:showSerName val="0"/>
          <c:showPercent val="0"/>
          <c:showBubbleSize val="0"/>
        </c:dLbls>
        <c:gapWidth val="150"/>
        <c:overlap val="100"/>
        <c:axId val="438458416"/>
        <c:axId val="438458808"/>
      </c:barChart>
      <c:catAx>
        <c:axId val="438458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58808"/>
        <c:crosses val="autoZero"/>
        <c:auto val="1"/>
        <c:lblAlgn val="ctr"/>
        <c:lblOffset val="100"/>
        <c:tickLblSkip val="1"/>
        <c:tickMarkSkip val="1"/>
        <c:noMultiLvlLbl val="0"/>
      </c:catAx>
      <c:valAx>
        <c:axId val="438458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58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11" r="0.75000000000000211" t="0.98425196899999956" header="0.5" footer="0.5"/>
    <c:pageSetup orientation="portrait"/>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2E-4404-98DF-E530A6914FF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2E-4404-98DF-E530A6914FF7}"/>
            </c:ext>
          </c:extLst>
        </c:ser>
        <c:dLbls>
          <c:showLegendKey val="0"/>
          <c:showVal val="0"/>
          <c:showCatName val="0"/>
          <c:showSerName val="0"/>
          <c:showPercent val="0"/>
          <c:showBubbleSize val="0"/>
        </c:dLbls>
        <c:smooth val="0"/>
        <c:axId val="438472528"/>
        <c:axId val="438463120"/>
      </c:lineChart>
      <c:catAx>
        <c:axId val="438472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3120"/>
        <c:crosses val="autoZero"/>
        <c:auto val="1"/>
        <c:lblAlgn val="ctr"/>
        <c:lblOffset val="100"/>
        <c:tickLblSkip val="1"/>
        <c:tickMarkSkip val="1"/>
        <c:noMultiLvlLbl val="0"/>
      </c:catAx>
      <c:valAx>
        <c:axId val="4384631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2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80-4942-84B1-0320FEFE258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80-4942-84B1-0320FEFE2585}"/>
            </c:ext>
          </c:extLst>
        </c:ser>
        <c:dLbls>
          <c:showLegendKey val="0"/>
          <c:showVal val="0"/>
          <c:showCatName val="0"/>
          <c:showSerName val="0"/>
          <c:showPercent val="0"/>
          <c:showBubbleSize val="0"/>
        </c:dLbls>
        <c:smooth val="0"/>
        <c:axId val="438462728"/>
        <c:axId val="438463512"/>
      </c:lineChart>
      <c:catAx>
        <c:axId val="4384627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3512"/>
        <c:crosses val="autoZero"/>
        <c:auto val="1"/>
        <c:lblAlgn val="ctr"/>
        <c:lblOffset val="100"/>
        <c:tickLblSkip val="1"/>
        <c:tickMarkSkip val="1"/>
        <c:noMultiLvlLbl val="0"/>
      </c:catAx>
      <c:valAx>
        <c:axId val="4384635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27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4B-4099-81DC-04FF1D24807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4B-4099-81DC-04FF1D24807E}"/>
            </c:ext>
          </c:extLst>
        </c:ser>
        <c:dLbls>
          <c:showLegendKey val="0"/>
          <c:showVal val="0"/>
          <c:showCatName val="0"/>
          <c:showSerName val="0"/>
          <c:showPercent val="0"/>
          <c:showBubbleSize val="0"/>
        </c:dLbls>
        <c:smooth val="0"/>
        <c:axId val="438472136"/>
        <c:axId val="438464688"/>
      </c:lineChart>
      <c:catAx>
        <c:axId val="438472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4688"/>
        <c:crosses val="autoZero"/>
        <c:auto val="1"/>
        <c:lblAlgn val="ctr"/>
        <c:lblOffset val="100"/>
        <c:tickLblSkip val="1"/>
        <c:tickMarkSkip val="1"/>
        <c:noMultiLvlLbl val="0"/>
      </c:catAx>
      <c:valAx>
        <c:axId val="43846468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72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0F5-4C16-88F4-86450DD521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0F5-4C16-88F4-86450DD5216B}"/>
            </c:ext>
          </c:extLst>
        </c:ser>
        <c:dLbls>
          <c:showLegendKey val="0"/>
          <c:showVal val="0"/>
          <c:showCatName val="0"/>
          <c:showSerName val="0"/>
          <c:showPercent val="0"/>
          <c:showBubbleSize val="0"/>
        </c:dLbls>
        <c:gapWidth val="150"/>
        <c:overlap val="100"/>
        <c:axId val="438469000"/>
        <c:axId val="438469784"/>
      </c:barChart>
      <c:catAx>
        <c:axId val="43846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9784"/>
        <c:crosses val="autoZero"/>
        <c:auto val="1"/>
        <c:lblAlgn val="ctr"/>
        <c:lblOffset val="100"/>
        <c:tickLblSkip val="1"/>
        <c:tickMarkSkip val="1"/>
        <c:noMultiLvlLbl val="0"/>
      </c:catAx>
      <c:valAx>
        <c:axId val="43846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7D-4EA8-9E1C-791FAF707E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7D-4EA8-9E1C-791FAF707EBF}"/>
            </c:ext>
          </c:extLst>
        </c:ser>
        <c:dLbls>
          <c:showLegendKey val="0"/>
          <c:showVal val="0"/>
          <c:showCatName val="0"/>
          <c:showSerName val="0"/>
          <c:showPercent val="0"/>
          <c:showBubbleSize val="0"/>
        </c:dLbls>
        <c:gapWidth val="150"/>
        <c:overlap val="100"/>
        <c:axId val="438466648"/>
        <c:axId val="438467824"/>
      </c:barChart>
      <c:catAx>
        <c:axId val="43846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7824"/>
        <c:crosses val="autoZero"/>
        <c:auto val="1"/>
        <c:lblAlgn val="ctr"/>
        <c:lblOffset val="100"/>
        <c:tickLblSkip val="1"/>
        <c:tickMarkSkip val="1"/>
        <c:noMultiLvlLbl val="0"/>
      </c:catAx>
      <c:valAx>
        <c:axId val="438467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6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1BE-4B81-AC35-0DABB8D0CA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1BE-4B81-AC35-0DABB8D0CA1C}"/>
            </c:ext>
          </c:extLst>
        </c:ser>
        <c:dLbls>
          <c:showLegendKey val="0"/>
          <c:showVal val="0"/>
          <c:showCatName val="0"/>
          <c:showSerName val="0"/>
          <c:showPercent val="0"/>
          <c:showBubbleSize val="0"/>
        </c:dLbls>
        <c:gapWidth val="150"/>
        <c:overlap val="100"/>
        <c:axId val="438468216"/>
        <c:axId val="438467432"/>
      </c:barChart>
      <c:catAx>
        <c:axId val="438468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38467432"/>
        <c:crosses val="autoZero"/>
        <c:auto val="1"/>
        <c:lblAlgn val="ctr"/>
        <c:lblOffset val="100"/>
        <c:tickLblSkip val="1"/>
        <c:tickMarkSkip val="1"/>
        <c:noMultiLvlLbl val="0"/>
      </c:catAx>
      <c:valAx>
        <c:axId val="43846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8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31-4997-BDDB-6F98CB9CDA4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31-4997-BDDB-6F98CB9CDA40}"/>
            </c:ext>
          </c:extLst>
        </c:ser>
        <c:dLbls>
          <c:showLegendKey val="0"/>
          <c:showVal val="0"/>
          <c:showCatName val="0"/>
          <c:showSerName val="0"/>
          <c:showPercent val="0"/>
          <c:showBubbleSize val="0"/>
        </c:dLbls>
        <c:gapWidth val="150"/>
        <c:overlap val="100"/>
        <c:axId val="438462336"/>
        <c:axId val="441122472"/>
      </c:barChart>
      <c:catAx>
        <c:axId val="438462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2472"/>
        <c:crosses val="autoZero"/>
        <c:auto val="1"/>
        <c:lblAlgn val="ctr"/>
        <c:lblOffset val="100"/>
        <c:tickLblSkip val="1"/>
        <c:tickMarkSkip val="1"/>
        <c:noMultiLvlLbl val="0"/>
      </c:catAx>
      <c:valAx>
        <c:axId val="44112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38462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13-4C7C-AFA4-76E42DF9A1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13-4C7C-AFA4-76E42DF9A135}"/>
            </c:ext>
          </c:extLst>
        </c:ser>
        <c:dLbls>
          <c:showLegendKey val="0"/>
          <c:showVal val="0"/>
          <c:showCatName val="0"/>
          <c:showSerName val="0"/>
          <c:showPercent val="0"/>
          <c:showBubbleSize val="0"/>
        </c:dLbls>
        <c:gapWidth val="150"/>
        <c:overlap val="100"/>
        <c:axId val="441126000"/>
        <c:axId val="441133056"/>
      </c:barChart>
      <c:catAx>
        <c:axId val="441126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3056"/>
        <c:crosses val="autoZero"/>
        <c:auto val="1"/>
        <c:lblAlgn val="ctr"/>
        <c:lblOffset val="100"/>
        <c:tickLblSkip val="1"/>
        <c:tickMarkSkip val="1"/>
        <c:noMultiLvlLbl val="0"/>
      </c:catAx>
      <c:valAx>
        <c:axId val="44113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6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E80-4927-ADBA-19EE8B0376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E80-4927-ADBA-19EE8B0376F4}"/>
            </c:ext>
          </c:extLst>
        </c:ser>
        <c:dLbls>
          <c:showLegendKey val="0"/>
          <c:showVal val="0"/>
          <c:showCatName val="0"/>
          <c:showSerName val="0"/>
          <c:showPercent val="0"/>
          <c:showBubbleSize val="0"/>
        </c:dLbls>
        <c:gapWidth val="150"/>
        <c:overlap val="100"/>
        <c:axId val="441125608"/>
        <c:axId val="441133840"/>
      </c:barChart>
      <c:catAx>
        <c:axId val="441125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3840"/>
        <c:crosses val="autoZero"/>
        <c:auto val="1"/>
        <c:lblAlgn val="ctr"/>
        <c:lblOffset val="100"/>
        <c:tickLblSkip val="1"/>
        <c:tickMarkSkip val="1"/>
        <c:noMultiLvlLbl val="0"/>
      </c:catAx>
      <c:valAx>
        <c:axId val="44113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5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FF2-4BD3-86E1-36ACE81544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FF2-4BD3-86E1-36ACE81544F6}"/>
            </c:ext>
          </c:extLst>
        </c:ser>
        <c:dLbls>
          <c:showLegendKey val="0"/>
          <c:showVal val="0"/>
          <c:showCatName val="0"/>
          <c:showSerName val="0"/>
          <c:showPercent val="0"/>
          <c:showBubbleSize val="0"/>
        </c:dLbls>
        <c:gapWidth val="150"/>
        <c:overlap val="100"/>
        <c:axId val="441131488"/>
        <c:axId val="441134232"/>
      </c:barChart>
      <c:catAx>
        <c:axId val="441131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4232"/>
        <c:crosses val="autoZero"/>
        <c:auto val="1"/>
        <c:lblAlgn val="ctr"/>
        <c:lblOffset val="100"/>
        <c:tickLblSkip val="1"/>
        <c:tickMarkSkip val="1"/>
        <c:noMultiLvlLbl val="0"/>
      </c:catAx>
      <c:valAx>
        <c:axId val="44113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14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E94-44A8-A27B-50311C9C80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E94-44A8-A27B-50311C9C80DE}"/>
            </c:ext>
          </c:extLst>
        </c:ser>
        <c:dLbls>
          <c:showLegendKey val="0"/>
          <c:showVal val="0"/>
          <c:showCatName val="0"/>
          <c:showSerName val="0"/>
          <c:showPercent val="0"/>
          <c:showBubbleSize val="0"/>
        </c:dLbls>
        <c:gapWidth val="150"/>
        <c:overlap val="100"/>
        <c:axId val="441131880"/>
        <c:axId val="441127960"/>
      </c:barChart>
      <c:catAx>
        <c:axId val="44113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7960"/>
        <c:crosses val="autoZero"/>
        <c:auto val="1"/>
        <c:lblAlgn val="ctr"/>
        <c:lblOffset val="100"/>
        <c:tickLblSkip val="1"/>
        <c:tickMarkSkip val="1"/>
        <c:noMultiLvlLbl val="0"/>
      </c:catAx>
      <c:valAx>
        <c:axId val="44112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00-4574-A022-7939B8078B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00-4574-A022-7939B8078BAB}"/>
            </c:ext>
          </c:extLst>
        </c:ser>
        <c:dLbls>
          <c:showLegendKey val="0"/>
          <c:showVal val="0"/>
          <c:showCatName val="0"/>
          <c:showSerName val="0"/>
          <c:showPercent val="0"/>
          <c:showBubbleSize val="0"/>
        </c:dLbls>
        <c:gapWidth val="150"/>
        <c:overlap val="100"/>
        <c:axId val="441132272"/>
        <c:axId val="441126784"/>
      </c:barChart>
      <c:catAx>
        <c:axId val="441132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6784"/>
        <c:crosses val="autoZero"/>
        <c:auto val="1"/>
        <c:lblAlgn val="ctr"/>
        <c:lblOffset val="100"/>
        <c:tickLblSkip val="1"/>
        <c:tickMarkSkip val="1"/>
        <c:noMultiLvlLbl val="0"/>
      </c:catAx>
      <c:valAx>
        <c:axId val="441126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2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9D-4EF3-82C7-D8082953F0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9D-4EF3-82C7-D8082953F0A9}"/>
            </c:ext>
          </c:extLst>
        </c:ser>
        <c:dLbls>
          <c:showLegendKey val="0"/>
          <c:showVal val="0"/>
          <c:showCatName val="0"/>
          <c:showSerName val="0"/>
          <c:showPercent val="0"/>
          <c:showBubbleSize val="0"/>
        </c:dLbls>
        <c:gapWidth val="150"/>
        <c:overlap val="100"/>
        <c:axId val="441130704"/>
        <c:axId val="441131096"/>
      </c:barChart>
      <c:catAx>
        <c:axId val="441130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1096"/>
        <c:crosses val="autoZero"/>
        <c:auto val="1"/>
        <c:lblAlgn val="ctr"/>
        <c:lblOffset val="100"/>
        <c:tickLblSkip val="1"/>
        <c:tickMarkSkip val="1"/>
        <c:noMultiLvlLbl val="0"/>
      </c:catAx>
      <c:valAx>
        <c:axId val="441131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07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11-42F2-B731-EBAE2E47C8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11-42F2-B731-EBAE2E47C8D6}"/>
            </c:ext>
          </c:extLst>
        </c:ser>
        <c:dLbls>
          <c:showLegendKey val="0"/>
          <c:showVal val="0"/>
          <c:showCatName val="0"/>
          <c:showSerName val="0"/>
          <c:showPercent val="0"/>
          <c:showBubbleSize val="0"/>
        </c:dLbls>
        <c:gapWidth val="150"/>
        <c:overlap val="100"/>
        <c:axId val="441140896"/>
        <c:axId val="441136584"/>
      </c:barChart>
      <c:catAx>
        <c:axId val="441140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6584"/>
        <c:crosses val="autoZero"/>
        <c:auto val="1"/>
        <c:lblAlgn val="ctr"/>
        <c:lblOffset val="100"/>
        <c:tickLblSkip val="1"/>
        <c:tickMarkSkip val="1"/>
        <c:noMultiLvlLbl val="0"/>
      </c:catAx>
      <c:valAx>
        <c:axId val="441136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0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FA-4271-A499-718F75B9EB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FA-4271-A499-718F75B9EB58}"/>
            </c:ext>
          </c:extLst>
        </c:ser>
        <c:dLbls>
          <c:showLegendKey val="0"/>
          <c:showVal val="0"/>
          <c:showCatName val="0"/>
          <c:showSerName val="0"/>
          <c:showPercent val="0"/>
          <c:showBubbleSize val="0"/>
        </c:dLbls>
        <c:gapWidth val="150"/>
        <c:overlap val="100"/>
        <c:axId val="441139720"/>
        <c:axId val="441138152"/>
      </c:barChart>
      <c:catAx>
        <c:axId val="44113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8152"/>
        <c:crosses val="autoZero"/>
        <c:auto val="1"/>
        <c:lblAlgn val="ctr"/>
        <c:lblOffset val="100"/>
        <c:tickLblSkip val="1"/>
        <c:tickMarkSkip val="1"/>
        <c:noMultiLvlLbl val="0"/>
      </c:catAx>
      <c:valAx>
        <c:axId val="441138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3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A71-40FD-B3D2-10025A3007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A71-40FD-B3D2-10025A30072B}"/>
            </c:ext>
          </c:extLst>
        </c:ser>
        <c:dLbls>
          <c:showLegendKey val="0"/>
          <c:showVal val="0"/>
          <c:showCatName val="0"/>
          <c:showSerName val="0"/>
          <c:showPercent val="0"/>
          <c:showBubbleSize val="0"/>
        </c:dLbls>
        <c:gapWidth val="150"/>
        <c:overlap val="100"/>
        <c:axId val="441145992"/>
        <c:axId val="441144032"/>
      </c:barChart>
      <c:catAx>
        <c:axId val="441145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4032"/>
        <c:crosses val="autoZero"/>
        <c:auto val="1"/>
        <c:lblAlgn val="ctr"/>
        <c:lblOffset val="100"/>
        <c:tickLblSkip val="1"/>
        <c:tickMarkSkip val="1"/>
        <c:noMultiLvlLbl val="0"/>
      </c:catAx>
      <c:valAx>
        <c:axId val="44114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59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B5-426E-BB41-F41C422D31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B5-426E-BB41-F41C422D319B}"/>
            </c:ext>
          </c:extLst>
        </c:ser>
        <c:dLbls>
          <c:showLegendKey val="0"/>
          <c:showVal val="0"/>
          <c:showCatName val="0"/>
          <c:showSerName val="0"/>
          <c:showPercent val="0"/>
          <c:showBubbleSize val="0"/>
        </c:dLbls>
        <c:gapWidth val="150"/>
        <c:overlap val="100"/>
        <c:axId val="441143248"/>
        <c:axId val="441146776"/>
      </c:barChart>
      <c:catAx>
        <c:axId val="441143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6776"/>
        <c:crosses val="autoZero"/>
        <c:auto val="1"/>
        <c:lblAlgn val="ctr"/>
        <c:lblOffset val="100"/>
        <c:tickLblSkip val="1"/>
        <c:tickMarkSkip val="1"/>
        <c:noMultiLvlLbl val="0"/>
      </c:catAx>
      <c:valAx>
        <c:axId val="44114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3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38-4064-8576-9A84260004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38-4064-8576-9A84260004E4}"/>
            </c:ext>
          </c:extLst>
        </c:ser>
        <c:dLbls>
          <c:showLegendKey val="0"/>
          <c:showVal val="0"/>
          <c:showCatName val="0"/>
          <c:showSerName val="0"/>
          <c:showPercent val="0"/>
          <c:showBubbleSize val="0"/>
        </c:dLbls>
        <c:gapWidth val="150"/>
        <c:overlap val="100"/>
        <c:axId val="441140504"/>
        <c:axId val="441137368"/>
      </c:barChart>
      <c:catAx>
        <c:axId val="441140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37368"/>
        <c:crosses val="autoZero"/>
        <c:auto val="1"/>
        <c:lblAlgn val="ctr"/>
        <c:lblOffset val="100"/>
        <c:tickLblSkip val="1"/>
        <c:tickMarkSkip val="1"/>
        <c:noMultiLvlLbl val="0"/>
      </c:catAx>
      <c:valAx>
        <c:axId val="44113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0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4F-44C1-9015-FB58C2F841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4F-44C1-9015-FB58C2F8412A}"/>
            </c:ext>
          </c:extLst>
        </c:ser>
        <c:dLbls>
          <c:showLegendKey val="0"/>
          <c:showVal val="0"/>
          <c:showCatName val="0"/>
          <c:showSerName val="0"/>
          <c:showPercent val="0"/>
          <c:showBubbleSize val="0"/>
        </c:dLbls>
        <c:gapWidth val="150"/>
        <c:overlap val="100"/>
        <c:axId val="441141680"/>
        <c:axId val="441144424"/>
      </c:barChart>
      <c:catAx>
        <c:axId val="44114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4424"/>
        <c:crosses val="autoZero"/>
        <c:auto val="1"/>
        <c:lblAlgn val="ctr"/>
        <c:lblOffset val="100"/>
        <c:tickLblSkip val="1"/>
        <c:tickMarkSkip val="1"/>
        <c:noMultiLvlLbl val="0"/>
      </c:catAx>
      <c:valAx>
        <c:axId val="441144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FA-48B2-8CBB-780533B387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FA-48B2-8CBB-780533B387C5}"/>
            </c:ext>
          </c:extLst>
        </c:ser>
        <c:dLbls>
          <c:showLegendKey val="0"/>
          <c:showVal val="0"/>
          <c:showCatName val="0"/>
          <c:showSerName val="0"/>
          <c:showPercent val="0"/>
          <c:showBubbleSize val="0"/>
        </c:dLbls>
        <c:gapWidth val="150"/>
        <c:overlap val="100"/>
        <c:axId val="441156968"/>
        <c:axId val="441149520"/>
      </c:barChart>
      <c:catAx>
        <c:axId val="44115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49520"/>
        <c:crosses val="autoZero"/>
        <c:auto val="1"/>
        <c:lblAlgn val="ctr"/>
        <c:lblOffset val="100"/>
        <c:tickLblSkip val="1"/>
        <c:tickMarkSkip val="1"/>
        <c:noMultiLvlLbl val="0"/>
      </c:catAx>
      <c:valAx>
        <c:axId val="441149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99-4F9C-A740-BEA8B56135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99-4F9C-A740-BEA8B5613557}"/>
            </c:ext>
          </c:extLst>
        </c:ser>
        <c:dLbls>
          <c:showLegendKey val="0"/>
          <c:showVal val="0"/>
          <c:showCatName val="0"/>
          <c:showSerName val="0"/>
          <c:showPercent val="0"/>
          <c:showBubbleSize val="0"/>
        </c:dLbls>
        <c:gapWidth val="150"/>
        <c:overlap val="100"/>
        <c:axId val="441149912"/>
        <c:axId val="441153048"/>
      </c:barChart>
      <c:catAx>
        <c:axId val="44114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3048"/>
        <c:crosses val="autoZero"/>
        <c:auto val="1"/>
        <c:lblAlgn val="ctr"/>
        <c:lblOffset val="100"/>
        <c:tickLblSkip val="1"/>
        <c:tickMarkSkip val="1"/>
        <c:noMultiLvlLbl val="0"/>
      </c:catAx>
      <c:valAx>
        <c:axId val="44115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9-44D4-9D06-7752EEAE4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9-44D4-9D06-7752EEAE4996}"/>
            </c:ext>
          </c:extLst>
        </c:ser>
        <c:dLbls>
          <c:showLegendKey val="0"/>
          <c:showVal val="0"/>
          <c:showCatName val="0"/>
          <c:showSerName val="0"/>
          <c:showPercent val="0"/>
          <c:showBubbleSize val="0"/>
        </c:dLbls>
        <c:gapWidth val="150"/>
        <c:overlap val="100"/>
        <c:axId val="441158536"/>
        <c:axId val="441154616"/>
      </c:barChart>
      <c:catAx>
        <c:axId val="441158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4616"/>
        <c:crosses val="autoZero"/>
        <c:auto val="1"/>
        <c:lblAlgn val="ctr"/>
        <c:lblOffset val="100"/>
        <c:tickLblSkip val="1"/>
        <c:tickMarkSkip val="1"/>
        <c:noMultiLvlLbl val="0"/>
      </c:catAx>
      <c:valAx>
        <c:axId val="441154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8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B1-48F5-AC04-BD6B39775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B1-48F5-AC04-BD6B39775E75}"/>
            </c:ext>
          </c:extLst>
        </c:ser>
        <c:dLbls>
          <c:showLegendKey val="0"/>
          <c:showVal val="0"/>
          <c:showCatName val="0"/>
          <c:showSerName val="0"/>
          <c:showPercent val="0"/>
          <c:showBubbleSize val="0"/>
        </c:dLbls>
        <c:gapWidth val="150"/>
        <c:overlap val="100"/>
        <c:axId val="441151088"/>
        <c:axId val="441158144"/>
      </c:barChart>
      <c:catAx>
        <c:axId val="44115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8144"/>
        <c:crosses val="autoZero"/>
        <c:auto val="1"/>
        <c:lblAlgn val="ctr"/>
        <c:lblOffset val="100"/>
        <c:tickLblSkip val="1"/>
        <c:tickMarkSkip val="1"/>
        <c:noMultiLvlLbl val="0"/>
      </c:catAx>
      <c:valAx>
        <c:axId val="441158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1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76-4026-9885-F8AD21D1A5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76-4026-9885-F8AD21D1A5E8}"/>
            </c:ext>
          </c:extLst>
        </c:ser>
        <c:dLbls>
          <c:showLegendKey val="0"/>
          <c:showVal val="0"/>
          <c:showCatName val="0"/>
          <c:showSerName val="0"/>
          <c:showPercent val="0"/>
          <c:showBubbleSize val="0"/>
        </c:dLbls>
        <c:gapWidth val="150"/>
        <c:overlap val="100"/>
        <c:axId val="441148344"/>
        <c:axId val="441150304"/>
      </c:barChart>
      <c:catAx>
        <c:axId val="44114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0304"/>
        <c:crosses val="autoZero"/>
        <c:auto val="1"/>
        <c:lblAlgn val="ctr"/>
        <c:lblOffset val="100"/>
        <c:tickLblSkip val="1"/>
        <c:tickMarkSkip val="1"/>
        <c:noMultiLvlLbl val="0"/>
      </c:catAx>
      <c:valAx>
        <c:axId val="441150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4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A1-40E9-BB48-A0F3E6946E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A1-40E9-BB48-A0F3E6946EC8}"/>
            </c:ext>
          </c:extLst>
        </c:ser>
        <c:dLbls>
          <c:showLegendKey val="0"/>
          <c:showVal val="0"/>
          <c:showCatName val="0"/>
          <c:showSerName val="0"/>
          <c:showPercent val="0"/>
          <c:showBubbleSize val="0"/>
        </c:dLbls>
        <c:gapWidth val="150"/>
        <c:overlap val="100"/>
        <c:axId val="441156184"/>
        <c:axId val="441156576"/>
      </c:barChart>
      <c:catAx>
        <c:axId val="44115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6576"/>
        <c:crosses val="autoZero"/>
        <c:auto val="1"/>
        <c:lblAlgn val="ctr"/>
        <c:lblOffset val="100"/>
        <c:tickLblSkip val="1"/>
        <c:tickMarkSkip val="1"/>
        <c:noMultiLvlLbl val="0"/>
      </c:catAx>
      <c:valAx>
        <c:axId val="441156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6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E0-474E-B0FC-0F68FB80C45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E0-474E-B0FC-0F68FB80C457}"/>
            </c:ext>
          </c:extLst>
        </c:ser>
        <c:dLbls>
          <c:showLegendKey val="0"/>
          <c:showVal val="0"/>
          <c:showCatName val="0"/>
          <c:showSerName val="0"/>
          <c:showPercent val="0"/>
          <c:showBubbleSize val="0"/>
        </c:dLbls>
        <c:gapWidth val="150"/>
        <c:overlap val="100"/>
        <c:axId val="441151872"/>
        <c:axId val="441152264"/>
      </c:barChart>
      <c:catAx>
        <c:axId val="441151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52264"/>
        <c:crosses val="autoZero"/>
        <c:auto val="1"/>
        <c:lblAlgn val="ctr"/>
        <c:lblOffset val="100"/>
        <c:tickLblSkip val="1"/>
        <c:tickMarkSkip val="1"/>
        <c:noMultiLvlLbl val="0"/>
      </c:catAx>
      <c:valAx>
        <c:axId val="44115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51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BE-4325-9D76-AC8E67EB1F9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BE-4325-9D76-AC8E67EB1F99}"/>
            </c:ext>
          </c:extLst>
        </c:ser>
        <c:dLbls>
          <c:showLegendKey val="0"/>
          <c:showVal val="0"/>
          <c:showCatName val="0"/>
          <c:showSerName val="0"/>
          <c:showPercent val="0"/>
          <c:showBubbleSize val="0"/>
        </c:dLbls>
        <c:gapWidth val="150"/>
        <c:overlap val="100"/>
        <c:axId val="441160104"/>
        <c:axId val="441160496"/>
      </c:barChart>
      <c:catAx>
        <c:axId val="441160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60496"/>
        <c:crosses val="autoZero"/>
        <c:auto val="1"/>
        <c:lblAlgn val="ctr"/>
        <c:lblOffset val="100"/>
        <c:tickLblSkip val="1"/>
        <c:tickMarkSkip val="1"/>
        <c:noMultiLvlLbl val="0"/>
      </c:catAx>
      <c:valAx>
        <c:axId val="44116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60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4E-4E4B-95A7-062B5ADF40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4E-4E4B-95A7-062B5ADF40E4}"/>
            </c:ext>
          </c:extLst>
        </c:ser>
        <c:dLbls>
          <c:showLegendKey val="0"/>
          <c:showVal val="0"/>
          <c:showCatName val="0"/>
          <c:showSerName val="0"/>
          <c:showPercent val="0"/>
          <c:showBubbleSize val="0"/>
        </c:dLbls>
        <c:gapWidth val="150"/>
        <c:overlap val="100"/>
        <c:axId val="441104048"/>
        <c:axId val="441107184"/>
      </c:barChart>
      <c:catAx>
        <c:axId val="441104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7184"/>
        <c:crosses val="autoZero"/>
        <c:auto val="1"/>
        <c:lblAlgn val="ctr"/>
        <c:lblOffset val="100"/>
        <c:tickLblSkip val="1"/>
        <c:tickMarkSkip val="1"/>
        <c:noMultiLvlLbl val="0"/>
      </c:catAx>
      <c:valAx>
        <c:axId val="441107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4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E5-4CD9-8666-396B2D010F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E5-4CD9-8666-396B2D010FB6}"/>
            </c:ext>
          </c:extLst>
        </c:ser>
        <c:dLbls>
          <c:showLegendKey val="0"/>
          <c:showVal val="0"/>
          <c:showCatName val="0"/>
          <c:showSerName val="0"/>
          <c:showPercent val="0"/>
          <c:showBubbleSize val="0"/>
        </c:dLbls>
        <c:gapWidth val="150"/>
        <c:overlap val="100"/>
        <c:axId val="441105616"/>
        <c:axId val="441099736"/>
      </c:barChart>
      <c:catAx>
        <c:axId val="441105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099736"/>
        <c:crosses val="autoZero"/>
        <c:auto val="1"/>
        <c:lblAlgn val="ctr"/>
        <c:lblOffset val="100"/>
        <c:tickLblSkip val="1"/>
        <c:tickMarkSkip val="1"/>
        <c:noMultiLvlLbl val="0"/>
      </c:catAx>
      <c:valAx>
        <c:axId val="441099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5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82-4B16-BABC-00F3DB8E8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82-4B16-BABC-00F3DB8E8F41}"/>
            </c:ext>
          </c:extLst>
        </c:ser>
        <c:dLbls>
          <c:showLegendKey val="0"/>
          <c:showVal val="0"/>
          <c:showCatName val="0"/>
          <c:showSerName val="0"/>
          <c:showPercent val="0"/>
          <c:showBubbleSize val="0"/>
        </c:dLbls>
        <c:gapWidth val="150"/>
        <c:overlap val="100"/>
        <c:axId val="441102088"/>
        <c:axId val="441100912"/>
      </c:barChart>
      <c:catAx>
        <c:axId val="441102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0912"/>
        <c:crosses val="autoZero"/>
        <c:auto val="1"/>
        <c:lblAlgn val="ctr"/>
        <c:lblOffset val="100"/>
        <c:tickLblSkip val="1"/>
        <c:tickMarkSkip val="1"/>
        <c:noMultiLvlLbl val="0"/>
      </c:catAx>
      <c:valAx>
        <c:axId val="44110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2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E7-4B21-986F-EFFFF940A44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E7-4B21-986F-EFFFF940A44F}"/>
            </c:ext>
          </c:extLst>
        </c:ser>
        <c:dLbls>
          <c:showLegendKey val="0"/>
          <c:showVal val="0"/>
          <c:showCatName val="0"/>
          <c:showSerName val="0"/>
          <c:showPercent val="0"/>
          <c:showBubbleSize val="0"/>
        </c:dLbls>
        <c:gapWidth val="150"/>
        <c:overlap val="100"/>
        <c:axId val="441097776"/>
        <c:axId val="441098952"/>
      </c:barChart>
      <c:catAx>
        <c:axId val="441097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098952"/>
        <c:crosses val="autoZero"/>
        <c:auto val="1"/>
        <c:lblAlgn val="ctr"/>
        <c:lblOffset val="100"/>
        <c:tickLblSkip val="1"/>
        <c:tickMarkSkip val="1"/>
        <c:noMultiLvlLbl val="0"/>
      </c:catAx>
      <c:valAx>
        <c:axId val="441098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7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3C-4EAB-A979-023B4DFE4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3C-4EAB-A979-023B4DFE4B3C}"/>
            </c:ext>
          </c:extLst>
        </c:ser>
        <c:dLbls>
          <c:showLegendKey val="0"/>
          <c:showVal val="0"/>
          <c:showCatName val="0"/>
          <c:showSerName val="0"/>
          <c:showPercent val="0"/>
          <c:showBubbleSize val="0"/>
        </c:dLbls>
        <c:gapWidth val="150"/>
        <c:overlap val="100"/>
        <c:axId val="441099344"/>
        <c:axId val="441109144"/>
      </c:barChart>
      <c:catAx>
        <c:axId val="441099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9144"/>
        <c:crosses val="autoZero"/>
        <c:auto val="1"/>
        <c:lblAlgn val="ctr"/>
        <c:lblOffset val="100"/>
        <c:tickLblSkip val="1"/>
        <c:tickMarkSkip val="1"/>
        <c:noMultiLvlLbl val="0"/>
      </c:catAx>
      <c:valAx>
        <c:axId val="441109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9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4D-4225-AA30-E2A97C2E89E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4D-4225-AA30-E2A97C2E89E8}"/>
            </c:ext>
          </c:extLst>
        </c:ser>
        <c:dLbls>
          <c:showLegendKey val="0"/>
          <c:showVal val="0"/>
          <c:showCatName val="0"/>
          <c:showSerName val="0"/>
          <c:showPercent val="0"/>
          <c:showBubbleSize val="0"/>
        </c:dLbls>
        <c:gapWidth val="150"/>
        <c:overlap val="100"/>
        <c:axId val="441107968"/>
        <c:axId val="441108360"/>
      </c:barChart>
      <c:catAx>
        <c:axId val="441107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08360"/>
        <c:crosses val="autoZero"/>
        <c:auto val="1"/>
        <c:lblAlgn val="ctr"/>
        <c:lblOffset val="100"/>
        <c:tickLblSkip val="1"/>
        <c:tickMarkSkip val="1"/>
        <c:noMultiLvlLbl val="0"/>
      </c:catAx>
      <c:valAx>
        <c:axId val="441108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7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D6-45E7-A2AB-D34DBBECF0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D6-45E7-A2AB-D34DBBECF0F7}"/>
            </c:ext>
          </c:extLst>
        </c:ser>
        <c:dLbls>
          <c:showLegendKey val="0"/>
          <c:showVal val="0"/>
          <c:showCatName val="0"/>
          <c:showSerName val="0"/>
          <c:showPercent val="0"/>
          <c:showBubbleSize val="0"/>
        </c:dLbls>
        <c:gapWidth val="150"/>
        <c:overlap val="100"/>
        <c:axId val="441098560"/>
        <c:axId val="441113456"/>
      </c:barChart>
      <c:catAx>
        <c:axId val="441098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3456"/>
        <c:crosses val="autoZero"/>
        <c:auto val="1"/>
        <c:lblAlgn val="ctr"/>
        <c:lblOffset val="100"/>
        <c:tickLblSkip val="1"/>
        <c:tickMarkSkip val="1"/>
        <c:noMultiLvlLbl val="0"/>
      </c:catAx>
      <c:valAx>
        <c:axId val="441113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098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40-4F2E-8A32-5D53D16DB14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40-4F2E-8A32-5D53D16DB14E}"/>
            </c:ext>
          </c:extLst>
        </c:ser>
        <c:dLbls>
          <c:showLegendKey val="0"/>
          <c:showVal val="0"/>
          <c:showCatName val="0"/>
          <c:showSerName val="0"/>
          <c:showPercent val="0"/>
          <c:showBubbleSize val="0"/>
        </c:dLbls>
        <c:gapWidth val="150"/>
        <c:overlap val="100"/>
        <c:axId val="441122080"/>
        <c:axId val="441121688"/>
      </c:barChart>
      <c:catAx>
        <c:axId val="441122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1688"/>
        <c:crosses val="autoZero"/>
        <c:auto val="1"/>
        <c:lblAlgn val="ctr"/>
        <c:lblOffset val="100"/>
        <c:tickLblSkip val="1"/>
        <c:tickMarkSkip val="1"/>
        <c:noMultiLvlLbl val="0"/>
      </c:catAx>
      <c:valAx>
        <c:axId val="441121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22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9-426B-968C-9796BEF6A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9-426B-968C-9796BEF6A9A7}"/>
            </c:ext>
          </c:extLst>
        </c:ser>
        <c:dLbls>
          <c:showLegendKey val="0"/>
          <c:showVal val="0"/>
          <c:showCatName val="0"/>
          <c:showSerName val="0"/>
          <c:showPercent val="0"/>
          <c:showBubbleSize val="0"/>
        </c:dLbls>
        <c:gapWidth val="150"/>
        <c:overlap val="100"/>
        <c:axId val="441110712"/>
        <c:axId val="441117376"/>
      </c:barChart>
      <c:catAx>
        <c:axId val="44111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7376"/>
        <c:crosses val="autoZero"/>
        <c:auto val="1"/>
        <c:lblAlgn val="ctr"/>
        <c:lblOffset val="100"/>
        <c:tickLblSkip val="1"/>
        <c:tickMarkSkip val="1"/>
        <c:noMultiLvlLbl val="0"/>
      </c:catAx>
      <c:valAx>
        <c:axId val="441117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3-48BB-A552-15E8005298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3-48BB-A552-15E800529818}"/>
            </c:ext>
          </c:extLst>
        </c:ser>
        <c:dLbls>
          <c:showLegendKey val="0"/>
          <c:showVal val="0"/>
          <c:showCatName val="0"/>
          <c:showSerName val="0"/>
          <c:showPercent val="0"/>
          <c:showBubbleSize val="0"/>
        </c:dLbls>
        <c:gapWidth val="150"/>
        <c:overlap val="100"/>
        <c:axId val="441109928"/>
        <c:axId val="441117768"/>
      </c:barChart>
      <c:catAx>
        <c:axId val="441109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7768"/>
        <c:crosses val="autoZero"/>
        <c:auto val="1"/>
        <c:lblAlgn val="ctr"/>
        <c:lblOffset val="100"/>
        <c:tickLblSkip val="1"/>
        <c:tickMarkSkip val="1"/>
        <c:noMultiLvlLbl val="0"/>
      </c:catAx>
      <c:valAx>
        <c:axId val="441117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09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6BD-4516-ACCA-2CD76FF4FE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6BD-4516-ACCA-2CD76FF4FE83}"/>
            </c:ext>
          </c:extLst>
        </c:ser>
        <c:dLbls>
          <c:showLegendKey val="0"/>
          <c:showVal val="0"/>
          <c:showCatName val="0"/>
          <c:showSerName val="0"/>
          <c:showPercent val="0"/>
          <c:showBubbleSize val="0"/>
        </c:dLbls>
        <c:gapWidth val="150"/>
        <c:overlap val="100"/>
        <c:axId val="441115808"/>
        <c:axId val="441118160"/>
      </c:barChart>
      <c:catAx>
        <c:axId val="44111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8160"/>
        <c:crosses val="autoZero"/>
        <c:auto val="1"/>
        <c:lblAlgn val="ctr"/>
        <c:lblOffset val="100"/>
        <c:tickLblSkip val="1"/>
        <c:tickMarkSkip val="1"/>
        <c:noMultiLvlLbl val="0"/>
      </c:catAx>
      <c:valAx>
        <c:axId val="441118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4-47C2-9E80-F25E45C050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4-47C2-9E80-F25E45C050E0}"/>
            </c:ext>
          </c:extLst>
        </c:ser>
        <c:dLbls>
          <c:showLegendKey val="0"/>
          <c:showVal val="0"/>
          <c:showCatName val="0"/>
          <c:showSerName val="0"/>
          <c:showPercent val="0"/>
          <c:showBubbleSize val="0"/>
        </c:dLbls>
        <c:gapWidth val="150"/>
        <c:overlap val="100"/>
        <c:axId val="441114632"/>
        <c:axId val="441119336"/>
      </c:barChart>
      <c:catAx>
        <c:axId val="441114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19336"/>
        <c:crosses val="autoZero"/>
        <c:auto val="1"/>
        <c:lblAlgn val="ctr"/>
        <c:lblOffset val="100"/>
        <c:tickLblSkip val="1"/>
        <c:tickMarkSkip val="1"/>
        <c:noMultiLvlLbl val="0"/>
      </c:catAx>
      <c:valAx>
        <c:axId val="44111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4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8-4827-8BF7-AFA7FD3495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8-4827-8BF7-AFA7FD349567}"/>
            </c:ext>
          </c:extLst>
        </c:ser>
        <c:dLbls>
          <c:showLegendKey val="0"/>
          <c:showVal val="0"/>
          <c:showCatName val="0"/>
          <c:showSerName val="0"/>
          <c:showPercent val="0"/>
          <c:showBubbleSize val="0"/>
        </c:dLbls>
        <c:gapWidth val="150"/>
        <c:overlap val="100"/>
        <c:axId val="441111496"/>
        <c:axId val="441121296"/>
      </c:barChart>
      <c:catAx>
        <c:axId val="441111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1121296"/>
        <c:crosses val="autoZero"/>
        <c:auto val="1"/>
        <c:lblAlgn val="ctr"/>
        <c:lblOffset val="100"/>
        <c:tickLblSkip val="1"/>
        <c:tickMarkSkip val="1"/>
        <c:noMultiLvlLbl val="0"/>
      </c:catAx>
      <c:valAx>
        <c:axId val="44112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1111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E3-45DD-AAC3-655EC57450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E3-45DD-AAC3-655EC574506B}"/>
            </c:ext>
          </c:extLst>
        </c:ser>
        <c:dLbls>
          <c:showLegendKey val="0"/>
          <c:showVal val="0"/>
          <c:showCatName val="0"/>
          <c:showSerName val="0"/>
          <c:showPercent val="0"/>
          <c:showBubbleSize val="0"/>
        </c:dLbls>
        <c:gapWidth val="150"/>
        <c:overlap val="100"/>
        <c:axId val="443214648"/>
        <c:axId val="443217784"/>
      </c:barChart>
      <c:catAx>
        <c:axId val="443214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7784"/>
        <c:crosses val="autoZero"/>
        <c:auto val="1"/>
        <c:lblAlgn val="ctr"/>
        <c:lblOffset val="100"/>
        <c:tickLblSkip val="1"/>
        <c:tickMarkSkip val="1"/>
        <c:noMultiLvlLbl val="0"/>
      </c:catAx>
      <c:valAx>
        <c:axId val="44321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4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25-49D7-B4BF-118AEAD85E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25-49D7-B4BF-118AEAD85E1A}"/>
            </c:ext>
          </c:extLst>
        </c:ser>
        <c:dLbls>
          <c:showLegendKey val="0"/>
          <c:showVal val="0"/>
          <c:showCatName val="0"/>
          <c:showSerName val="0"/>
          <c:showPercent val="0"/>
          <c:showBubbleSize val="0"/>
        </c:dLbls>
        <c:gapWidth val="150"/>
        <c:overlap val="100"/>
        <c:axId val="443222096"/>
        <c:axId val="443212688"/>
      </c:barChart>
      <c:catAx>
        <c:axId val="443222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2688"/>
        <c:crosses val="autoZero"/>
        <c:auto val="1"/>
        <c:lblAlgn val="ctr"/>
        <c:lblOffset val="100"/>
        <c:tickLblSkip val="1"/>
        <c:tickMarkSkip val="1"/>
        <c:noMultiLvlLbl val="0"/>
      </c:catAx>
      <c:valAx>
        <c:axId val="443212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2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6D-4065-80E0-E3A8ADADF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6D-4065-80E0-E3A8ADADFA43}"/>
            </c:ext>
          </c:extLst>
        </c:ser>
        <c:dLbls>
          <c:showLegendKey val="0"/>
          <c:showVal val="0"/>
          <c:showCatName val="0"/>
          <c:showSerName val="0"/>
          <c:showPercent val="0"/>
          <c:showBubbleSize val="0"/>
        </c:dLbls>
        <c:gapWidth val="150"/>
        <c:overlap val="100"/>
        <c:axId val="443218960"/>
        <c:axId val="443218568"/>
      </c:barChart>
      <c:catAx>
        <c:axId val="443218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8568"/>
        <c:crosses val="autoZero"/>
        <c:auto val="1"/>
        <c:lblAlgn val="ctr"/>
        <c:lblOffset val="100"/>
        <c:tickLblSkip val="1"/>
        <c:tickMarkSkip val="1"/>
        <c:noMultiLvlLbl val="0"/>
      </c:catAx>
      <c:valAx>
        <c:axId val="443218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8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41-430C-BC3D-0E346C94AF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41-430C-BC3D-0E346C94AF3C}"/>
            </c:ext>
          </c:extLst>
        </c:ser>
        <c:dLbls>
          <c:showLegendKey val="0"/>
          <c:showVal val="0"/>
          <c:showCatName val="0"/>
          <c:showSerName val="0"/>
          <c:showPercent val="0"/>
          <c:showBubbleSize val="0"/>
        </c:dLbls>
        <c:gapWidth val="150"/>
        <c:overlap val="100"/>
        <c:axId val="443219352"/>
        <c:axId val="443219744"/>
      </c:barChart>
      <c:catAx>
        <c:axId val="443219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9744"/>
        <c:crosses val="autoZero"/>
        <c:auto val="1"/>
        <c:lblAlgn val="ctr"/>
        <c:lblOffset val="100"/>
        <c:tickLblSkip val="1"/>
        <c:tickMarkSkip val="1"/>
        <c:noMultiLvlLbl val="0"/>
      </c:catAx>
      <c:valAx>
        <c:axId val="44321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9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E-4341-B22E-9E08742D58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E-4341-B22E-9E08742D58D7}"/>
            </c:ext>
          </c:extLst>
        </c:ser>
        <c:dLbls>
          <c:showLegendKey val="0"/>
          <c:showVal val="0"/>
          <c:showCatName val="0"/>
          <c:showSerName val="0"/>
          <c:showPercent val="0"/>
          <c:showBubbleSize val="0"/>
        </c:dLbls>
        <c:gapWidth val="150"/>
        <c:overlap val="100"/>
        <c:axId val="443213472"/>
        <c:axId val="443220920"/>
      </c:barChart>
      <c:catAx>
        <c:axId val="443213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0920"/>
        <c:crosses val="autoZero"/>
        <c:auto val="1"/>
        <c:lblAlgn val="ctr"/>
        <c:lblOffset val="100"/>
        <c:tickLblSkip val="1"/>
        <c:tickMarkSkip val="1"/>
        <c:noMultiLvlLbl val="0"/>
      </c:catAx>
      <c:valAx>
        <c:axId val="443220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13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C6-4236-A6B3-97E192674E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C6-4236-A6B3-97E192674E95}"/>
            </c:ext>
          </c:extLst>
        </c:ser>
        <c:dLbls>
          <c:showLegendKey val="0"/>
          <c:showVal val="0"/>
          <c:showCatName val="0"/>
          <c:showSerName val="0"/>
          <c:showPercent val="0"/>
          <c:showBubbleSize val="0"/>
        </c:dLbls>
        <c:gapWidth val="150"/>
        <c:overlap val="100"/>
        <c:axId val="443223664"/>
        <c:axId val="443215040"/>
      </c:barChart>
      <c:catAx>
        <c:axId val="443223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5040"/>
        <c:crosses val="autoZero"/>
        <c:auto val="1"/>
        <c:lblAlgn val="ctr"/>
        <c:lblOffset val="100"/>
        <c:tickLblSkip val="1"/>
        <c:tickMarkSkip val="1"/>
        <c:noMultiLvlLbl val="0"/>
      </c:catAx>
      <c:valAx>
        <c:axId val="443215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3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6E-4293-AC6C-869BF579D4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6E-4293-AC6C-869BF579D42A}"/>
            </c:ext>
          </c:extLst>
        </c:ser>
        <c:dLbls>
          <c:showLegendKey val="0"/>
          <c:showVal val="0"/>
          <c:showCatName val="0"/>
          <c:showSerName val="0"/>
          <c:showPercent val="0"/>
          <c:showBubbleSize val="0"/>
        </c:dLbls>
        <c:gapWidth val="150"/>
        <c:overlap val="100"/>
        <c:axId val="443236208"/>
        <c:axId val="443227192"/>
      </c:barChart>
      <c:catAx>
        <c:axId val="443236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7192"/>
        <c:crosses val="autoZero"/>
        <c:auto val="1"/>
        <c:lblAlgn val="ctr"/>
        <c:lblOffset val="100"/>
        <c:tickLblSkip val="1"/>
        <c:tickMarkSkip val="1"/>
        <c:noMultiLvlLbl val="0"/>
      </c:catAx>
      <c:valAx>
        <c:axId val="443227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6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C5-448D-9D34-9973ABE674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C5-448D-9D34-9973ABE67407}"/>
            </c:ext>
          </c:extLst>
        </c:ser>
        <c:dLbls>
          <c:showLegendKey val="0"/>
          <c:showVal val="0"/>
          <c:showCatName val="0"/>
          <c:showSerName val="0"/>
          <c:showPercent val="0"/>
          <c:showBubbleSize val="0"/>
        </c:dLbls>
        <c:gapWidth val="150"/>
        <c:overlap val="100"/>
        <c:axId val="443228368"/>
        <c:axId val="443231504"/>
      </c:barChart>
      <c:catAx>
        <c:axId val="443228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1504"/>
        <c:crosses val="autoZero"/>
        <c:auto val="1"/>
        <c:lblAlgn val="ctr"/>
        <c:lblOffset val="100"/>
        <c:tickLblSkip val="1"/>
        <c:tickMarkSkip val="1"/>
        <c:noMultiLvlLbl val="0"/>
      </c:catAx>
      <c:valAx>
        <c:axId val="443231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8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B39-44EF-9C2B-BA147AB635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B39-44EF-9C2B-BA147AB63534}"/>
            </c:ext>
          </c:extLst>
        </c:ser>
        <c:dLbls>
          <c:showLegendKey val="0"/>
          <c:showVal val="0"/>
          <c:showCatName val="0"/>
          <c:showSerName val="0"/>
          <c:showPercent val="0"/>
          <c:showBubbleSize val="0"/>
        </c:dLbls>
        <c:gapWidth val="150"/>
        <c:overlap val="100"/>
        <c:axId val="443227584"/>
        <c:axId val="443232680"/>
      </c:barChart>
      <c:catAx>
        <c:axId val="44322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2680"/>
        <c:crosses val="autoZero"/>
        <c:auto val="1"/>
        <c:lblAlgn val="ctr"/>
        <c:lblOffset val="100"/>
        <c:tickLblSkip val="1"/>
        <c:tickMarkSkip val="1"/>
        <c:noMultiLvlLbl val="0"/>
      </c:catAx>
      <c:valAx>
        <c:axId val="443232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7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90-455B-AE6A-996CAE3BAD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90-455B-AE6A-996CAE3BADE0}"/>
            </c:ext>
          </c:extLst>
        </c:ser>
        <c:dLbls>
          <c:showLegendKey val="0"/>
          <c:showVal val="0"/>
          <c:showCatName val="0"/>
          <c:showSerName val="0"/>
          <c:showPercent val="0"/>
          <c:showBubbleSize val="0"/>
        </c:dLbls>
        <c:gapWidth val="150"/>
        <c:overlap val="100"/>
        <c:axId val="443236992"/>
        <c:axId val="443236600"/>
      </c:barChart>
      <c:catAx>
        <c:axId val="443236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6600"/>
        <c:crosses val="autoZero"/>
        <c:auto val="1"/>
        <c:lblAlgn val="ctr"/>
        <c:lblOffset val="100"/>
        <c:tickLblSkip val="1"/>
        <c:tickMarkSkip val="1"/>
        <c:noMultiLvlLbl val="0"/>
      </c:catAx>
      <c:valAx>
        <c:axId val="443236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6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B3-42FD-8274-A4CC26E6A6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B3-42FD-8274-A4CC26E6A65E}"/>
            </c:ext>
          </c:extLst>
        </c:ser>
        <c:dLbls>
          <c:showLegendKey val="0"/>
          <c:showVal val="0"/>
          <c:showCatName val="0"/>
          <c:showSerName val="0"/>
          <c:showPercent val="0"/>
          <c:showBubbleSize val="0"/>
        </c:dLbls>
        <c:gapWidth val="150"/>
        <c:overlap val="100"/>
        <c:axId val="443229152"/>
        <c:axId val="443229544"/>
      </c:barChart>
      <c:catAx>
        <c:axId val="443229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29544"/>
        <c:crosses val="autoZero"/>
        <c:auto val="1"/>
        <c:lblAlgn val="ctr"/>
        <c:lblOffset val="100"/>
        <c:tickLblSkip val="1"/>
        <c:tickMarkSkip val="1"/>
        <c:noMultiLvlLbl val="0"/>
      </c:catAx>
      <c:valAx>
        <c:axId val="443229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291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D2-4499-B022-14C26853E8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D2-4499-B022-14C26853E8C6}"/>
            </c:ext>
          </c:extLst>
        </c:ser>
        <c:dLbls>
          <c:showLegendKey val="0"/>
          <c:showVal val="0"/>
          <c:showCatName val="0"/>
          <c:showSerName val="0"/>
          <c:showPercent val="0"/>
          <c:showBubbleSize val="0"/>
        </c:dLbls>
        <c:gapWidth val="150"/>
        <c:overlap val="100"/>
        <c:axId val="443230720"/>
        <c:axId val="443231112"/>
      </c:barChart>
      <c:catAx>
        <c:axId val="443230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1112"/>
        <c:crosses val="autoZero"/>
        <c:auto val="1"/>
        <c:lblAlgn val="ctr"/>
        <c:lblOffset val="100"/>
        <c:tickLblSkip val="1"/>
        <c:tickMarkSkip val="1"/>
        <c:noMultiLvlLbl val="0"/>
      </c:catAx>
      <c:valAx>
        <c:axId val="443231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0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A6-4CF3-83AA-57E920F9DB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A6-4CF3-83AA-57E920F9DB68}"/>
            </c:ext>
          </c:extLst>
        </c:ser>
        <c:dLbls>
          <c:showLegendKey val="0"/>
          <c:showVal val="0"/>
          <c:showCatName val="0"/>
          <c:showSerName val="0"/>
          <c:showPercent val="0"/>
          <c:showBubbleSize val="0"/>
        </c:dLbls>
        <c:gapWidth val="150"/>
        <c:overlap val="100"/>
        <c:axId val="443235032"/>
        <c:axId val="443235424"/>
      </c:barChart>
      <c:catAx>
        <c:axId val="443235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5424"/>
        <c:crosses val="autoZero"/>
        <c:auto val="1"/>
        <c:lblAlgn val="ctr"/>
        <c:lblOffset val="100"/>
        <c:tickLblSkip val="1"/>
        <c:tickMarkSkip val="1"/>
        <c:noMultiLvlLbl val="0"/>
      </c:catAx>
      <c:valAx>
        <c:axId val="443235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350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C7-4250-9781-F843F8A6F0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C7-4250-9781-F843F8A6F00D}"/>
            </c:ext>
          </c:extLst>
        </c:ser>
        <c:dLbls>
          <c:showLegendKey val="0"/>
          <c:showVal val="0"/>
          <c:showCatName val="0"/>
          <c:showSerName val="0"/>
          <c:showPercent val="0"/>
          <c:showBubbleSize val="0"/>
        </c:dLbls>
        <c:gapWidth val="150"/>
        <c:overlap val="100"/>
        <c:axId val="443240128"/>
        <c:axId val="443237776"/>
      </c:barChart>
      <c:catAx>
        <c:axId val="44324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37776"/>
        <c:crosses val="autoZero"/>
        <c:auto val="1"/>
        <c:lblAlgn val="ctr"/>
        <c:lblOffset val="100"/>
        <c:tickLblSkip val="1"/>
        <c:tickMarkSkip val="1"/>
        <c:noMultiLvlLbl val="0"/>
      </c:catAx>
      <c:valAx>
        <c:axId val="44323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4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41B-4336-8896-A54C5EA5E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41B-4336-8896-A54C5EA5E93E}"/>
            </c:ext>
          </c:extLst>
        </c:ser>
        <c:dLbls>
          <c:showLegendKey val="0"/>
          <c:showVal val="0"/>
          <c:showCatName val="0"/>
          <c:showSerName val="0"/>
          <c:showPercent val="0"/>
          <c:showBubbleSize val="0"/>
        </c:dLbls>
        <c:gapWidth val="150"/>
        <c:overlap val="100"/>
        <c:axId val="443185640"/>
        <c:axId val="443176232"/>
      </c:barChart>
      <c:catAx>
        <c:axId val="443185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6232"/>
        <c:crosses val="autoZero"/>
        <c:auto val="1"/>
        <c:lblAlgn val="ctr"/>
        <c:lblOffset val="100"/>
        <c:tickLblSkip val="1"/>
        <c:tickMarkSkip val="1"/>
        <c:noMultiLvlLbl val="0"/>
      </c:catAx>
      <c:valAx>
        <c:axId val="443176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5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F0-4E8E-A6AD-704257BCE7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F0-4E8E-A6AD-704257BCE743}"/>
            </c:ext>
          </c:extLst>
        </c:ser>
        <c:dLbls>
          <c:showLegendKey val="0"/>
          <c:showVal val="0"/>
          <c:showCatName val="0"/>
          <c:showSerName val="0"/>
          <c:showPercent val="0"/>
          <c:showBubbleSize val="0"/>
        </c:dLbls>
        <c:gapWidth val="150"/>
        <c:overlap val="100"/>
        <c:axId val="443176624"/>
        <c:axId val="443182896"/>
      </c:barChart>
      <c:catAx>
        <c:axId val="443176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2896"/>
        <c:crosses val="autoZero"/>
        <c:auto val="1"/>
        <c:lblAlgn val="ctr"/>
        <c:lblOffset val="100"/>
        <c:tickLblSkip val="1"/>
        <c:tickMarkSkip val="1"/>
        <c:noMultiLvlLbl val="0"/>
      </c:catAx>
      <c:valAx>
        <c:axId val="443182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76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5F-4B9C-A610-395D989A71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5F-4B9C-A610-395D989A7108}"/>
            </c:ext>
          </c:extLst>
        </c:ser>
        <c:dLbls>
          <c:showLegendKey val="0"/>
          <c:showVal val="0"/>
          <c:showCatName val="0"/>
          <c:showSerName val="0"/>
          <c:showPercent val="0"/>
          <c:showBubbleSize val="0"/>
        </c:dLbls>
        <c:gapWidth val="150"/>
        <c:overlap val="100"/>
        <c:axId val="443178192"/>
        <c:axId val="443178584"/>
      </c:barChart>
      <c:catAx>
        <c:axId val="443178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8584"/>
        <c:crosses val="autoZero"/>
        <c:auto val="1"/>
        <c:lblAlgn val="ctr"/>
        <c:lblOffset val="100"/>
        <c:tickLblSkip val="1"/>
        <c:tickMarkSkip val="1"/>
        <c:noMultiLvlLbl val="0"/>
      </c:catAx>
      <c:valAx>
        <c:axId val="443178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7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D7-4D67-AFD6-8E2DC9F173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D7-4D67-AFD6-8E2DC9F173ED}"/>
            </c:ext>
          </c:extLst>
        </c:ser>
        <c:dLbls>
          <c:showLegendKey val="0"/>
          <c:showVal val="0"/>
          <c:showCatName val="0"/>
          <c:showSerName val="0"/>
          <c:showPercent val="0"/>
          <c:showBubbleSize val="0"/>
        </c:dLbls>
        <c:gapWidth val="150"/>
        <c:overlap val="100"/>
        <c:axId val="443186032"/>
        <c:axId val="443182112"/>
      </c:barChart>
      <c:catAx>
        <c:axId val="443186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2112"/>
        <c:crosses val="autoZero"/>
        <c:auto val="1"/>
        <c:lblAlgn val="ctr"/>
        <c:lblOffset val="100"/>
        <c:tickLblSkip val="1"/>
        <c:tickMarkSkip val="1"/>
        <c:noMultiLvlLbl val="0"/>
      </c:catAx>
      <c:valAx>
        <c:axId val="443182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6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CF-4959-BBC7-501B81AF24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CF-4959-BBC7-501B81AF244C}"/>
            </c:ext>
          </c:extLst>
        </c:ser>
        <c:dLbls>
          <c:showLegendKey val="0"/>
          <c:showVal val="0"/>
          <c:showCatName val="0"/>
          <c:showSerName val="0"/>
          <c:showPercent val="0"/>
          <c:showBubbleSize val="0"/>
        </c:dLbls>
        <c:gapWidth val="150"/>
        <c:overlap val="100"/>
        <c:axId val="443187208"/>
        <c:axId val="443175056"/>
      </c:barChart>
      <c:catAx>
        <c:axId val="44318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5056"/>
        <c:crosses val="autoZero"/>
        <c:auto val="1"/>
        <c:lblAlgn val="ctr"/>
        <c:lblOffset val="100"/>
        <c:tickLblSkip val="1"/>
        <c:tickMarkSkip val="1"/>
        <c:noMultiLvlLbl val="0"/>
      </c:catAx>
      <c:valAx>
        <c:axId val="443175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C18-A294-D13A5FDAD5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C18-A294-D13A5FDAD58F}"/>
            </c:ext>
          </c:extLst>
        </c:ser>
        <c:dLbls>
          <c:showLegendKey val="0"/>
          <c:showVal val="0"/>
          <c:showCatName val="0"/>
          <c:showSerName val="0"/>
          <c:showPercent val="0"/>
          <c:showBubbleSize val="0"/>
        </c:dLbls>
        <c:gapWidth val="150"/>
        <c:overlap val="100"/>
        <c:axId val="443181720"/>
        <c:axId val="443179760"/>
      </c:barChart>
      <c:catAx>
        <c:axId val="443181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79760"/>
        <c:crosses val="autoZero"/>
        <c:auto val="1"/>
        <c:lblAlgn val="ctr"/>
        <c:lblOffset val="100"/>
        <c:tickLblSkip val="1"/>
        <c:tickMarkSkip val="1"/>
        <c:noMultiLvlLbl val="0"/>
      </c:catAx>
      <c:valAx>
        <c:axId val="443179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0C-4AAB-9714-88227DADB2A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0C-4AAB-9714-88227DADB2A4}"/>
            </c:ext>
          </c:extLst>
        </c:ser>
        <c:dLbls>
          <c:showLegendKey val="0"/>
          <c:showVal val="0"/>
          <c:showCatName val="0"/>
          <c:showSerName val="0"/>
          <c:showPercent val="0"/>
          <c:showBubbleSize val="0"/>
        </c:dLbls>
        <c:gapWidth val="150"/>
        <c:overlap val="100"/>
        <c:axId val="443180936"/>
        <c:axId val="443189952"/>
      </c:barChart>
      <c:catAx>
        <c:axId val="443180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9952"/>
        <c:crosses val="autoZero"/>
        <c:auto val="1"/>
        <c:lblAlgn val="ctr"/>
        <c:lblOffset val="100"/>
        <c:tickLblSkip val="1"/>
        <c:tickMarkSkip val="1"/>
        <c:noMultiLvlLbl val="0"/>
      </c:catAx>
      <c:valAx>
        <c:axId val="443189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80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879-4CB9-B87C-2B2E3C6226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879-4CB9-B87C-2B2E3C62268E}"/>
            </c:ext>
          </c:extLst>
        </c:ser>
        <c:dLbls>
          <c:showLegendKey val="0"/>
          <c:showVal val="0"/>
          <c:showCatName val="0"/>
          <c:showSerName val="0"/>
          <c:showPercent val="0"/>
          <c:showBubbleSize val="0"/>
        </c:dLbls>
        <c:gapWidth val="150"/>
        <c:overlap val="100"/>
        <c:axId val="443194264"/>
        <c:axId val="443193480"/>
      </c:barChart>
      <c:catAx>
        <c:axId val="443194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3480"/>
        <c:crosses val="autoZero"/>
        <c:auto val="1"/>
        <c:lblAlgn val="ctr"/>
        <c:lblOffset val="100"/>
        <c:tickLblSkip val="1"/>
        <c:tickMarkSkip val="1"/>
        <c:noMultiLvlLbl val="0"/>
      </c:catAx>
      <c:valAx>
        <c:axId val="443193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4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5B-49FE-B1F8-6842623AE2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5B-49FE-B1F8-6842623AE2A7}"/>
            </c:ext>
          </c:extLst>
        </c:ser>
        <c:dLbls>
          <c:showLegendKey val="0"/>
          <c:showVal val="0"/>
          <c:showCatName val="0"/>
          <c:showSerName val="0"/>
          <c:showPercent val="0"/>
          <c:showBubbleSize val="0"/>
        </c:dLbls>
        <c:gapWidth val="150"/>
        <c:overlap val="100"/>
        <c:axId val="443191128"/>
        <c:axId val="443189560"/>
      </c:barChart>
      <c:catAx>
        <c:axId val="443191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9560"/>
        <c:crosses val="autoZero"/>
        <c:auto val="1"/>
        <c:lblAlgn val="ctr"/>
        <c:lblOffset val="100"/>
        <c:tickLblSkip val="1"/>
        <c:tickMarkSkip val="1"/>
        <c:noMultiLvlLbl val="0"/>
      </c:catAx>
      <c:valAx>
        <c:axId val="44318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1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33" r="0.75000000000000233" t="0.98425196899999956" header="0.5" footer="0.5"/>
    <c:pageSetup orientation="portrait"/>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98-4359-94A5-B45604E0E210}"/>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98-4359-94A5-B45604E0E210}"/>
            </c:ext>
          </c:extLst>
        </c:ser>
        <c:dLbls>
          <c:showLegendKey val="0"/>
          <c:showVal val="0"/>
          <c:showCatName val="0"/>
          <c:showSerName val="0"/>
          <c:showPercent val="0"/>
          <c:showBubbleSize val="0"/>
        </c:dLbls>
        <c:smooth val="0"/>
        <c:axId val="443193872"/>
        <c:axId val="443196224"/>
      </c:lineChart>
      <c:catAx>
        <c:axId val="4431938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6224"/>
        <c:crosses val="autoZero"/>
        <c:auto val="1"/>
        <c:lblAlgn val="ctr"/>
        <c:lblOffset val="100"/>
        <c:tickLblSkip val="1"/>
        <c:tickMarkSkip val="1"/>
        <c:noMultiLvlLbl val="0"/>
      </c:catAx>
      <c:valAx>
        <c:axId val="443196224"/>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387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07-4701-82A0-4338A652179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07-4701-82A0-4338A652179A}"/>
            </c:ext>
          </c:extLst>
        </c:ser>
        <c:dLbls>
          <c:showLegendKey val="0"/>
          <c:showVal val="0"/>
          <c:showCatName val="0"/>
          <c:showSerName val="0"/>
          <c:showPercent val="0"/>
          <c:showBubbleSize val="0"/>
        </c:dLbls>
        <c:smooth val="0"/>
        <c:axId val="443195832"/>
        <c:axId val="443187992"/>
      </c:lineChart>
      <c:catAx>
        <c:axId val="4431958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87992"/>
        <c:crosses val="autoZero"/>
        <c:auto val="1"/>
        <c:lblAlgn val="ctr"/>
        <c:lblOffset val="100"/>
        <c:tickLblSkip val="1"/>
        <c:tickMarkSkip val="1"/>
        <c:noMultiLvlLbl val="0"/>
      </c:catAx>
      <c:valAx>
        <c:axId val="443187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58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17-4B06-AD22-051F770DB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17-4B06-AD22-051F770DB03A}"/>
            </c:ext>
          </c:extLst>
        </c:ser>
        <c:dLbls>
          <c:showLegendKey val="0"/>
          <c:showVal val="0"/>
          <c:showCatName val="0"/>
          <c:showSerName val="0"/>
          <c:showPercent val="0"/>
          <c:showBubbleSize val="0"/>
        </c:dLbls>
        <c:smooth val="0"/>
        <c:axId val="443199360"/>
        <c:axId val="443195048"/>
      </c:lineChart>
      <c:catAx>
        <c:axId val="4431993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5048"/>
        <c:crosses val="autoZero"/>
        <c:auto val="1"/>
        <c:lblAlgn val="ctr"/>
        <c:lblOffset val="100"/>
        <c:tickLblSkip val="1"/>
        <c:tickMarkSkip val="1"/>
        <c:noMultiLvlLbl val="0"/>
      </c:catAx>
      <c:valAx>
        <c:axId val="443195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93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69-4281-9D79-7DA1CC7B5B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69-4281-9D79-7DA1CC7B5B1B}"/>
            </c:ext>
          </c:extLst>
        </c:ser>
        <c:dLbls>
          <c:showLegendKey val="0"/>
          <c:showVal val="0"/>
          <c:showCatName val="0"/>
          <c:showSerName val="0"/>
          <c:showPercent val="0"/>
          <c:showBubbleSize val="0"/>
        </c:dLbls>
        <c:gapWidth val="150"/>
        <c:overlap val="100"/>
        <c:axId val="443191912"/>
        <c:axId val="443192304"/>
      </c:barChart>
      <c:catAx>
        <c:axId val="443191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192304"/>
        <c:crosses val="autoZero"/>
        <c:auto val="1"/>
        <c:lblAlgn val="ctr"/>
        <c:lblOffset val="100"/>
        <c:tickLblSkip val="1"/>
        <c:tickMarkSkip val="1"/>
        <c:noMultiLvlLbl val="0"/>
      </c:catAx>
      <c:valAx>
        <c:axId val="443192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191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87-4722-9DB7-57629D216F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87-4722-9DB7-57629D216F3B}"/>
            </c:ext>
          </c:extLst>
        </c:ser>
        <c:dLbls>
          <c:showLegendKey val="0"/>
          <c:showVal val="0"/>
          <c:showCatName val="0"/>
          <c:showSerName val="0"/>
          <c:showPercent val="0"/>
          <c:showBubbleSize val="0"/>
        </c:dLbls>
        <c:gapWidth val="150"/>
        <c:overlap val="100"/>
        <c:axId val="443204064"/>
        <c:axId val="443201320"/>
      </c:barChart>
      <c:catAx>
        <c:axId val="443204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1320"/>
        <c:crosses val="autoZero"/>
        <c:auto val="1"/>
        <c:lblAlgn val="ctr"/>
        <c:lblOffset val="100"/>
        <c:tickLblSkip val="1"/>
        <c:tickMarkSkip val="1"/>
        <c:noMultiLvlLbl val="0"/>
      </c:catAx>
      <c:valAx>
        <c:axId val="44320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4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15-454E-9FDE-7E0EC01F56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15-454E-9FDE-7E0EC01F56E0}"/>
            </c:ext>
          </c:extLst>
        </c:ser>
        <c:dLbls>
          <c:showLegendKey val="0"/>
          <c:showVal val="0"/>
          <c:showCatName val="0"/>
          <c:showSerName val="0"/>
          <c:showPercent val="0"/>
          <c:showBubbleSize val="0"/>
        </c:dLbls>
        <c:gapWidth val="150"/>
        <c:overlap val="100"/>
        <c:axId val="443209552"/>
        <c:axId val="443202104"/>
      </c:barChart>
      <c:catAx>
        <c:axId val="443209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2104"/>
        <c:crosses val="autoZero"/>
        <c:auto val="1"/>
        <c:lblAlgn val="ctr"/>
        <c:lblOffset val="100"/>
        <c:tickLblSkip val="1"/>
        <c:tickMarkSkip val="1"/>
        <c:noMultiLvlLbl val="0"/>
      </c:catAx>
      <c:valAx>
        <c:axId val="443202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9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B79-405B-A3D3-9C1A33251B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B79-405B-A3D3-9C1A33251B21}"/>
            </c:ext>
          </c:extLst>
        </c:ser>
        <c:dLbls>
          <c:showLegendKey val="0"/>
          <c:showVal val="0"/>
          <c:showCatName val="0"/>
          <c:showSerName val="0"/>
          <c:showPercent val="0"/>
          <c:showBubbleSize val="0"/>
        </c:dLbls>
        <c:gapWidth val="150"/>
        <c:overlap val="100"/>
        <c:axId val="443204848"/>
        <c:axId val="443206808"/>
      </c:barChart>
      <c:catAx>
        <c:axId val="44320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6808"/>
        <c:crosses val="autoZero"/>
        <c:auto val="1"/>
        <c:lblAlgn val="ctr"/>
        <c:lblOffset val="100"/>
        <c:tickLblSkip val="1"/>
        <c:tickMarkSkip val="1"/>
        <c:noMultiLvlLbl val="0"/>
      </c:catAx>
      <c:valAx>
        <c:axId val="443206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4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7A-42BA-AB72-F63497B04B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7A-42BA-AB72-F63497B04B38}"/>
            </c:ext>
          </c:extLst>
        </c:ser>
        <c:dLbls>
          <c:showLegendKey val="0"/>
          <c:showVal val="0"/>
          <c:showCatName val="0"/>
          <c:showSerName val="0"/>
          <c:showPercent val="0"/>
          <c:showBubbleSize val="0"/>
        </c:dLbls>
        <c:gapWidth val="150"/>
        <c:overlap val="100"/>
        <c:axId val="443207592"/>
        <c:axId val="443206024"/>
      </c:barChart>
      <c:catAx>
        <c:axId val="443207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06024"/>
        <c:crosses val="autoZero"/>
        <c:auto val="1"/>
        <c:lblAlgn val="ctr"/>
        <c:lblOffset val="100"/>
        <c:tickLblSkip val="1"/>
        <c:tickMarkSkip val="1"/>
        <c:noMultiLvlLbl val="0"/>
      </c:catAx>
      <c:valAx>
        <c:axId val="443206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7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DE-4826-AC5D-0C2BECA0A2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DE-4826-AC5D-0C2BECA0A205}"/>
            </c:ext>
          </c:extLst>
        </c:ser>
        <c:dLbls>
          <c:showLegendKey val="0"/>
          <c:showVal val="0"/>
          <c:showCatName val="0"/>
          <c:showSerName val="0"/>
          <c:showPercent val="0"/>
          <c:showBubbleSize val="0"/>
        </c:dLbls>
        <c:gapWidth val="150"/>
        <c:overlap val="100"/>
        <c:axId val="443202888"/>
        <c:axId val="443211512"/>
      </c:barChart>
      <c:catAx>
        <c:axId val="443202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1512"/>
        <c:crosses val="autoZero"/>
        <c:auto val="1"/>
        <c:lblAlgn val="ctr"/>
        <c:lblOffset val="100"/>
        <c:tickLblSkip val="1"/>
        <c:tickMarkSkip val="1"/>
        <c:noMultiLvlLbl val="0"/>
      </c:catAx>
      <c:valAx>
        <c:axId val="44321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2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D-464D-942A-885E92FE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D-464D-942A-885E92FECE16}"/>
            </c:ext>
          </c:extLst>
        </c:ser>
        <c:dLbls>
          <c:showLegendKey val="0"/>
          <c:showVal val="0"/>
          <c:showCatName val="0"/>
          <c:showSerName val="0"/>
          <c:showPercent val="0"/>
          <c:showBubbleSize val="0"/>
        </c:dLbls>
        <c:gapWidth val="150"/>
        <c:overlap val="100"/>
        <c:axId val="443208376"/>
        <c:axId val="443211120"/>
      </c:barChart>
      <c:catAx>
        <c:axId val="443208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3211120"/>
        <c:crosses val="autoZero"/>
        <c:auto val="1"/>
        <c:lblAlgn val="ctr"/>
        <c:lblOffset val="100"/>
        <c:tickLblSkip val="1"/>
        <c:tickMarkSkip val="1"/>
        <c:noMultiLvlLbl val="0"/>
      </c:catAx>
      <c:valAx>
        <c:axId val="443211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3208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D1-4066-B9CD-BEF12054397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D1-4066-B9CD-BEF120543977}"/>
            </c:ext>
          </c:extLst>
        </c:ser>
        <c:dLbls>
          <c:showLegendKey val="0"/>
          <c:showVal val="0"/>
          <c:showCatName val="0"/>
          <c:showSerName val="0"/>
          <c:showPercent val="0"/>
          <c:showBubbleSize val="0"/>
        </c:dLbls>
        <c:gapWidth val="150"/>
        <c:overlap val="100"/>
        <c:axId val="445872480"/>
        <c:axId val="445866208"/>
      </c:barChart>
      <c:catAx>
        <c:axId val="445872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6208"/>
        <c:crosses val="autoZero"/>
        <c:auto val="1"/>
        <c:lblAlgn val="ctr"/>
        <c:lblOffset val="100"/>
        <c:tickLblSkip val="1"/>
        <c:tickMarkSkip val="1"/>
        <c:noMultiLvlLbl val="0"/>
      </c:catAx>
      <c:valAx>
        <c:axId val="445866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2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D1-4931-8B9F-6BFB3AF5796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D1-4931-8B9F-6BFB3AF57964}"/>
            </c:ext>
          </c:extLst>
        </c:ser>
        <c:dLbls>
          <c:showLegendKey val="0"/>
          <c:showVal val="0"/>
          <c:showCatName val="0"/>
          <c:showSerName val="0"/>
          <c:showPercent val="0"/>
          <c:showBubbleSize val="0"/>
        </c:dLbls>
        <c:gapWidth val="150"/>
        <c:overlap val="100"/>
        <c:axId val="445870128"/>
        <c:axId val="445872872"/>
      </c:barChart>
      <c:catAx>
        <c:axId val="445870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2872"/>
        <c:crosses val="autoZero"/>
        <c:auto val="1"/>
        <c:lblAlgn val="ctr"/>
        <c:lblOffset val="100"/>
        <c:tickLblSkip val="1"/>
        <c:tickMarkSkip val="1"/>
        <c:noMultiLvlLbl val="0"/>
      </c:catAx>
      <c:valAx>
        <c:axId val="445872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0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0D-4150-8A71-953CF29AA5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0D-4150-8A71-953CF29AA5FE}"/>
            </c:ext>
          </c:extLst>
        </c:ser>
        <c:dLbls>
          <c:showLegendKey val="0"/>
          <c:showVal val="0"/>
          <c:showCatName val="0"/>
          <c:showSerName val="0"/>
          <c:showPercent val="0"/>
          <c:showBubbleSize val="0"/>
        </c:dLbls>
        <c:gapWidth val="150"/>
        <c:overlap val="100"/>
        <c:axId val="445873656"/>
        <c:axId val="445874832"/>
      </c:barChart>
      <c:catAx>
        <c:axId val="445873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4832"/>
        <c:crosses val="autoZero"/>
        <c:auto val="1"/>
        <c:lblAlgn val="ctr"/>
        <c:lblOffset val="100"/>
        <c:tickLblSkip val="1"/>
        <c:tickMarkSkip val="1"/>
        <c:noMultiLvlLbl val="0"/>
      </c:catAx>
      <c:valAx>
        <c:axId val="445874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3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08-40B7-802E-7FA4B9C4F3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08-40B7-802E-7FA4B9C4F328}"/>
            </c:ext>
          </c:extLst>
        </c:ser>
        <c:dLbls>
          <c:showLegendKey val="0"/>
          <c:showVal val="0"/>
          <c:showCatName val="0"/>
          <c:showSerName val="0"/>
          <c:showPercent val="0"/>
          <c:showBubbleSize val="0"/>
        </c:dLbls>
        <c:gapWidth val="150"/>
        <c:overlap val="100"/>
        <c:axId val="445874440"/>
        <c:axId val="445870912"/>
      </c:barChart>
      <c:catAx>
        <c:axId val="445874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0912"/>
        <c:crosses val="autoZero"/>
        <c:auto val="1"/>
        <c:lblAlgn val="ctr"/>
        <c:lblOffset val="100"/>
        <c:tickLblSkip val="1"/>
        <c:tickMarkSkip val="1"/>
        <c:noMultiLvlLbl val="0"/>
      </c:catAx>
      <c:valAx>
        <c:axId val="445870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4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07-4582-81EC-DA6434E2A3B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07-4582-81EC-DA6434E2A3B7}"/>
            </c:ext>
          </c:extLst>
        </c:ser>
        <c:dLbls>
          <c:showLegendKey val="0"/>
          <c:showVal val="0"/>
          <c:showCatName val="0"/>
          <c:showSerName val="0"/>
          <c:showPercent val="0"/>
          <c:showBubbleSize val="0"/>
        </c:dLbls>
        <c:gapWidth val="150"/>
        <c:overlap val="100"/>
        <c:axId val="445865816"/>
        <c:axId val="445864640"/>
      </c:barChart>
      <c:catAx>
        <c:axId val="445865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4640"/>
        <c:crosses val="autoZero"/>
        <c:auto val="1"/>
        <c:lblAlgn val="ctr"/>
        <c:lblOffset val="100"/>
        <c:tickLblSkip val="1"/>
        <c:tickMarkSkip val="1"/>
        <c:noMultiLvlLbl val="0"/>
      </c:catAx>
      <c:valAx>
        <c:axId val="445864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5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2C-4AD4-AD06-71829D03A5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2C-4AD4-AD06-71829D03A5F7}"/>
            </c:ext>
          </c:extLst>
        </c:ser>
        <c:dLbls>
          <c:showLegendKey val="0"/>
          <c:showVal val="0"/>
          <c:showCatName val="0"/>
          <c:showSerName val="0"/>
          <c:showPercent val="0"/>
          <c:showBubbleSize val="0"/>
        </c:dLbls>
        <c:gapWidth val="150"/>
        <c:overlap val="100"/>
        <c:axId val="445867384"/>
        <c:axId val="445867776"/>
      </c:barChart>
      <c:catAx>
        <c:axId val="4458673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7776"/>
        <c:crosses val="autoZero"/>
        <c:auto val="1"/>
        <c:lblAlgn val="ctr"/>
        <c:lblOffset val="100"/>
        <c:tickLblSkip val="1"/>
        <c:tickMarkSkip val="1"/>
        <c:noMultiLvlLbl val="0"/>
      </c:catAx>
      <c:valAx>
        <c:axId val="445867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7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E-4EBF-8FAC-0A1B944F9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E-4EBF-8FAC-0A1B944F99C7}"/>
            </c:ext>
          </c:extLst>
        </c:ser>
        <c:dLbls>
          <c:showLegendKey val="0"/>
          <c:showVal val="0"/>
          <c:showCatName val="0"/>
          <c:showSerName val="0"/>
          <c:showPercent val="0"/>
          <c:showBubbleSize val="0"/>
        </c:dLbls>
        <c:gapWidth val="150"/>
        <c:overlap val="100"/>
        <c:axId val="445871304"/>
        <c:axId val="445871696"/>
      </c:barChart>
      <c:catAx>
        <c:axId val="445871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1696"/>
        <c:crosses val="autoZero"/>
        <c:auto val="1"/>
        <c:lblAlgn val="ctr"/>
        <c:lblOffset val="100"/>
        <c:tickLblSkip val="1"/>
        <c:tickMarkSkip val="1"/>
        <c:noMultiLvlLbl val="0"/>
      </c:catAx>
      <c:valAx>
        <c:axId val="445871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1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844-4CA2-B4BB-23ADB067D4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844-4CA2-B4BB-23ADB067D4B6}"/>
            </c:ext>
          </c:extLst>
        </c:ser>
        <c:dLbls>
          <c:showLegendKey val="0"/>
          <c:showVal val="0"/>
          <c:showCatName val="0"/>
          <c:showSerName val="0"/>
          <c:showPercent val="0"/>
          <c:showBubbleSize val="0"/>
        </c:dLbls>
        <c:gapWidth val="150"/>
        <c:overlap val="100"/>
        <c:axId val="445876400"/>
        <c:axId val="445884632"/>
      </c:barChart>
      <c:catAx>
        <c:axId val="445876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4632"/>
        <c:crosses val="autoZero"/>
        <c:auto val="1"/>
        <c:lblAlgn val="ctr"/>
        <c:lblOffset val="100"/>
        <c:tickLblSkip val="1"/>
        <c:tickMarkSkip val="1"/>
        <c:noMultiLvlLbl val="0"/>
      </c:catAx>
      <c:valAx>
        <c:axId val="445884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6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9BC-4824-BAAA-45FFFF18080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9BC-4824-BAAA-45FFFF180806}"/>
            </c:ext>
          </c:extLst>
        </c:ser>
        <c:dLbls>
          <c:showLegendKey val="0"/>
          <c:showVal val="0"/>
          <c:showCatName val="0"/>
          <c:showSerName val="0"/>
          <c:showPercent val="0"/>
          <c:showBubbleSize val="0"/>
        </c:dLbls>
        <c:gapWidth val="150"/>
        <c:overlap val="100"/>
        <c:axId val="445882280"/>
        <c:axId val="445883064"/>
      </c:barChart>
      <c:catAx>
        <c:axId val="445882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3064"/>
        <c:crosses val="autoZero"/>
        <c:auto val="1"/>
        <c:lblAlgn val="ctr"/>
        <c:lblOffset val="100"/>
        <c:tickLblSkip val="1"/>
        <c:tickMarkSkip val="1"/>
        <c:noMultiLvlLbl val="0"/>
      </c:catAx>
      <c:valAx>
        <c:axId val="445883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2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58-494A-B6C6-1385BFE88D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58-494A-B6C6-1385BFE88DC3}"/>
            </c:ext>
          </c:extLst>
        </c:ser>
        <c:dLbls>
          <c:showLegendKey val="0"/>
          <c:showVal val="0"/>
          <c:showCatName val="0"/>
          <c:showSerName val="0"/>
          <c:showPercent val="0"/>
          <c:showBubbleSize val="0"/>
        </c:dLbls>
        <c:gapWidth val="150"/>
        <c:overlap val="100"/>
        <c:axId val="445879144"/>
        <c:axId val="445876792"/>
      </c:barChart>
      <c:catAx>
        <c:axId val="445879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6792"/>
        <c:crosses val="autoZero"/>
        <c:auto val="1"/>
        <c:lblAlgn val="ctr"/>
        <c:lblOffset val="100"/>
        <c:tickLblSkip val="1"/>
        <c:tickMarkSkip val="1"/>
        <c:noMultiLvlLbl val="0"/>
      </c:catAx>
      <c:valAx>
        <c:axId val="445876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9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E0-4CE9-B0A0-AE1997E0B9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E0-4CE9-B0A0-AE1997E0B9D5}"/>
            </c:ext>
          </c:extLst>
        </c:ser>
        <c:dLbls>
          <c:showLegendKey val="0"/>
          <c:showVal val="0"/>
          <c:showCatName val="0"/>
          <c:showSerName val="0"/>
          <c:showPercent val="0"/>
          <c:showBubbleSize val="0"/>
        </c:dLbls>
        <c:gapWidth val="150"/>
        <c:overlap val="100"/>
        <c:axId val="445880712"/>
        <c:axId val="445878752"/>
      </c:barChart>
      <c:catAx>
        <c:axId val="445880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78752"/>
        <c:crosses val="autoZero"/>
        <c:auto val="1"/>
        <c:lblAlgn val="ctr"/>
        <c:lblOffset val="100"/>
        <c:tickLblSkip val="1"/>
        <c:tickMarkSkip val="1"/>
        <c:noMultiLvlLbl val="0"/>
      </c:catAx>
      <c:valAx>
        <c:axId val="445878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0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31-424D-A57E-76ABF63F1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31-424D-A57E-76ABF63F1BDF}"/>
            </c:ext>
          </c:extLst>
        </c:ser>
        <c:dLbls>
          <c:showLegendKey val="0"/>
          <c:showVal val="0"/>
          <c:showCatName val="0"/>
          <c:showSerName val="0"/>
          <c:showPercent val="0"/>
          <c:showBubbleSize val="0"/>
        </c:dLbls>
        <c:gapWidth val="150"/>
        <c:overlap val="100"/>
        <c:axId val="445879536"/>
        <c:axId val="445885808"/>
      </c:barChart>
      <c:catAx>
        <c:axId val="445879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5808"/>
        <c:crosses val="autoZero"/>
        <c:auto val="1"/>
        <c:lblAlgn val="ctr"/>
        <c:lblOffset val="100"/>
        <c:tickLblSkip val="1"/>
        <c:tickMarkSkip val="1"/>
        <c:noMultiLvlLbl val="0"/>
      </c:catAx>
      <c:valAx>
        <c:axId val="445885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79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09-431B-BD46-A01263FBEE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09-431B-BD46-A01263FBEEE7}"/>
            </c:ext>
          </c:extLst>
        </c:ser>
        <c:dLbls>
          <c:showLegendKey val="0"/>
          <c:showVal val="0"/>
          <c:showCatName val="0"/>
          <c:showSerName val="0"/>
          <c:showPercent val="0"/>
          <c:showBubbleSize val="0"/>
        </c:dLbls>
        <c:gapWidth val="150"/>
        <c:overlap val="100"/>
        <c:axId val="445884240"/>
        <c:axId val="445886984"/>
      </c:barChart>
      <c:catAx>
        <c:axId val="445884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6984"/>
        <c:crosses val="autoZero"/>
        <c:auto val="1"/>
        <c:lblAlgn val="ctr"/>
        <c:lblOffset val="100"/>
        <c:tickLblSkip val="1"/>
        <c:tickMarkSkip val="1"/>
        <c:noMultiLvlLbl val="0"/>
      </c:catAx>
      <c:valAx>
        <c:axId val="445886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84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0B-4C3E-8593-CA9D67D3C2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0B-4C3E-8593-CA9D67D3C27B}"/>
            </c:ext>
          </c:extLst>
        </c:ser>
        <c:dLbls>
          <c:showLegendKey val="0"/>
          <c:showVal val="0"/>
          <c:showCatName val="0"/>
          <c:showSerName val="0"/>
          <c:showPercent val="0"/>
          <c:showBubbleSize val="0"/>
        </c:dLbls>
        <c:gapWidth val="150"/>
        <c:overlap val="100"/>
        <c:axId val="445891296"/>
        <c:axId val="445897960"/>
      </c:barChart>
      <c:catAx>
        <c:axId val="445891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7960"/>
        <c:crosses val="autoZero"/>
        <c:auto val="1"/>
        <c:lblAlgn val="ctr"/>
        <c:lblOffset val="100"/>
        <c:tickLblSkip val="1"/>
        <c:tickMarkSkip val="1"/>
        <c:noMultiLvlLbl val="0"/>
      </c:catAx>
      <c:valAx>
        <c:axId val="445897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1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D8F-47B2-90E9-A560DFADEB6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D8F-47B2-90E9-A560DFADEB67}"/>
            </c:ext>
          </c:extLst>
        </c:ser>
        <c:dLbls>
          <c:showLegendKey val="0"/>
          <c:showVal val="0"/>
          <c:showCatName val="0"/>
          <c:showSerName val="0"/>
          <c:showPercent val="0"/>
          <c:showBubbleSize val="0"/>
        </c:dLbls>
        <c:gapWidth val="150"/>
        <c:overlap val="100"/>
        <c:axId val="445891688"/>
        <c:axId val="445892080"/>
      </c:barChart>
      <c:catAx>
        <c:axId val="44589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2080"/>
        <c:crosses val="autoZero"/>
        <c:auto val="1"/>
        <c:lblAlgn val="ctr"/>
        <c:lblOffset val="100"/>
        <c:tickLblSkip val="1"/>
        <c:tickMarkSkip val="1"/>
        <c:noMultiLvlLbl val="0"/>
      </c:catAx>
      <c:valAx>
        <c:axId val="445892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1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AA-458E-A8FD-4BDD0BADE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AA-458E-A8FD-4BDD0BADE066}"/>
            </c:ext>
          </c:extLst>
        </c:ser>
        <c:dLbls>
          <c:showLegendKey val="0"/>
          <c:showVal val="0"/>
          <c:showCatName val="0"/>
          <c:showSerName val="0"/>
          <c:showPercent val="0"/>
          <c:showBubbleSize val="0"/>
        </c:dLbls>
        <c:gapWidth val="150"/>
        <c:overlap val="100"/>
        <c:axId val="445894040"/>
        <c:axId val="445889728"/>
      </c:barChart>
      <c:catAx>
        <c:axId val="4458940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9728"/>
        <c:crosses val="autoZero"/>
        <c:auto val="1"/>
        <c:lblAlgn val="ctr"/>
        <c:lblOffset val="100"/>
        <c:tickLblSkip val="1"/>
        <c:tickMarkSkip val="1"/>
        <c:noMultiLvlLbl val="0"/>
      </c:catAx>
      <c:valAx>
        <c:axId val="445889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40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C-43FF-A471-AF30A7129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C-43FF-A471-AF30A712903D}"/>
            </c:ext>
          </c:extLst>
        </c:ser>
        <c:dLbls>
          <c:showLegendKey val="0"/>
          <c:showVal val="0"/>
          <c:showCatName val="0"/>
          <c:showSerName val="0"/>
          <c:showPercent val="0"/>
          <c:showBubbleSize val="0"/>
        </c:dLbls>
        <c:gapWidth val="150"/>
        <c:overlap val="100"/>
        <c:axId val="445894824"/>
        <c:axId val="445892864"/>
      </c:barChart>
      <c:catAx>
        <c:axId val="445894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2864"/>
        <c:crosses val="autoZero"/>
        <c:auto val="1"/>
        <c:lblAlgn val="ctr"/>
        <c:lblOffset val="100"/>
        <c:tickLblSkip val="1"/>
        <c:tickMarkSkip val="1"/>
        <c:noMultiLvlLbl val="0"/>
      </c:catAx>
      <c:valAx>
        <c:axId val="445892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4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20-49D0-851C-4BF2AFC401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20-49D0-851C-4BF2AFC401D2}"/>
            </c:ext>
          </c:extLst>
        </c:ser>
        <c:dLbls>
          <c:showLegendKey val="0"/>
          <c:showVal val="0"/>
          <c:showCatName val="0"/>
          <c:showSerName val="0"/>
          <c:showPercent val="0"/>
          <c:showBubbleSize val="0"/>
        </c:dLbls>
        <c:gapWidth val="150"/>
        <c:overlap val="100"/>
        <c:axId val="445895216"/>
        <c:axId val="445889336"/>
      </c:barChart>
      <c:catAx>
        <c:axId val="445895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89336"/>
        <c:crosses val="autoZero"/>
        <c:auto val="1"/>
        <c:lblAlgn val="ctr"/>
        <c:lblOffset val="100"/>
        <c:tickLblSkip val="1"/>
        <c:tickMarkSkip val="1"/>
        <c:noMultiLvlLbl val="0"/>
      </c:catAx>
      <c:valAx>
        <c:axId val="445889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5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891-A933-0427B50784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891-A933-0427B50784CC}"/>
            </c:ext>
          </c:extLst>
        </c:ser>
        <c:dLbls>
          <c:showLegendKey val="0"/>
          <c:showVal val="0"/>
          <c:showCatName val="0"/>
          <c:showSerName val="0"/>
          <c:showPercent val="0"/>
          <c:showBubbleSize val="0"/>
        </c:dLbls>
        <c:gapWidth val="150"/>
        <c:overlap val="100"/>
        <c:axId val="445896392"/>
        <c:axId val="445899528"/>
      </c:barChart>
      <c:catAx>
        <c:axId val="445896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99528"/>
        <c:crosses val="autoZero"/>
        <c:auto val="1"/>
        <c:lblAlgn val="ctr"/>
        <c:lblOffset val="100"/>
        <c:tickLblSkip val="1"/>
        <c:tickMarkSkip val="1"/>
        <c:noMultiLvlLbl val="0"/>
      </c:catAx>
      <c:valAx>
        <c:axId val="445899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6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E3-4796-A8E2-02CF5107B7B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E3-4796-A8E2-02CF5107B7BF}"/>
            </c:ext>
          </c:extLst>
        </c:ser>
        <c:dLbls>
          <c:showLegendKey val="0"/>
          <c:showVal val="0"/>
          <c:showCatName val="0"/>
          <c:showSerName val="0"/>
          <c:showPercent val="0"/>
          <c:showBubbleSize val="0"/>
        </c:dLbls>
        <c:gapWidth val="150"/>
        <c:overlap val="100"/>
        <c:axId val="445897176"/>
        <c:axId val="445905016"/>
      </c:barChart>
      <c:catAx>
        <c:axId val="445897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5016"/>
        <c:crosses val="autoZero"/>
        <c:auto val="1"/>
        <c:lblAlgn val="ctr"/>
        <c:lblOffset val="100"/>
        <c:tickLblSkip val="1"/>
        <c:tickMarkSkip val="1"/>
        <c:noMultiLvlLbl val="0"/>
      </c:catAx>
      <c:valAx>
        <c:axId val="44590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97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14-4F35-A462-CC698BD57C9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14-4F35-A462-CC698BD57C9F}"/>
            </c:ext>
          </c:extLst>
        </c:ser>
        <c:dLbls>
          <c:showLegendKey val="0"/>
          <c:showVal val="0"/>
          <c:showCatName val="0"/>
          <c:showSerName val="0"/>
          <c:showPercent val="0"/>
          <c:showBubbleSize val="0"/>
        </c:dLbls>
        <c:gapWidth val="150"/>
        <c:overlap val="100"/>
        <c:axId val="445906584"/>
        <c:axId val="445903840"/>
      </c:barChart>
      <c:catAx>
        <c:axId val="445906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3840"/>
        <c:crosses val="autoZero"/>
        <c:auto val="1"/>
        <c:lblAlgn val="ctr"/>
        <c:lblOffset val="100"/>
        <c:tickLblSkip val="1"/>
        <c:tickMarkSkip val="1"/>
        <c:noMultiLvlLbl val="0"/>
      </c:catAx>
      <c:valAx>
        <c:axId val="445903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906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2A-486C-9D59-C9E29A22E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2A-486C-9D59-C9E29A22EFA9}"/>
            </c:ext>
          </c:extLst>
        </c:ser>
        <c:dLbls>
          <c:showLegendKey val="0"/>
          <c:showVal val="0"/>
          <c:showCatName val="0"/>
          <c:showSerName val="0"/>
          <c:showPercent val="0"/>
          <c:showBubbleSize val="0"/>
        </c:dLbls>
        <c:gapWidth val="150"/>
        <c:overlap val="100"/>
        <c:axId val="445901880"/>
        <c:axId val="445902272"/>
      </c:barChart>
      <c:catAx>
        <c:axId val="44590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902272"/>
        <c:crosses val="autoZero"/>
        <c:auto val="1"/>
        <c:lblAlgn val="ctr"/>
        <c:lblOffset val="100"/>
        <c:tickLblSkip val="1"/>
        <c:tickMarkSkip val="1"/>
        <c:noMultiLvlLbl val="0"/>
      </c:catAx>
      <c:valAx>
        <c:axId val="445902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901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5-4B62-AC1A-6E1F508BAC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5-4B62-AC1A-6E1F508BAC05}"/>
            </c:ext>
          </c:extLst>
        </c:ser>
        <c:dLbls>
          <c:showLegendKey val="0"/>
          <c:showVal val="0"/>
          <c:showCatName val="0"/>
          <c:showSerName val="0"/>
          <c:showPercent val="0"/>
          <c:showBubbleSize val="0"/>
        </c:dLbls>
        <c:gapWidth val="150"/>
        <c:overlap val="100"/>
        <c:axId val="445786632"/>
        <c:axId val="445785064"/>
      </c:barChart>
      <c:catAx>
        <c:axId val="445786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5064"/>
        <c:crosses val="autoZero"/>
        <c:auto val="1"/>
        <c:lblAlgn val="ctr"/>
        <c:lblOffset val="100"/>
        <c:tickLblSkip val="1"/>
        <c:tickMarkSkip val="1"/>
        <c:noMultiLvlLbl val="0"/>
      </c:catAx>
      <c:valAx>
        <c:axId val="445785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6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AC5-43AD-9D20-FD40211EEF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AC5-43AD-9D20-FD40211EEF30}"/>
            </c:ext>
          </c:extLst>
        </c:ser>
        <c:dLbls>
          <c:showLegendKey val="0"/>
          <c:showVal val="0"/>
          <c:showCatName val="0"/>
          <c:showSerName val="0"/>
          <c:showPercent val="0"/>
          <c:showBubbleSize val="0"/>
        </c:dLbls>
        <c:gapWidth val="150"/>
        <c:overlap val="100"/>
        <c:axId val="445779576"/>
        <c:axId val="445785848"/>
      </c:barChart>
      <c:catAx>
        <c:axId val="445779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5848"/>
        <c:crosses val="autoZero"/>
        <c:auto val="1"/>
        <c:lblAlgn val="ctr"/>
        <c:lblOffset val="100"/>
        <c:tickLblSkip val="1"/>
        <c:tickMarkSkip val="1"/>
        <c:noMultiLvlLbl val="0"/>
      </c:catAx>
      <c:valAx>
        <c:axId val="445785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9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E8E-4D93-B5C5-4BA294E116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E8E-4D93-B5C5-4BA294E1163B}"/>
            </c:ext>
          </c:extLst>
        </c:ser>
        <c:dLbls>
          <c:showLegendKey val="0"/>
          <c:showVal val="0"/>
          <c:showCatName val="0"/>
          <c:showSerName val="0"/>
          <c:showPercent val="0"/>
          <c:showBubbleSize val="0"/>
        </c:dLbls>
        <c:gapWidth val="150"/>
        <c:overlap val="100"/>
        <c:axId val="445781928"/>
        <c:axId val="445781536"/>
      </c:barChart>
      <c:catAx>
        <c:axId val="445781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1536"/>
        <c:crosses val="autoZero"/>
        <c:auto val="1"/>
        <c:lblAlgn val="ctr"/>
        <c:lblOffset val="100"/>
        <c:tickLblSkip val="1"/>
        <c:tickMarkSkip val="1"/>
        <c:noMultiLvlLbl val="0"/>
      </c:catAx>
      <c:valAx>
        <c:axId val="445781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1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C2-4AB5-B66A-9693EF820D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C2-4AB5-B66A-9693EF820D1D}"/>
            </c:ext>
          </c:extLst>
        </c:ser>
        <c:dLbls>
          <c:showLegendKey val="0"/>
          <c:showVal val="0"/>
          <c:showCatName val="0"/>
          <c:showSerName val="0"/>
          <c:showPercent val="0"/>
          <c:showBubbleSize val="0"/>
        </c:dLbls>
        <c:gapWidth val="150"/>
        <c:overlap val="100"/>
        <c:axId val="445787024"/>
        <c:axId val="445783888"/>
      </c:barChart>
      <c:catAx>
        <c:axId val="445787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3888"/>
        <c:crosses val="autoZero"/>
        <c:auto val="1"/>
        <c:lblAlgn val="ctr"/>
        <c:lblOffset val="100"/>
        <c:tickLblSkip val="1"/>
        <c:tickMarkSkip val="1"/>
        <c:noMultiLvlLbl val="0"/>
      </c:catAx>
      <c:valAx>
        <c:axId val="44578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7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76E-4DDC-B5CE-E45F3BF9C33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76E-4DDC-B5CE-E45F3BF9C330}"/>
            </c:ext>
          </c:extLst>
        </c:ser>
        <c:dLbls>
          <c:showLegendKey val="0"/>
          <c:showVal val="0"/>
          <c:showCatName val="0"/>
          <c:showSerName val="0"/>
          <c:showPercent val="0"/>
          <c:showBubbleSize val="0"/>
        </c:dLbls>
        <c:gapWidth val="150"/>
        <c:overlap val="100"/>
        <c:axId val="445777616"/>
        <c:axId val="445780752"/>
      </c:barChart>
      <c:catAx>
        <c:axId val="44577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0752"/>
        <c:crosses val="autoZero"/>
        <c:auto val="1"/>
        <c:lblAlgn val="ctr"/>
        <c:lblOffset val="100"/>
        <c:tickLblSkip val="1"/>
        <c:tickMarkSkip val="1"/>
        <c:noMultiLvlLbl val="0"/>
      </c:catAx>
      <c:valAx>
        <c:axId val="445780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7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F1-4213-8E06-C99BC5F8E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F1-4213-8E06-C99BC5F8EEC3}"/>
            </c:ext>
          </c:extLst>
        </c:ser>
        <c:dLbls>
          <c:showLegendKey val="0"/>
          <c:showVal val="0"/>
          <c:showCatName val="0"/>
          <c:showSerName val="0"/>
          <c:showPercent val="0"/>
          <c:showBubbleSize val="0"/>
        </c:dLbls>
        <c:gapWidth val="150"/>
        <c:overlap val="100"/>
        <c:axId val="445787416"/>
        <c:axId val="445787808"/>
      </c:barChart>
      <c:catAx>
        <c:axId val="445787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87808"/>
        <c:crosses val="autoZero"/>
        <c:auto val="1"/>
        <c:lblAlgn val="ctr"/>
        <c:lblOffset val="100"/>
        <c:tickLblSkip val="1"/>
        <c:tickMarkSkip val="1"/>
        <c:noMultiLvlLbl val="0"/>
      </c:catAx>
      <c:valAx>
        <c:axId val="445787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7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54-4870-9090-3B2AE5D14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54-4870-9090-3B2AE5D14034}"/>
            </c:ext>
          </c:extLst>
        </c:ser>
        <c:dLbls>
          <c:showLegendKey val="0"/>
          <c:showVal val="0"/>
          <c:showCatName val="0"/>
          <c:showSerName val="0"/>
          <c:showPercent val="0"/>
          <c:showBubbleSize val="0"/>
        </c:dLbls>
        <c:gapWidth val="150"/>
        <c:overlap val="100"/>
        <c:axId val="445778792"/>
        <c:axId val="445776440"/>
      </c:barChart>
      <c:catAx>
        <c:axId val="445778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76440"/>
        <c:crosses val="autoZero"/>
        <c:auto val="1"/>
        <c:lblAlgn val="ctr"/>
        <c:lblOffset val="100"/>
        <c:tickLblSkip val="1"/>
        <c:tickMarkSkip val="1"/>
        <c:noMultiLvlLbl val="0"/>
      </c:catAx>
      <c:valAx>
        <c:axId val="4457764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78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DE0-4284-917D-2FB347426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DE0-4284-917D-2FB3474262CE}"/>
            </c:ext>
          </c:extLst>
        </c:ser>
        <c:dLbls>
          <c:showLegendKey val="0"/>
          <c:showVal val="0"/>
          <c:showCatName val="0"/>
          <c:showSerName val="0"/>
          <c:showPercent val="0"/>
          <c:showBubbleSize val="0"/>
        </c:dLbls>
        <c:gapWidth val="150"/>
        <c:overlap val="100"/>
        <c:axId val="445792904"/>
        <c:axId val="445796824"/>
      </c:barChart>
      <c:catAx>
        <c:axId val="445792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6824"/>
        <c:crosses val="autoZero"/>
        <c:auto val="1"/>
        <c:lblAlgn val="ctr"/>
        <c:lblOffset val="100"/>
        <c:tickLblSkip val="1"/>
        <c:tickMarkSkip val="1"/>
        <c:noMultiLvlLbl val="0"/>
      </c:catAx>
      <c:valAx>
        <c:axId val="445796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2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5A-4231-A748-DCAE67A47A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5A-4231-A748-DCAE67A47A48}"/>
            </c:ext>
          </c:extLst>
        </c:ser>
        <c:dLbls>
          <c:showLegendKey val="0"/>
          <c:showVal val="0"/>
          <c:showCatName val="0"/>
          <c:showSerName val="0"/>
          <c:showPercent val="0"/>
          <c:showBubbleSize val="0"/>
        </c:dLbls>
        <c:gapWidth val="150"/>
        <c:overlap val="100"/>
        <c:axId val="445789376"/>
        <c:axId val="445799568"/>
      </c:barChart>
      <c:catAx>
        <c:axId val="445789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9568"/>
        <c:crosses val="autoZero"/>
        <c:auto val="1"/>
        <c:lblAlgn val="ctr"/>
        <c:lblOffset val="100"/>
        <c:tickLblSkip val="1"/>
        <c:tickMarkSkip val="1"/>
        <c:noMultiLvlLbl val="0"/>
      </c:catAx>
      <c:valAx>
        <c:axId val="445799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9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98-4631-8C50-A42019BD63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98-4631-8C50-A42019BD6391}"/>
            </c:ext>
          </c:extLst>
        </c:ser>
        <c:dLbls>
          <c:showLegendKey val="0"/>
          <c:showVal val="0"/>
          <c:showCatName val="0"/>
          <c:showSerName val="0"/>
          <c:showPercent val="0"/>
          <c:showBubbleSize val="0"/>
        </c:dLbls>
        <c:gapWidth val="150"/>
        <c:overlap val="100"/>
        <c:axId val="445790552"/>
        <c:axId val="445797608"/>
      </c:barChart>
      <c:catAx>
        <c:axId val="44579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7608"/>
        <c:crosses val="autoZero"/>
        <c:auto val="1"/>
        <c:lblAlgn val="ctr"/>
        <c:lblOffset val="100"/>
        <c:tickLblSkip val="1"/>
        <c:tickMarkSkip val="1"/>
        <c:noMultiLvlLbl val="0"/>
      </c:catAx>
      <c:valAx>
        <c:axId val="445797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C2-48FF-9AF0-D1AF23948F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C2-48FF-9AF0-D1AF23948F87}"/>
            </c:ext>
          </c:extLst>
        </c:ser>
        <c:dLbls>
          <c:showLegendKey val="0"/>
          <c:showVal val="0"/>
          <c:showCatName val="0"/>
          <c:showSerName val="0"/>
          <c:showPercent val="0"/>
          <c:showBubbleSize val="0"/>
        </c:dLbls>
        <c:gapWidth val="150"/>
        <c:overlap val="100"/>
        <c:axId val="445799960"/>
        <c:axId val="445798392"/>
      </c:barChart>
      <c:catAx>
        <c:axId val="445799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8392"/>
        <c:crosses val="autoZero"/>
        <c:auto val="1"/>
        <c:lblAlgn val="ctr"/>
        <c:lblOffset val="100"/>
        <c:tickLblSkip val="1"/>
        <c:tickMarkSkip val="1"/>
        <c:noMultiLvlLbl val="0"/>
      </c:catAx>
      <c:valAx>
        <c:axId val="445798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99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13-4092-95AE-7D516E6639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13-4092-95AE-7D516E66397C}"/>
            </c:ext>
          </c:extLst>
        </c:ser>
        <c:dLbls>
          <c:showLegendKey val="0"/>
          <c:showVal val="0"/>
          <c:showCatName val="0"/>
          <c:showSerName val="0"/>
          <c:showPercent val="0"/>
          <c:showBubbleSize val="0"/>
        </c:dLbls>
        <c:gapWidth val="150"/>
        <c:overlap val="100"/>
        <c:axId val="445788592"/>
        <c:axId val="445792120"/>
      </c:barChart>
      <c:catAx>
        <c:axId val="445788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2120"/>
        <c:crosses val="autoZero"/>
        <c:auto val="1"/>
        <c:lblAlgn val="ctr"/>
        <c:lblOffset val="100"/>
        <c:tickLblSkip val="1"/>
        <c:tickMarkSkip val="1"/>
        <c:noMultiLvlLbl val="0"/>
      </c:catAx>
      <c:valAx>
        <c:axId val="445792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88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88-401F-B72C-9B9E935DD9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88-401F-B72C-9B9E935DD9F4}"/>
            </c:ext>
          </c:extLst>
        </c:ser>
        <c:dLbls>
          <c:showLegendKey val="0"/>
          <c:showVal val="0"/>
          <c:showCatName val="0"/>
          <c:showSerName val="0"/>
          <c:showPercent val="0"/>
          <c:showBubbleSize val="0"/>
        </c:dLbls>
        <c:gapWidth val="150"/>
        <c:overlap val="100"/>
        <c:axId val="445794080"/>
        <c:axId val="445794472"/>
      </c:barChart>
      <c:catAx>
        <c:axId val="445794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794472"/>
        <c:crosses val="autoZero"/>
        <c:auto val="1"/>
        <c:lblAlgn val="ctr"/>
        <c:lblOffset val="100"/>
        <c:tickLblSkip val="1"/>
        <c:tickMarkSkip val="1"/>
        <c:noMultiLvlLbl val="0"/>
      </c:catAx>
      <c:valAx>
        <c:axId val="445794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794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20-4AEF-89EF-F0B3667AA8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20-4AEF-89EF-F0B3667AA839}"/>
            </c:ext>
          </c:extLst>
        </c:ser>
        <c:dLbls>
          <c:showLegendKey val="0"/>
          <c:showVal val="0"/>
          <c:showCatName val="0"/>
          <c:showSerName val="0"/>
          <c:showPercent val="0"/>
          <c:showBubbleSize val="0"/>
        </c:dLbls>
        <c:gapWidth val="150"/>
        <c:overlap val="100"/>
        <c:axId val="445801528"/>
        <c:axId val="445801920"/>
      </c:barChart>
      <c:catAx>
        <c:axId val="445801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1920"/>
        <c:crosses val="autoZero"/>
        <c:auto val="1"/>
        <c:lblAlgn val="ctr"/>
        <c:lblOffset val="100"/>
        <c:tickLblSkip val="1"/>
        <c:tickMarkSkip val="1"/>
        <c:noMultiLvlLbl val="0"/>
      </c:catAx>
      <c:valAx>
        <c:axId val="445801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1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F6-4C12-BEF2-66EC3959FC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F6-4C12-BEF2-66EC3959FCE0}"/>
            </c:ext>
          </c:extLst>
        </c:ser>
        <c:dLbls>
          <c:showLegendKey val="0"/>
          <c:showVal val="0"/>
          <c:showCatName val="0"/>
          <c:showSerName val="0"/>
          <c:showPercent val="0"/>
          <c:showBubbleSize val="0"/>
        </c:dLbls>
        <c:gapWidth val="150"/>
        <c:overlap val="100"/>
        <c:axId val="445807408"/>
        <c:axId val="445803096"/>
      </c:barChart>
      <c:catAx>
        <c:axId val="445807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3096"/>
        <c:crosses val="autoZero"/>
        <c:auto val="1"/>
        <c:lblAlgn val="ctr"/>
        <c:lblOffset val="100"/>
        <c:tickLblSkip val="1"/>
        <c:tickMarkSkip val="1"/>
        <c:noMultiLvlLbl val="0"/>
      </c:catAx>
      <c:valAx>
        <c:axId val="445803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7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1B-41BA-AFBC-F58DE75160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1B-41BA-AFBC-F58DE751604B}"/>
            </c:ext>
          </c:extLst>
        </c:ser>
        <c:dLbls>
          <c:showLegendKey val="0"/>
          <c:showVal val="0"/>
          <c:showCatName val="0"/>
          <c:showSerName val="0"/>
          <c:showPercent val="0"/>
          <c:showBubbleSize val="0"/>
        </c:dLbls>
        <c:gapWidth val="150"/>
        <c:overlap val="100"/>
        <c:axId val="445803488"/>
        <c:axId val="445802704"/>
      </c:barChart>
      <c:catAx>
        <c:axId val="445803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2704"/>
        <c:crosses val="autoZero"/>
        <c:auto val="1"/>
        <c:lblAlgn val="ctr"/>
        <c:lblOffset val="100"/>
        <c:tickLblSkip val="1"/>
        <c:tickMarkSkip val="1"/>
        <c:noMultiLvlLbl val="0"/>
      </c:catAx>
      <c:valAx>
        <c:axId val="445802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3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09-41C5-B399-6FE803B5EC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09-41C5-B399-6FE803B5EC63}"/>
            </c:ext>
          </c:extLst>
        </c:ser>
        <c:dLbls>
          <c:showLegendKey val="0"/>
          <c:showVal val="0"/>
          <c:showCatName val="0"/>
          <c:showSerName val="0"/>
          <c:showPercent val="0"/>
          <c:showBubbleSize val="0"/>
        </c:dLbls>
        <c:gapWidth val="150"/>
        <c:overlap val="100"/>
        <c:axId val="445813288"/>
        <c:axId val="445812504"/>
      </c:barChart>
      <c:catAx>
        <c:axId val="445813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2504"/>
        <c:crosses val="autoZero"/>
        <c:auto val="1"/>
        <c:lblAlgn val="ctr"/>
        <c:lblOffset val="100"/>
        <c:tickLblSkip val="1"/>
        <c:tickMarkSkip val="1"/>
        <c:noMultiLvlLbl val="0"/>
      </c:catAx>
      <c:valAx>
        <c:axId val="445812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3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0E-4E49-B14C-75A0498FA1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0E-4E49-B14C-75A0498FA1C6}"/>
            </c:ext>
          </c:extLst>
        </c:ser>
        <c:dLbls>
          <c:showLegendKey val="0"/>
          <c:showVal val="0"/>
          <c:showCatName val="0"/>
          <c:showSerName val="0"/>
          <c:showPercent val="0"/>
          <c:showBubbleSize val="0"/>
        </c:dLbls>
        <c:gapWidth val="150"/>
        <c:overlap val="100"/>
        <c:axId val="445809368"/>
        <c:axId val="445804664"/>
      </c:barChart>
      <c:catAx>
        <c:axId val="445809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4664"/>
        <c:crosses val="autoZero"/>
        <c:auto val="1"/>
        <c:lblAlgn val="ctr"/>
        <c:lblOffset val="100"/>
        <c:tickLblSkip val="1"/>
        <c:tickMarkSkip val="1"/>
        <c:noMultiLvlLbl val="0"/>
      </c:catAx>
      <c:valAx>
        <c:axId val="445804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9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CAB-4B1D-9422-5E56C7691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CAB-4B1D-9422-5E56C7691F8C}"/>
            </c:ext>
          </c:extLst>
        </c:ser>
        <c:dLbls>
          <c:showLegendKey val="0"/>
          <c:showVal val="0"/>
          <c:showCatName val="0"/>
          <c:showSerName val="0"/>
          <c:showPercent val="0"/>
          <c:showBubbleSize val="0"/>
        </c:dLbls>
        <c:gapWidth val="150"/>
        <c:overlap val="100"/>
        <c:axId val="445808584"/>
        <c:axId val="445808976"/>
      </c:barChart>
      <c:catAx>
        <c:axId val="445808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08976"/>
        <c:crosses val="autoZero"/>
        <c:auto val="1"/>
        <c:lblAlgn val="ctr"/>
        <c:lblOffset val="100"/>
        <c:tickLblSkip val="1"/>
        <c:tickMarkSkip val="1"/>
        <c:noMultiLvlLbl val="0"/>
      </c:catAx>
      <c:valAx>
        <c:axId val="445808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08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76-4E4A-82A1-48A804F51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76-4E4A-82A1-48A804F5107C}"/>
            </c:ext>
          </c:extLst>
        </c:ser>
        <c:dLbls>
          <c:showLegendKey val="0"/>
          <c:showVal val="0"/>
          <c:showCatName val="0"/>
          <c:showSerName val="0"/>
          <c:showPercent val="0"/>
          <c:showBubbleSize val="0"/>
        </c:dLbls>
        <c:gapWidth val="150"/>
        <c:overlap val="100"/>
        <c:axId val="445812896"/>
        <c:axId val="445823088"/>
      </c:barChart>
      <c:catAx>
        <c:axId val="445812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3088"/>
        <c:crosses val="autoZero"/>
        <c:auto val="1"/>
        <c:lblAlgn val="ctr"/>
        <c:lblOffset val="100"/>
        <c:tickLblSkip val="1"/>
        <c:tickMarkSkip val="1"/>
        <c:noMultiLvlLbl val="0"/>
      </c:catAx>
      <c:valAx>
        <c:axId val="445823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2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4F-4693-919C-6D355FA5FB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4F-4693-919C-6D355FA5FBCE}"/>
            </c:ext>
          </c:extLst>
        </c:ser>
        <c:dLbls>
          <c:showLegendKey val="0"/>
          <c:showVal val="0"/>
          <c:showCatName val="0"/>
          <c:showSerName val="0"/>
          <c:showPercent val="0"/>
          <c:showBubbleSize val="0"/>
        </c:dLbls>
        <c:gapWidth val="150"/>
        <c:overlap val="100"/>
        <c:axId val="445817208"/>
        <c:axId val="445824656"/>
      </c:barChart>
      <c:catAx>
        <c:axId val="445817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4656"/>
        <c:crosses val="autoZero"/>
        <c:auto val="1"/>
        <c:lblAlgn val="ctr"/>
        <c:lblOffset val="100"/>
        <c:tickLblSkip val="1"/>
        <c:tickMarkSkip val="1"/>
        <c:noMultiLvlLbl val="0"/>
      </c:catAx>
      <c:valAx>
        <c:axId val="445824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7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7C-48B0-80DB-132E89F46C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7C-48B0-80DB-132E89F46C28}"/>
            </c:ext>
          </c:extLst>
        </c:ser>
        <c:dLbls>
          <c:showLegendKey val="0"/>
          <c:showVal val="0"/>
          <c:showCatName val="0"/>
          <c:showSerName val="0"/>
          <c:showPercent val="0"/>
          <c:showBubbleSize val="0"/>
        </c:dLbls>
        <c:gapWidth val="150"/>
        <c:overlap val="100"/>
        <c:axId val="445814856"/>
        <c:axId val="445816424"/>
      </c:barChart>
      <c:catAx>
        <c:axId val="445814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6424"/>
        <c:crosses val="autoZero"/>
        <c:auto val="1"/>
        <c:lblAlgn val="ctr"/>
        <c:lblOffset val="100"/>
        <c:tickLblSkip val="1"/>
        <c:tickMarkSkip val="1"/>
        <c:noMultiLvlLbl val="0"/>
      </c:catAx>
      <c:valAx>
        <c:axId val="445816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4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EE-4ADA-A813-D3AD1BFFF6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EE-4ADA-A813-D3AD1BFFF6BC}"/>
            </c:ext>
          </c:extLst>
        </c:ser>
        <c:dLbls>
          <c:showLegendKey val="0"/>
          <c:showVal val="0"/>
          <c:showCatName val="0"/>
          <c:showSerName val="0"/>
          <c:showPercent val="0"/>
          <c:showBubbleSize val="0"/>
        </c:dLbls>
        <c:gapWidth val="150"/>
        <c:overlap val="100"/>
        <c:axId val="445816816"/>
        <c:axId val="445819560"/>
      </c:barChart>
      <c:catAx>
        <c:axId val="445816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9560"/>
        <c:crosses val="autoZero"/>
        <c:auto val="1"/>
        <c:lblAlgn val="ctr"/>
        <c:lblOffset val="100"/>
        <c:tickLblSkip val="1"/>
        <c:tickMarkSkip val="1"/>
        <c:noMultiLvlLbl val="0"/>
      </c:catAx>
      <c:valAx>
        <c:axId val="445819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68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8-4E6D-B43F-9D1A976C31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8-4E6D-B43F-9D1A976C310A}"/>
            </c:ext>
          </c:extLst>
        </c:ser>
        <c:dLbls>
          <c:showLegendKey val="0"/>
          <c:showVal val="0"/>
          <c:showCatName val="0"/>
          <c:showSerName val="0"/>
          <c:showPercent val="0"/>
          <c:showBubbleSize val="0"/>
        </c:dLbls>
        <c:gapWidth val="150"/>
        <c:overlap val="100"/>
        <c:axId val="445823480"/>
        <c:axId val="445816032"/>
      </c:barChart>
      <c:catAx>
        <c:axId val="445823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6032"/>
        <c:crosses val="autoZero"/>
        <c:auto val="1"/>
        <c:lblAlgn val="ctr"/>
        <c:lblOffset val="100"/>
        <c:tickLblSkip val="1"/>
        <c:tickMarkSkip val="1"/>
        <c:noMultiLvlLbl val="0"/>
      </c:catAx>
      <c:valAx>
        <c:axId val="445816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3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42-437B-BF78-2840824078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42-437B-BF78-2840824078AE}"/>
            </c:ext>
          </c:extLst>
        </c:ser>
        <c:dLbls>
          <c:showLegendKey val="0"/>
          <c:showVal val="0"/>
          <c:showCatName val="0"/>
          <c:showSerName val="0"/>
          <c:showPercent val="0"/>
          <c:showBubbleSize val="0"/>
        </c:dLbls>
        <c:gapWidth val="150"/>
        <c:overlap val="100"/>
        <c:axId val="445825832"/>
        <c:axId val="445818384"/>
      </c:barChart>
      <c:catAx>
        <c:axId val="445825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18384"/>
        <c:crosses val="autoZero"/>
        <c:auto val="1"/>
        <c:lblAlgn val="ctr"/>
        <c:lblOffset val="100"/>
        <c:tickLblSkip val="1"/>
        <c:tickMarkSkip val="1"/>
        <c:noMultiLvlLbl val="0"/>
      </c:catAx>
      <c:valAx>
        <c:axId val="445818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5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D-43E4-80D7-C6B5DCDBCD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D-43E4-80D7-C6B5DCDBCD5E}"/>
            </c:ext>
          </c:extLst>
        </c:ser>
        <c:dLbls>
          <c:showLegendKey val="0"/>
          <c:showVal val="0"/>
          <c:showCatName val="0"/>
          <c:showSerName val="0"/>
          <c:showPercent val="0"/>
          <c:showBubbleSize val="0"/>
        </c:dLbls>
        <c:gapWidth val="150"/>
        <c:overlap val="100"/>
        <c:axId val="445819168"/>
        <c:axId val="445820344"/>
      </c:barChart>
      <c:catAx>
        <c:axId val="445819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0344"/>
        <c:crosses val="autoZero"/>
        <c:auto val="1"/>
        <c:lblAlgn val="ctr"/>
        <c:lblOffset val="100"/>
        <c:tickLblSkip val="1"/>
        <c:tickMarkSkip val="1"/>
        <c:noMultiLvlLbl val="0"/>
      </c:catAx>
      <c:valAx>
        <c:axId val="445820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19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908-420B-9628-79889C779B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908-420B-9628-79889C779B4C}"/>
            </c:ext>
          </c:extLst>
        </c:ser>
        <c:dLbls>
          <c:showLegendKey val="0"/>
          <c:showVal val="0"/>
          <c:showCatName val="0"/>
          <c:showSerName val="0"/>
          <c:showPercent val="0"/>
          <c:showBubbleSize val="0"/>
        </c:dLbls>
        <c:gapWidth val="150"/>
        <c:overlap val="100"/>
        <c:axId val="445834848"/>
        <c:axId val="445835632"/>
      </c:barChart>
      <c:catAx>
        <c:axId val="445834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5632"/>
        <c:crosses val="autoZero"/>
        <c:auto val="1"/>
        <c:lblAlgn val="ctr"/>
        <c:lblOffset val="100"/>
        <c:tickLblSkip val="1"/>
        <c:tickMarkSkip val="1"/>
        <c:noMultiLvlLbl val="0"/>
      </c:catAx>
      <c:valAx>
        <c:axId val="445835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4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09-44FB-9986-6939CD2AC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09-44FB-9986-6939CD2ACFD6}"/>
            </c:ext>
          </c:extLst>
        </c:ser>
        <c:dLbls>
          <c:showLegendKey val="0"/>
          <c:showVal val="0"/>
          <c:showCatName val="0"/>
          <c:showSerName val="0"/>
          <c:showPercent val="0"/>
          <c:showBubbleSize val="0"/>
        </c:dLbls>
        <c:gapWidth val="150"/>
        <c:overlap val="100"/>
        <c:axId val="445829360"/>
        <c:axId val="445827008"/>
      </c:barChart>
      <c:catAx>
        <c:axId val="445829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27008"/>
        <c:crosses val="autoZero"/>
        <c:auto val="1"/>
        <c:lblAlgn val="ctr"/>
        <c:lblOffset val="100"/>
        <c:tickLblSkip val="1"/>
        <c:tickMarkSkip val="1"/>
        <c:noMultiLvlLbl val="0"/>
      </c:catAx>
      <c:valAx>
        <c:axId val="445827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9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9-4CC7-B4DD-BB17345C5A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9-4CC7-B4DD-BB17345C5A90}"/>
            </c:ext>
          </c:extLst>
        </c:ser>
        <c:dLbls>
          <c:showLegendKey val="0"/>
          <c:showVal val="0"/>
          <c:showCatName val="0"/>
          <c:showSerName val="0"/>
          <c:showPercent val="0"/>
          <c:showBubbleSize val="0"/>
        </c:dLbls>
        <c:gapWidth val="150"/>
        <c:overlap val="100"/>
        <c:axId val="445830536"/>
        <c:axId val="445835240"/>
      </c:barChart>
      <c:catAx>
        <c:axId val="445830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5240"/>
        <c:crosses val="autoZero"/>
        <c:auto val="1"/>
        <c:lblAlgn val="ctr"/>
        <c:lblOffset val="100"/>
        <c:tickLblSkip val="1"/>
        <c:tickMarkSkip val="1"/>
        <c:noMultiLvlLbl val="0"/>
      </c:catAx>
      <c:valAx>
        <c:axId val="445835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0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9B-4D02-8674-06725451E6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9B-4D02-8674-06725451E6FA}"/>
            </c:ext>
          </c:extLst>
        </c:ser>
        <c:dLbls>
          <c:showLegendKey val="0"/>
          <c:showVal val="0"/>
          <c:showCatName val="0"/>
          <c:showSerName val="0"/>
          <c:showPercent val="0"/>
          <c:showBubbleSize val="0"/>
        </c:dLbls>
        <c:gapWidth val="150"/>
        <c:overlap val="100"/>
        <c:axId val="445828968"/>
        <c:axId val="445838376"/>
      </c:barChart>
      <c:catAx>
        <c:axId val="445828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8376"/>
        <c:crosses val="autoZero"/>
        <c:auto val="1"/>
        <c:lblAlgn val="ctr"/>
        <c:lblOffset val="100"/>
        <c:tickLblSkip val="1"/>
        <c:tickMarkSkip val="1"/>
        <c:noMultiLvlLbl val="0"/>
      </c:catAx>
      <c:valAx>
        <c:axId val="445838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28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FD5-48C0-8C55-743A18374E6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FD5-48C0-8C55-743A18374E6E}"/>
            </c:ext>
          </c:extLst>
        </c:ser>
        <c:dLbls>
          <c:showLegendKey val="0"/>
          <c:showVal val="0"/>
          <c:showCatName val="0"/>
          <c:showSerName val="0"/>
          <c:showPercent val="0"/>
          <c:showBubbleSize val="0"/>
        </c:dLbls>
        <c:gapWidth val="150"/>
        <c:overlap val="100"/>
        <c:axId val="445831712"/>
        <c:axId val="445831320"/>
      </c:barChart>
      <c:catAx>
        <c:axId val="445831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1320"/>
        <c:crosses val="autoZero"/>
        <c:auto val="1"/>
        <c:lblAlgn val="ctr"/>
        <c:lblOffset val="100"/>
        <c:tickLblSkip val="1"/>
        <c:tickMarkSkip val="1"/>
        <c:noMultiLvlLbl val="0"/>
      </c:catAx>
      <c:valAx>
        <c:axId val="445831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1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55" r="0.75000000000000255" t="0.98425196899999956" header="0.5" footer="0.5"/>
    <c:pageSetup orientation="portrait"/>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EC3-4FA4-B8B7-9A43512A8D4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EC3-4FA4-B8B7-9A43512A8D43}"/>
            </c:ext>
          </c:extLst>
        </c:ser>
        <c:dLbls>
          <c:showLegendKey val="0"/>
          <c:showVal val="0"/>
          <c:showCatName val="0"/>
          <c:showSerName val="0"/>
          <c:showPercent val="0"/>
          <c:showBubbleSize val="0"/>
        </c:dLbls>
        <c:smooth val="0"/>
        <c:axId val="445832888"/>
        <c:axId val="445833280"/>
      </c:lineChart>
      <c:catAx>
        <c:axId val="44583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3280"/>
        <c:crosses val="autoZero"/>
        <c:auto val="1"/>
        <c:lblAlgn val="ctr"/>
        <c:lblOffset val="100"/>
        <c:tickLblSkip val="1"/>
        <c:tickMarkSkip val="1"/>
        <c:noMultiLvlLbl val="0"/>
      </c:catAx>
      <c:valAx>
        <c:axId val="44583328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B9-4907-A1D2-44BD08327E6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B9-4907-A1D2-44BD08327E6E}"/>
            </c:ext>
          </c:extLst>
        </c:ser>
        <c:dLbls>
          <c:showLegendKey val="0"/>
          <c:showVal val="0"/>
          <c:showCatName val="0"/>
          <c:showSerName val="0"/>
          <c:showPercent val="0"/>
          <c:showBubbleSize val="0"/>
        </c:dLbls>
        <c:smooth val="0"/>
        <c:axId val="445849352"/>
        <c:axId val="445839160"/>
      </c:lineChart>
      <c:catAx>
        <c:axId val="4458493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9160"/>
        <c:crosses val="autoZero"/>
        <c:auto val="1"/>
        <c:lblAlgn val="ctr"/>
        <c:lblOffset val="100"/>
        <c:tickLblSkip val="1"/>
        <c:tickMarkSkip val="1"/>
        <c:noMultiLvlLbl val="0"/>
      </c:catAx>
      <c:valAx>
        <c:axId val="4458391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93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3D-4C1B-881F-EB3018D8E48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3D-4C1B-881F-EB3018D8E483}"/>
            </c:ext>
          </c:extLst>
        </c:ser>
        <c:dLbls>
          <c:showLegendKey val="0"/>
          <c:showVal val="0"/>
          <c:showCatName val="0"/>
          <c:showSerName val="0"/>
          <c:showPercent val="0"/>
          <c:showBubbleSize val="0"/>
        </c:dLbls>
        <c:smooth val="0"/>
        <c:axId val="445850528"/>
        <c:axId val="445845824"/>
      </c:lineChart>
      <c:catAx>
        <c:axId val="4458505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5824"/>
        <c:crosses val="autoZero"/>
        <c:auto val="1"/>
        <c:lblAlgn val="ctr"/>
        <c:lblOffset val="100"/>
        <c:tickLblSkip val="1"/>
        <c:tickMarkSkip val="1"/>
        <c:noMultiLvlLbl val="0"/>
      </c:catAx>
      <c:valAx>
        <c:axId val="445845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05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E-42FA-9C06-8A45379FF2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E-42FA-9C06-8A45379FF23E}"/>
            </c:ext>
          </c:extLst>
        </c:ser>
        <c:dLbls>
          <c:showLegendKey val="0"/>
          <c:showVal val="0"/>
          <c:showCatName val="0"/>
          <c:showSerName val="0"/>
          <c:showPercent val="0"/>
          <c:showBubbleSize val="0"/>
        </c:dLbls>
        <c:gapWidth val="150"/>
        <c:overlap val="100"/>
        <c:axId val="445845432"/>
        <c:axId val="445839552"/>
      </c:barChart>
      <c:catAx>
        <c:axId val="445845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39552"/>
        <c:crosses val="autoZero"/>
        <c:auto val="1"/>
        <c:lblAlgn val="ctr"/>
        <c:lblOffset val="100"/>
        <c:tickLblSkip val="1"/>
        <c:tickMarkSkip val="1"/>
        <c:noMultiLvlLbl val="0"/>
      </c:catAx>
      <c:valAx>
        <c:axId val="445839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5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2-480B-8ECE-DC0C6312C61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2-480B-8ECE-DC0C6312C614}"/>
            </c:ext>
          </c:extLst>
        </c:ser>
        <c:dLbls>
          <c:showLegendKey val="0"/>
          <c:showVal val="0"/>
          <c:showCatName val="0"/>
          <c:showSerName val="0"/>
          <c:showPercent val="0"/>
          <c:showBubbleSize val="0"/>
        </c:dLbls>
        <c:gapWidth val="150"/>
        <c:overlap val="100"/>
        <c:axId val="445840728"/>
        <c:axId val="445849744"/>
      </c:barChart>
      <c:catAx>
        <c:axId val="445840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9744"/>
        <c:crosses val="autoZero"/>
        <c:auto val="1"/>
        <c:lblAlgn val="ctr"/>
        <c:lblOffset val="100"/>
        <c:tickLblSkip val="1"/>
        <c:tickMarkSkip val="1"/>
        <c:noMultiLvlLbl val="0"/>
      </c:catAx>
      <c:valAx>
        <c:axId val="4458497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0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AB-48ED-B204-774D808689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AB-48ED-B204-774D8086893E}"/>
            </c:ext>
          </c:extLst>
        </c:ser>
        <c:dLbls>
          <c:showLegendKey val="0"/>
          <c:showVal val="0"/>
          <c:showCatName val="0"/>
          <c:showSerName val="0"/>
          <c:showPercent val="0"/>
          <c:showBubbleSize val="0"/>
        </c:dLbls>
        <c:gapWidth val="150"/>
        <c:overlap val="100"/>
        <c:axId val="445839944"/>
        <c:axId val="445846608"/>
      </c:barChart>
      <c:catAx>
        <c:axId val="445839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6608"/>
        <c:crosses val="autoZero"/>
        <c:auto val="1"/>
        <c:lblAlgn val="ctr"/>
        <c:lblOffset val="100"/>
        <c:tickLblSkip val="1"/>
        <c:tickMarkSkip val="1"/>
        <c:noMultiLvlLbl val="0"/>
      </c:catAx>
      <c:valAx>
        <c:axId val="445846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39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96-48AB-8FC0-8C0D8232585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96-48AB-8FC0-8C0D8232585B}"/>
            </c:ext>
          </c:extLst>
        </c:ser>
        <c:dLbls>
          <c:showLegendKey val="0"/>
          <c:showVal val="0"/>
          <c:showCatName val="0"/>
          <c:showSerName val="0"/>
          <c:showPercent val="0"/>
          <c:showBubbleSize val="0"/>
        </c:dLbls>
        <c:gapWidth val="150"/>
        <c:overlap val="100"/>
        <c:axId val="445840336"/>
        <c:axId val="445841512"/>
      </c:barChart>
      <c:catAx>
        <c:axId val="445840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1512"/>
        <c:crosses val="autoZero"/>
        <c:auto val="1"/>
        <c:lblAlgn val="ctr"/>
        <c:lblOffset val="100"/>
        <c:tickLblSkip val="1"/>
        <c:tickMarkSkip val="1"/>
        <c:noMultiLvlLbl val="0"/>
      </c:catAx>
      <c:valAx>
        <c:axId val="445841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0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CE-426F-8964-6DB28A871B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CE-426F-8964-6DB28A871B6B}"/>
            </c:ext>
          </c:extLst>
        </c:ser>
        <c:dLbls>
          <c:showLegendKey val="0"/>
          <c:showVal val="0"/>
          <c:showCatName val="0"/>
          <c:showSerName val="0"/>
          <c:showPercent val="0"/>
          <c:showBubbleSize val="0"/>
        </c:dLbls>
        <c:gapWidth val="150"/>
        <c:overlap val="100"/>
        <c:axId val="445847392"/>
        <c:axId val="445847784"/>
      </c:barChart>
      <c:catAx>
        <c:axId val="445847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47784"/>
        <c:crosses val="autoZero"/>
        <c:auto val="1"/>
        <c:lblAlgn val="ctr"/>
        <c:lblOffset val="100"/>
        <c:tickLblSkip val="1"/>
        <c:tickMarkSkip val="1"/>
        <c:noMultiLvlLbl val="0"/>
      </c:catAx>
      <c:valAx>
        <c:axId val="445847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47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941-4BFE-99D2-D6CA3E4221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941-4BFE-99D2-D6CA3E4221FE}"/>
            </c:ext>
          </c:extLst>
        </c:ser>
        <c:dLbls>
          <c:showLegendKey val="0"/>
          <c:showVal val="0"/>
          <c:showCatName val="0"/>
          <c:showSerName val="0"/>
          <c:showPercent val="0"/>
          <c:showBubbleSize val="0"/>
        </c:dLbls>
        <c:gapWidth val="150"/>
        <c:overlap val="100"/>
        <c:axId val="445862680"/>
        <c:axId val="445851312"/>
      </c:barChart>
      <c:catAx>
        <c:axId val="445862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1312"/>
        <c:crosses val="autoZero"/>
        <c:auto val="1"/>
        <c:lblAlgn val="ctr"/>
        <c:lblOffset val="100"/>
        <c:tickLblSkip val="1"/>
        <c:tickMarkSkip val="1"/>
        <c:noMultiLvlLbl val="0"/>
      </c:catAx>
      <c:valAx>
        <c:axId val="445851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6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BC-4FA8-9E29-854787B5DD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BC-4FA8-9E29-854787B5DD68}"/>
            </c:ext>
          </c:extLst>
        </c:ser>
        <c:dLbls>
          <c:showLegendKey val="0"/>
          <c:showVal val="0"/>
          <c:showCatName val="0"/>
          <c:showSerName val="0"/>
          <c:showPercent val="0"/>
          <c:showBubbleSize val="0"/>
        </c:dLbls>
        <c:gapWidth val="150"/>
        <c:overlap val="100"/>
        <c:axId val="445856016"/>
        <c:axId val="445863072"/>
      </c:barChart>
      <c:catAx>
        <c:axId val="445856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63072"/>
        <c:crosses val="autoZero"/>
        <c:auto val="1"/>
        <c:lblAlgn val="ctr"/>
        <c:lblOffset val="100"/>
        <c:tickLblSkip val="1"/>
        <c:tickMarkSkip val="1"/>
        <c:noMultiLvlLbl val="0"/>
      </c:catAx>
      <c:valAx>
        <c:axId val="445863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6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F0-4501-9272-FE5A5D8B4A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F0-4501-9272-FE5A5D8B4AC7}"/>
            </c:ext>
          </c:extLst>
        </c:ser>
        <c:dLbls>
          <c:showLegendKey val="0"/>
          <c:showVal val="0"/>
          <c:showCatName val="0"/>
          <c:showSerName val="0"/>
          <c:showPercent val="0"/>
          <c:showBubbleSize val="0"/>
        </c:dLbls>
        <c:gapWidth val="150"/>
        <c:overlap val="100"/>
        <c:axId val="445852488"/>
        <c:axId val="445855232"/>
      </c:barChart>
      <c:catAx>
        <c:axId val="445852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5232"/>
        <c:crosses val="autoZero"/>
        <c:auto val="1"/>
        <c:lblAlgn val="ctr"/>
        <c:lblOffset val="100"/>
        <c:tickLblSkip val="1"/>
        <c:tickMarkSkip val="1"/>
        <c:noMultiLvlLbl val="0"/>
      </c:catAx>
      <c:valAx>
        <c:axId val="445855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81-47E3-B681-9E702CA6F1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81-47E3-B681-9E702CA6F17C}"/>
            </c:ext>
          </c:extLst>
        </c:ser>
        <c:dLbls>
          <c:showLegendKey val="0"/>
          <c:showVal val="0"/>
          <c:showCatName val="0"/>
          <c:showSerName val="0"/>
          <c:showPercent val="0"/>
          <c:showBubbleSize val="0"/>
        </c:dLbls>
        <c:gapWidth val="150"/>
        <c:overlap val="100"/>
        <c:axId val="445857584"/>
        <c:axId val="445854840"/>
      </c:barChart>
      <c:catAx>
        <c:axId val="445857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4840"/>
        <c:crosses val="autoZero"/>
        <c:auto val="1"/>
        <c:lblAlgn val="ctr"/>
        <c:lblOffset val="100"/>
        <c:tickLblSkip val="1"/>
        <c:tickMarkSkip val="1"/>
        <c:noMultiLvlLbl val="0"/>
      </c:catAx>
      <c:valAx>
        <c:axId val="445854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7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27-4178-AB68-89DE58741C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27-4178-AB68-89DE58741C2B}"/>
            </c:ext>
          </c:extLst>
        </c:ser>
        <c:dLbls>
          <c:showLegendKey val="0"/>
          <c:showVal val="0"/>
          <c:showCatName val="0"/>
          <c:showSerName val="0"/>
          <c:showPercent val="0"/>
          <c:showBubbleSize val="0"/>
        </c:dLbls>
        <c:gapWidth val="150"/>
        <c:overlap val="100"/>
        <c:axId val="445859544"/>
        <c:axId val="445857976"/>
      </c:barChart>
      <c:catAx>
        <c:axId val="445859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7976"/>
        <c:crosses val="autoZero"/>
        <c:auto val="1"/>
        <c:lblAlgn val="ctr"/>
        <c:lblOffset val="100"/>
        <c:tickLblSkip val="1"/>
        <c:tickMarkSkip val="1"/>
        <c:noMultiLvlLbl val="0"/>
      </c:catAx>
      <c:valAx>
        <c:axId val="445857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9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4D-4EA9-86DE-CF48FFBFF1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4D-4EA9-86DE-CF48FFBFF14A}"/>
            </c:ext>
          </c:extLst>
        </c:ser>
        <c:dLbls>
          <c:showLegendKey val="0"/>
          <c:showVal val="0"/>
          <c:showCatName val="0"/>
          <c:showSerName val="0"/>
          <c:showPercent val="0"/>
          <c:showBubbleSize val="0"/>
        </c:dLbls>
        <c:gapWidth val="150"/>
        <c:overlap val="100"/>
        <c:axId val="445856408"/>
        <c:axId val="445856800"/>
      </c:barChart>
      <c:catAx>
        <c:axId val="445856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45856800"/>
        <c:crosses val="autoZero"/>
        <c:auto val="1"/>
        <c:lblAlgn val="ctr"/>
        <c:lblOffset val="100"/>
        <c:tickLblSkip val="1"/>
        <c:tickMarkSkip val="1"/>
        <c:noMultiLvlLbl val="0"/>
      </c:catAx>
      <c:valAx>
        <c:axId val="445856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4585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64-42DC-B2B6-E6941F55A0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64-42DC-B2B6-E6941F55A02D}"/>
            </c:ext>
          </c:extLst>
        </c:ser>
        <c:dLbls>
          <c:showLegendKey val="0"/>
          <c:showVal val="0"/>
          <c:showCatName val="0"/>
          <c:showSerName val="0"/>
          <c:showPercent val="0"/>
          <c:showBubbleSize val="0"/>
        </c:dLbls>
        <c:gapWidth val="150"/>
        <c:overlap val="100"/>
        <c:axId val="450690872"/>
        <c:axId val="450685384"/>
      </c:barChart>
      <c:catAx>
        <c:axId val="4506908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5384"/>
        <c:crosses val="autoZero"/>
        <c:auto val="1"/>
        <c:lblAlgn val="ctr"/>
        <c:lblOffset val="100"/>
        <c:tickLblSkip val="1"/>
        <c:tickMarkSkip val="1"/>
        <c:noMultiLvlLbl val="0"/>
      </c:catAx>
      <c:valAx>
        <c:axId val="450685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08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87-498A-8576-3E18BFB76A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87-498A-8576-3E18BFB76A08}"/>
            </c:ext>
          </c:extLst>
        </c:ser>
        <c:dLbls>
          <c:showLegendKey val="0"/>
          <c:showVal val="0"/>
          <c:showCatName val="0"/>
          <c:showSerName val="0"/>
          <c:showPercent val="0"/>
          <c:showBubbleSize val="0"/>
        </c:dLbls>
        <c:gapWidth val="150"/>
        <c:overlap val="100"/>
        <c:axId val="450681856"/>
        <c:axId val="450686168"/>
      </c:barChart>
      <c:catAx>
        <c:axId val="450681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6168"/>
        <c:crosses val="autoZero"/>
        <c:auto val="1"/>
        <c:lblAlgn val="ctr"/>
        <c:lblOffset val="100"/>
        <c:tickLblSkip val="1"/>
        <c:tickMarkSkip val="1"/>
        <c:noMultiLvlLbl val="0"/>
      </c:catAx>
      <c:valAx>
        <c:axId val="450686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1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5-452D-9E96-FD19AAA171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5-452D-9E96-FD19AAA171CB}"/>
            </c:ext>
          </c:extLst>
        </c:ser>
        <c:dLbls>
          <c:showLegendKey val="0"/>
          <c:showVal val="0"/>
          <c:showCatName val="0"/>
          <c:showSerName val="0"/>
          <c:showPercent val="0"/>
          <c:showBubbleSize val="0"/>
        </c:dLbls>
        <c:gapWidth val="150"/>
        <c:overlap val="100"/>
        <c:axId val="450685776"/>
        <c:axId val="450684208"/>
      </c:barChart>
      <c:catAx>
        <c:axId val="450685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4208"/>
        <c:crosses val="autoZero"/>
        <c:auto val="1"/>
        <c:lblAlgn val="ctr"/>
        <c:lblOffset val="100"/>
        <c:tickLblSkip val="1"/>
        <c:tickMarkSkip val="1"/>
        <c:noMultiLvlLbl val="0"/>
      </c:catAx>
      <c:valAx>
        <c:axId val="450684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5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7E2-4F4A-8CF8-88E09C668B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7E2-4F4A-8CF8-88E09C668B3C}"/>
            </c:ext>
          </c:extLst>
        </c:ser>
        <c:dLbls>
          <c:showLegendKey val="0"/>
          <c:showVal val="0"/>
          <c:showCatName val="0"/>
          <c:showSerName val="0"/>
          <c:showPercent val="0"/>
          <c:showBubbleSize val="0"/>
        </c:dLbls>
        <c:gapWidth val="150"/>
        <c:overlap val="100"/>
        <c:axId val="450681464"/>
        <c:axId val="450688912"/>
      </c:barChart>
      <c:catAx>
        <c:axId val="450681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8912"/>
        <c:crosses val="autoZero"/>
        <c:auto val="1"/>
        <c:lblAlgn val="ctr"/>
        <c:lblOffset val="100"/>
        <c:tickLblSkip val="1"/>
        <c:tickMarkSkip val="1"/>
        <c:noMultiLvlLbl val="0"/>
      </c:catAx>
      <c:valAx>
        <c:axId val="450688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1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EA3-4122-8F14-11C70F5DBA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EA3-4122-8F14-11C70F5DBA59}"/>
            </c:ext>
          </c:extLst>
        </c:ser>
        <c:dLbls>
          <c:showLegendKey val="0"/>
          <c:showVal val="0"/>
          <c:showCatName val="0"/>
          <c:showSerName val="0"/>
          <c:showPercent val="0"/>
          <c:showBubbleSize val="0"/>
        </c:dLbls>
        <c:gapWidth val="150"/>
        <c:overlap val="100"/>
        <c:axId val="450687344"/>
        <c:axId val="450682248"/>
      </c:barChart>
      <c:catAx>
        <c:axId val="450687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2248"/>
        <c:crosses val="autoZero"/>
        <c:auto val="1"/>
        <c:lblAlgn val="ctr"/>
        <c:lblOffset val="100"/>
        <c:tickLblSkip val="1"/>
        <c:tickMarkSkip val="1"/>
        <c:noMultiLvlLbl val="0"/>
      </c:catAx>
      <c:valAx>
        <c:axId val="450682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7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E77-4685-9017-73DE1CF58E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E77-4685-9017-73DE1CF58EC4}"/>
            </c:ext>
          </c:extLst>
        </c:ser>
        <c:dLbls>
          <c:showLegendKey val="0"/>
          <c:showVal val="0"/>
          <c:showCatName val="0"/>
          <c:showSerName val="0"/>
          <c:showPercent val="0"/>
          <c:showBubbleSize val="0"/>
        </c:dLbls>
        <c:gapWidth val="150"/>
        <c:overlap val="100"/>
        <c:axId val="450683816"/>
        <c:axId val="450686952"/>
      </c:barChart>
      <c:catAx>
        <c:axId val="450683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86952"/>
        <c:crosses val="autoZero"/>
        <c:auto val="1"/>
        <c:lblAlgn val="ctr"/>
        <c:lblOffset val="100"/>
        <c:tickLblSkip val="1"/>
        <c:tickMarkSkip val="1"/>
        <c:noMultiLvlLbl val="0"/>
      </c:catAx>
      <c:valAx>
        <c:axId val="450686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3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4E-475A-9B13-56D0ED0E7F0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4E-475A-9B13-56D0ED0E7F05}"/>
            </c:ext>
          </c:extLst>
        </c:ser>
        <c:dLbls>
          <c:showLegendKey val="0"/>
          <c:showVal val="0"/>
          <c:showCatName val="0"/>
          <c:showSerName val="0"/>
          <c:showPercent val="0"/>
          <c:showBubbleSize val="0"/>
        </c:dLbls>
        <c:gapWidth val="150"/>
        <c:overlap val="100"/>
        <c:axId val="450689696"/>
        <c:axId val="450703024"/>
      </c:barChart>
      <c:catAx>
        <c:axId val="450689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3024"/>
        <c:crosses val="autoZero"/>
        <c:auto val="1"/>
        <c:lblAlgn val="ctr"/>
        <c:lblOffset val="100"/>
        <c:tickLblSkip val="1"/>
        <c:tickMarkSkip val="1"/>
        <c:noMultiLvlLbl val="0"/>
      </c:catAx>
      <c:valAx>
        <c:axId val="450703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89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5F-4C11-83C6-9723E57445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5F-4C11-83C6-9723E57445D4}"/>
            </c:ext>
          </c:extLst>
        </c:ser>
        <c:dLbls>
          <c:showLegendKey val="0"/>
          <c:showVal val="0"/>
          <c:showCatName val="0"/>
          <c:showSerName val="0"/>
          <c:showPercent val="0"/>
          <c:showBubbleSize val="0"/>
        </c:dLbls>
        <c:gapWidth val="150"/>
        <c:overlap val="100"/>
        <c:axId val="450693616"/>
        <c:axId val="450700672"/>
      </c:barChart>
      <c:catAx>
        <c:axId val="450693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0672"/>
        <c:crosses val="autoZero"/>
        <c:auto val="1"/>
        <c:lblAlgn val="ctr"/>
        <c:lblOffset val="100"/>
        <c:tickLblSkip val="1"/>
        <c:tickMarkSkip val="1"/>
        <c:noMultiLvlLbl val="0"/>
      </c:catAx>
      <c:valAx>
        <c:axId val="450700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3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B5-46E3-9CD6-F57A06318D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B5-46E3-9CD6-F57A06318DD4}"/>
            </c:ext>
          </c:extLst>
        </c:ser>
        <c:dLbls>
          <c:showLegendKey val="0"/>
          <c:showVal val="0"/>
          <c:showCatName val="0"/>
          <c:showSerName val="0"/>
          <c:showPercent val="0"/>
          <c:showBubbleSize val="0"/>
        </c:dLbls>
        <c:gapWidth val="150"/>
        <c:overlap val="100"/>
        <c:axId val="450701456"/>
        <c:axId val="450697144"/>
      </c:barChart>
      <c:catAx>
        <c:axId val="45070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7144"/>
        <c:crosses val="autoZero"/>
        <c:auto val="1"/>
        <c:lblAlgn val="ctr"/>
        <c:lblOffset val="100"/>
        <c:tickLblSkip val="1"/>
        <c:tickMarkSkip val="1"/>
        <c:noMultiLvlLbl val="0"/>
      </c:catAx>
      <c:valAx>
        <c:axId val="45069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1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F3A-4B24-B069-3EE707AE7A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F3A-4B24-B069-3EE707AE7A24}"/>
            </c:ext>
          </c:extLst>
        </c:ser>
        <c:dLbls>
          <c:showLegendKey val="0"/>
          <c:showVal val="0"/>
          <c:showCatName val="0"/>
          <c:showSerName val="0"/>
          <c:showPercent val="0"/>
          <c:showBubbleSize val="0"/>
        </c:dLbls>
        <c:gapWidth val="150"/>
        <c:overlap val="100"/>
        <c:axId val="450692440"/>
        <c:axId val="450697536"/>
      </c:barChart>
      <c:catAx>
        <c:axId val="450692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7536"/>
        <c:crosses val="autoZero"/>
        <c:auto val="1"/>
        <c:lblAlgn val="ctr"/>
        <c:lblOffset val="100"/>
        <c:tickLblSkip val="1"/>
        <c:tickMarkSkip val="1"/>
        <c:noMultiLvlLbl val="0"/>
      </c:catAx>
      <c:valAx>
        <c:axId val="450697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2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80F-4990-BC4F-2F5D200042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80F-4990-BC4F-2F5D200042AD}"/>
            </c:ext>
          </c:extLst>
        </c:ser>
        <c:dLbls>
          <c:showLegendKey val="0"/>
          <c:showVal val="0"/>
          <c:showCatName val="0"/>
          <c:showSerName val="0"/>
          <c:showPercent val="0"/>
          <c:showBubbleSize val="0"/>
        </c:dLbls>
        <c:gapWidth val="150"/>
        <c:overlap val="100"/>
        <c:axId val="450695576"/>
        <c:axId val="450699888"/>
      </c:barChart>
      <c:catAx>
        <c:axId val="45069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9888"/>
        <c:crosses val="autoZero"/>
        <c:auto val="1"/>
        <c:lblAlgn val="ctr"/>
        <c:lblOffset val="100"/>
        <c:tickLblSkip val="1"/>
        <c:tickMarkSkip val="1"/>
        <c:noMultiLvlLbl val="0"/>
      </c:catAx>
      <c:valAx>
        <c:axId val="450699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95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E-478E-ACE8-EC60599C2B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E-478E-ACE8-EC60599C2BFB}"/>
            </c:ext>
          </c:extLst>
        </c:ser>
        <c:dLbls>
          <c:showLegendKey val="0"/>
          <c:showVal val="0"/>
          <c:showCatName val="0"/>
          <c:showSerName val="0"/>
          <c:showPercent val="0"/>
          <c:showBubbleSize val="0"/>
        </c:dLbls>
        <c:gapWidth val="150"/>
        <c:overlap val="100"/>
        <c:axId val="450702240"/>
        <c:axId val="450696360"/>
      </c:barChart>
      <c:catAx>
        <c:axId val="450702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6360"/>
        <c:crosses val="autoZero"/>
        <c:auto val="1"/>
        <c:lblAlgn val="ctr"/>
        <c:lblOffset val="100"/>
        <c:tickLblSkip val="1"/>
        <c:tickMarkSkip val="1"/>
        <c:noMultiLvlLbl val="0"/>
      </c:catAx>
      <c:valAx>
        <c:axId val="450696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2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76-4321-BB3B-2C0FF49853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76-4321-BB3B-2C0FF498531C}"/>
            </c:ext>
          </c:extLst>
        </c:ser>
        <c:dLbls>
          <c:showLegendKey val="0"/>
          <c:showVal val="0"/>
          <c:showCatName val="0"/>
          <c:showSerName val="0"/>
          <c:showPercent val="0"/>
          <c:showBubbleSize val="0"/>
        </c:dLbls>
        <c:gapWidth val="150"/>
        <c:overlap val="100"/>
        <c:axId val="450704592"/>
        <c:axId val="450692832"/>
      </c:barChart>
      <c:catAx>
        <c:axId val="45070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92832"/>
        <c:crosses val="autoZero"/>
        <c:auto val="1"/>
        <c:lblAlgn val="ctr"/>
        <c:lblOffset val="100"/>
        <c:tickLblSkip val="1"/>
        <c:tickMarkSkip val="1"/>
        <c:noMultiLvlLbl val="0"/>
      </c:catAx>
      <c:valAx>
        <c:axId val="45069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7-4DB2-A239-0AB5EFA152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7-4DB2-A239-0AB5EFA15291}"/>
            </c:ext>
          </c:extLst>
        </c:ser>
        <c:dLbls>
          <c:showLegendKey val="0"/>
          <c:showVal val="0"/>
          <c:showCatName val="0"/>
          <c:showSerName val="0"/>
          <c:showPercent val="0"/>
          <c:showBubbleSize val="0"/>
        </c:dLbls>
        <c:gapWidth val="150"/>
        <c:overlap val="100"/>
        <c:axId val="450704984"/>
        <c:axId val="450713216"/>
      </c:barChart>
      <c:catAx>
        <c:axId val="450704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3216"/>
        <c:crosses val="autoZero"/>
        <c:auto val="1"/>
        <c:lblAlgn val="ctr"/>
        <c:lblOffset val="100"/>
        <c:tickLblSkip val="1"/>
        <c:tickMarkSkip val="1"/>
        <c:noMultiLvlLbl val="0"/>
      </c:catAx>
      <c:valAx>
        <c:axId val="450713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49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20-41EC-8C63-2F24D4806E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20-41EC-8C63-2F24D4806E2F}"/>
            </c:ext>
          </c:extLst>
        </c:ser>
        <c:dLbls>
          <c:showLegendKey val="0"/>
          <c:showVal val="0"/>
          <c:showCatName val="0"/>
          <c:showSerName val="0"/>
          <c:showPercent val="0"/>
          <c:showBubbleSize val="0"/>
        </c:dLbls>
        <c:gapWidth val="150"/>
        <c:overlap val="100"/>
        <c:axId val="450708120"/>
        <c:axId val="450708512"/>
      </c:barChart>
      <c:catAx>
        <c:axId val="450708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08512"/>
        <c:crosses val="autoZero"/>
        <c:auto val="1"/>
        <c:lblAlgn val="ctr"/>
        <c:lblOffset val="100"/>
        <c:tickLblSkip val="1"/>
        <c:tickMarkSkip val="1"/>
        <c:noMultiLvlLbl val="0"/>
      </c:catAx>
      <c:valAx>
        <c:axId val="450708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8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5C-4F50-888F-ABAE0FDE98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5C-4F50-888F-ABAE0FDE98FD}"/>
            </c:ext>
          </c:extLst>
        </c:ser>
        <c:dLbls>
          <c:showLegendKey val="0"/>
          <c:showVal val="0"/>
          <c:showCatName val="0"/>
          <c:showSerName val="0"/>
          <c:showPercent val="0"/>
          <c:showBubbleSize val="0"/>
        </c:dLbls>
        <c:gapWidth val="150"/>
        <c:overlap val="100"/>
        <c:axId val="450705768"/>
        <c:axId val="450714392"/>
      </c:barChart>
      <c:catAx>
        <c:axId val="450705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4392"/>
        <c:crosses val="autoZero"/>
        <c:auto val="1"/>
        <c:lblAlgn val="ctr"/>
        <c:lblOffset val="100"/>
        <c:tickLblSkip val="1"/>
        <c:tickMarkSkip val="1"/>
        <c:noMultiLvlLbl val="0"/>
      </c:catAx>
      <c:valAx>
        <c:axId val="450714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5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87-4F7B-A6E0-41CAB32841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87-4F7B-A6E0-41CAB3284101}"/>
            </c:ext>
          </c:extLst>
        </c:ser>
        <c:dLbls>
          <c:showLegendKey val="0"/>
          <c:showVal val="0"/>
          <c:showCatName val="0"/>
          <c:showSerName val="0"/>
          <c:showPercent val="0"/>
          <c:showBubbleSize val="0"/>
        </c:dLbls>
        <c:gapWidth val="150"/>
        <c:overlap val="100"/>
        <c:axId val="450711256"/>
        <c:axId val="450715176"/>
      </c:barChart>
      <c:catAx>
        <c:axId val="450711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5176"/>
        <c:crosses val="autoZero"/>
        <c:auto val="1"/>
        <c:lblAlgn val="ctr"/>
        <c:lblOffset val="100"/>
        <c:tickLblSkip val="1"/>
        <c:tickMarkSkip val="1"/>
        <c:noMultiLvlLbl val="0"/>
      </c:catAx>
      <c:valAx>
        <c:axId val="450715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1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D0-4F8D-84FD-BD3AD8A1CEA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D0-4F8D-84FD-BD3AD8A1CEA1}"/>
            </c:ext>
          </c:extLst>
        </c:ser>
        <c:dLbls>
          <c:showLegendKey val="0"/>
          <c:showVal val="0"/>
          <c:showCatName val="0"/>
          <c:showSerName val="0"/>
          <c:showPercent val="0"/>
          <c:showBubbleSize val="0"/>
        </c:dLbls>
        <c:gapWidth val="150"/>
        <c:overlap val="100"/>
        <c:axId val="450706552"/>
        <c:axId val="450710472"/>
      </c:barChart>
      <c:catAx>
        <c:axId val="450706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0472"/>
        <c:crosses val="autoZero"/>
        <c:auto val="1"/>
        <c:lblAlgn val="ctr"/>
        <c:lblOffset val="100"/>
        <c:tickLblSkip val="1"/>
        <c:tickMarkSkip val="1"/>
        <c:noMultiLvlLbl val="0"/>
      </c:catAx>
      <c:valAx>
        <c:axId val="450710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06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0-4534-98EA-60C87194F60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0-4534-98EA-60C87194F601}"/>
            </c:ext>
          </c:extLst>
        </c:ser>
        <c:dLbls>
          <c:showLegendKey val="0"/>
          <c:showVal val="0"/>
          <c:showCatName val="0"/>
          <c:showSerName val="0"/>
          <c:showPercent val="0"/>
          <c:showBubbleSize val="0"/>
        </c:dLbls>
        <c:gapWidth val="150"/>
        <c:overlap val="100"/>
        <c:axId val="450710864"/>
        <c:axId val="450711648"/>
      </c:barChart>
      <c:catAx>
        <c:axId val="450710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1648"/>
        <c:crosses val="autoZero"/>
        <c:auto val="1"/>
        <c:lblAlgn val="ctr"/>
        <c:lblOffset val="100"/>
        <c:tickLblSkip val="1"/>
        <c:tickMarkSkip val="1"/>
        <c:noMultiLvlLbl val="0"/>
      </c:catAx>
      <c:valAx>
        <c:axId val="450711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0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9B7-48D3-AA02-6EF8B097030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9B7-48D3-AA02-6EF8B0970308}"/>
            </c:ext>
          </c:extLst>
        </c:ser>
        <c:dLbls>
          <c:showLegendKey val="0"/>
          <c:showVal val="0"/>
          <c:showCatName val="0"/>
          <c:showSerName val="0"/>
          <c:showPercent val="0"/>
          <c:showBubbleSize val="0"/>
        </c:dLbls>
        <c:gapWidth val="150"/>
        <c:overlap val="100"/>
        <c:axId val="450726544"/>
        <c:axId val="450725760"/>
      </c:barChart>
      <c:catAx>
        <c:axId val="450726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5760"/>
        <c:crosses val="autoZero"/>
        <c:auto val="1"/>
        <c:lblAlgn val="ctr"/>
        <c:lblOffset val="100"/>
        <c:tickLblSkip val="1"/>
        <c:tickMarkSkip val="1"/>
        <c:noMultiLvlLbl val="0"/>
      </c:catAx>
      <c:valAx>
        <c:axId val="45072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6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35-49CE-963E-68AFF678C4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35-49CE-963E-68AFF678C434}"/>
            </c:ext>
          </c:extLst>
        </c:ser>
        <c:dLbls>
          <c:showLegendKey val="0"/>
          <c:showVal val="0"/>
          <c:showCatName val="0"/>
          <c:showSerName val="0"/>
          <c:showPercent val="0"/>
          <c:showBubbleSize val="0"/>
        </c:dLbls>
        <c:gapWidth val="150"/>
        <c:overlap val="100"/>
        <c:axId val="450719096"/>
        <c:axId val="450728896"/>
      </c:barChart>
      <c:catAx>
        <c:axId val="450719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8896"/>
        <c:crosses val="autoZero"/>
        <c:auto val="1"/>
        <c:lblAlgn val="ctr"/>
        <c:lblOffset val="100"/>
        <c:tickLblSkip val="1"/>
        <c:tickMarkSkip val="1"/>
        <c:noMultiLvlLbl val="0"/>
      </c:catAx>
      <c:valAx>
        <c:axId val="4507288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02-448D-9403-38386BF47A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02-448D-9403-38386BF47ACB}"/>
            </c:ext>
          </c:extLst>
        </c:ser>
        <c:dLbls>
          <c:showLegendKey val="0"/>
          <c:showVal val="0"/>
          <c:showCatName val="0"/>
          <c:showSerName val="0"/>
          <c:showPercent val="0"/>
          <c:showBubbleSize val="0"/>
        </c:dLbls>
        <c:gapWidth val="150"/>
        <c:overlap val="100"/>
        <c:axId val="450728112"/>
        <c:axId val="450717920"/>
      </c:barChart>
      <c:catAx>
        <c:axId val="450728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17920"/>
        <c:crosses val="autoZero"/>
        <c:auto val="1"/>
        <c:lblAlgn val="ctr"/>
        <c:lblOffset val="100"/>
        <c:tickLblSkip val="1"/>
        <c:tickMarkSkip val="1"/>
        <c:noMultiLvlLbl val="0"/>
      </c:catAx>
      <c:valAx>
        <c:axId val="450717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8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FF-4ACF-B829-AC7F705BF7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FF-4ACF-B829-AC7F705BF7BC}"/>
            </c:ext>
          </c:extLst>
        </c:ser>
        <c:dLbls>
          <c:showLegendKey val="0"/>
          <c:showVal val="0"/>
          <c:showCatName val="0"/>
          <c:showSerName val="0"/>
          <c:showPercent val="0"/>
          <c:showBubbleSize val="0"/>
        </c:dLbls>
        <c:gapWidth val="150"/>
        <c:overlap val="100"/>
        <c:axId val="450722232"/>
        <c:axId val="450729288"/>
      </c:barChart>
      <c:catAx>
        <c:axId val="450722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9288"/>
        <c:crosses val="autoZero"/>
        <c:auto val="1"/>
        <c:lblAlgn val="ctr"/>
        <c:lblOffset val="100"/>
        <c:tickLblSkip val="1"/>
        <c:tickMarkSkip val="1"/>
        <c:noMultiLvlLbl val="0"/>
      </c:catAx>
      <c:valAx>
        <c:axId val="450729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2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0F-40D0-B7D9-84F0EB5370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0F-40D0-B7D9-84F0EB53703D}"/>
            </c:ext>
          </c:extLst>
        </c:ser>
        <c:dLbls>
          <c:showLegendKey val="0"/>
          <c:showVal val="0"/>
          <c:showCatName val="0"/>
          <c:showSerName val="0"/>
          <c:showPercent val="0"/>
          <c:showBubbleSize val="0"/>
        </c:dLbls>
        <c:gapWidth val="150"/>
        <c:overlap val="100"/>
        <c:axId val="450719488"/>
        <c:axId val="450722624"/>
      </c:barChart>
      <c:catAx>
        <c:axId val="4507194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2624"/>
        <c:crosses val="autoZero"/>
        <c:auto val="1"/>
        <c:lblAlgn val="ctr"/>
        <c:lblOffset val="100"/>
        <c:tickLblSkip val="1"/>
        <c:tickMarkSkip val="1"/>
        <c:noMultiLvlLbl val="0"/>
      </c:catAx>
      <c:valAx>
        <c:axId val="450722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AA-481F-86D4-F549DC8B89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AA-481F-86D4-F549DC8B8996}"/>
            </c:ext>
          </c:extLst>
        </c:ser>
        <c:dLbls>
          <c:showLegendKey val="0"/>
          <c:showVal val="0"/>
          <c:showCatName val="0"/>
          <c:showSerName val="0"/>
          <c:showPercent val="0"/>
          <c:showBubbleSize val="0"/>
        </c:dLbls>
        <c:gapWidth val="150"/>
        <c:overlap val="100"/>
        <c:axId val="450719880"/>
        <c:axId val="450723408"/>
      </c:barChart>
      <c:catAx>
        <c:axId val="450719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3408"/>
        <c:crosses val="autoZero"/>
        <c:auto val="1"/>
        <c:lblAlgn val="ctr"/>
        <c:lblOffset val="100"/>
        <c:tickLblSkip val="1"/>
        <c:tickMarkSkip val="1"/>
        <c:noMultiLvlLbl val="0"/>
      </c:catAx>
      <c:valAx>
        <c:axId val="450723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19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B62-4625-965E-FE10F17557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B62-4625-965E-FE10F1755781}"/>
            </c:ext>
          </c:extLst>
        </c:ser>
        <c:dLbls>
          <c:showLegendKey val="0"/>
          <c:showVal val="0"/>
          <c:showCatName val="0"/>
          <c:showSerName val="0"/>
          <c:showPercent val="0"/>
          <c:showBubbleSize val="0"/>
        </c:dLbls>
        <c:gapWidth val="150"/>
        <c:overlap val="100"/>
        <c:axId val="450724192"/>
        <c:axId val="450725368"/>
      </c:barChart>
      <c:catAx>
        <c:axId val="450724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25368"/>
        <c:crosses val="autoZero"/>
        <c:auto val="1"/>
        <c:lblAlgn val="ctr"/>
        <c:lblOffset val="100"/>
        <c:tickLblSkip val="1"/>
        <c:tickMarkSkip val="1"/>
        <c:noMultiLvlLbl val="0"/>
      </c:catAx>
      <c:valAx>
        <c:axId val="450725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241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429-4B13-AD22-01FCB61785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429-4B13-AD22-01FCB6178516}"/>
            </c:ext>
          </c:extLst>
        </c:ser>
        <c:dLbls>
          <c:showLegendKey val="0"/>
          <c:showVal val="0"/>
          <c:showCatName val="0"/>
          <c:showSerName val="0"/>
          <c:showPercent val="0"/>
          <c:showBubbleSize val="0"/>
        </c:dLbls>
        <c:gapWidth val="150"/>
        <c:overlap val="100"/>
        <c:axId val="450740656"/>
        <c:axId val="450741048"/>
      </c:barChart>
      <c:catAx>
        <c:axId val="45074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1048"/>
        <c:crosses val="autoZero"/>
        <c:auto val="1"/>
        <c:lblAlgn val="ctr"/>
        <c:lblOffset val="100"/>
        <c:tickLblSkip val="1"/>
        <c:tickMarkSkip val="1"/>
        <c:noMultiLvlLbl val="0"/>
      </c:catAx>
      <c:valAx>
        <c:axId val="450741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6FE-4C02-9051-BF3B88A418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6FE-4C02-9051-BF3B88A41890}"/>
            </c:ext>
          </c:extLst>
        </c:ser>
        <c:dLbls>
          <c:showLegendKey val="0"/>
          <c:showVal val="0"/>
          <c:showCatName val="0"/>
          <c:showSerName val="0"/>
          <c:showPercent val="0"/>
          <c:showBubbleSize val="0"/>
        </c:dLbls>
        <c:gapWidth val="150"/>
        <c:overlap val="100"/>
        <c:axId val="450741832"/>
        <c:axId val="450732032"/>
      </c:barChart>
      <c:catAx>
        <c:axId val="450741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2032"/>
        <c:crosses val="autoZero"/>
        <c:auto val="1"/>
        <c:lblAlgn val="ctr"/>
        <c:lblOffset val="100"/>
        <c:tickLblSkip val="1"/>
        <c:tickMarkSkip val="1"/>
        <c:noMultiLvlLbl val="0"/>
      </c:catAx>
      <c:valAx>
        <c:axId val="450732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1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C2A-4013-B9EF-8241233D94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C2A-4013-B9EF-8241233D9436}"/>
            </c:ext>
          </c:extLst>
        </c:ser>
        <c:dLbls>
          <c:showLegendKey val="0"/>
          <c:showVal val="0"/>
          <c:showCatName val="0"/>
          <c:showSerName val="0"/>
          <c:showPercent val="0"/>
          <c:showBubbleSize val="0"/>
        </c:dLbls>
        <c:gapWidth val="150"/>
        <c:overlap val="100"/>
        <c:axId val="450735560"/>
        <c:axId val="450732424"/>
      </c:barChart>
      <c:catAx>
        <c:axId val="450735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2424"/>
        <c:crosses val="autoZero"/>
        <c:auto val="1"/>
        <c:lblAlgn val="ctr"/>
        <c:lblOffset val="100"/>
        <c:tickLblSkip val="1"/>
        <c:tickMarkSkip val="1"/>
        <c:noMultiLvlLbl val="0"/>
      </c:catAx>
      <c:valAx>
        <c:axId val="450732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5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D-4FFF-95F4-45E10F933F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D-4FFF-95F4-45E10F933F3A}"/>
            </c:ext>
          </c:extLst>
        </c:ser>
        <c:dLbls>
          <c:showLegendKey val="0"/>
          <c:showVal val="0"/>
          <c:showCatName val="0"/>
          <c:showSerName val="0"/>
          <c:showPercent val="0"/>
          <c:showBubbleSize val="0"/>
        </c:dLbls>
        <c:gapWidth val="150"/>
        <c:overlap val="100"/>
        <c:axId val="450738304"/>
        <c:axId val="450730464"/>
      </c:barChart>
      <c:catAx>
        <c:axId val="45073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0464"/>
        <c:crosses val="autoZero"/>
        <c:auto val="1"/>
        <c:lblAlgn val="ctr"/>
        <c:lblOffset val="100"/>
        <c:tickLblSkip val="1"/>
        <c:tickMarkSkip val="1"/>
        <c:noMultiLvlLbl val="0"/>
      </c:catAx>
      <c:valAx>
        <c:axId val="450730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8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4A-498A-AF29-65CEF8ED6C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4A-498A-AF29-65CEF8ED6CF6}"/>
            </c:ext>
          </c:extLst>
        </c:ser>
        <c:dLbls>
          <c:showLegendKey val="0"/>
          <c:showVal val="0"/>
          <c:showCatName val="0"/>
          <c:showSerName val="0"/>
          <c:showPercent val="0"/>
          <c:showBubbleSize val="0"/>
        </c:dLbls>
        <c:gapWidth val="150"/>
        <c:overlap val="100"/>
        <c:axId val="450733600"/>
        <c:axId val="450735952"/>
      </c:barChart>
      <c:catAx>
        <c:axId val="450733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5952"/>
        <c:crosses val="autoZero"/>
        <c:auto val="1"/>
        <c:lblAlgn val="ctr"/>
        <c:lblOffset val="100"/>
        <c:tickLblSkip val="1"/>
        <c:tickMarkSkip val="1"/>
        <c:noMultiLvlLbl val="0"/>
      </c:catAx>
      <c:valAx>
        <c:axId val="450735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3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F8-4386-91AA-F0B295EECAB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F8-4386-91AA-F0B295EECABE}"/>
            </c:ext>
          </c:extLst>
        </c:ser>
        <c:dLbls>
          <c:showLegendKey val="0"/>
          <c:showVal val="0"/>
          <c:showCatName val="0"/>
          <c:showSerName val="0"/>
          <c:showPercent val="0"/>
          <c:showBubbleSize val="0"/>
        </c:dLbls>
        <c:gapWidth val="150"/>
        <c:overlap val="100"/>
        <c:axId val="450734776"/>
        <c:axId val="450735168"/>
      </c:barChart>
      <c:catAx>
        <c:axId val="450734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35168"/>
        <c:crosses val="autoZero"/>
        <c:auto val="1"/>
        <c:lblAlgn val="ctr"/>
        <c:lblOffset val="100"/>
        <c:tickLblSkip val="1"/>
        <c:tickMarkSkip val="1"/>
        <c:noMultiLvlLbl val="0"/>
      </c:catAx>
      <c:valAx>
        <c:axId val="450735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34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9F0-4A36-936A-2853C507AB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9F0-4A36-936A-2853C507AB83}"/>
            </c:ext>
          </c:extLst>
        </c:ser>
        <c:dLbls>
          <c:showLegendKey val="0"/>
          <c:showVal val="0"/>
          <c:showCatName val="0"/>
          <c:showSerName val="0"/>
          <c:showPercent val="0"/>
          <c:showBubbleSize val="0"/>
        </c:dLbls>
        <c:gapWidth val="150"/>
        <c:overlap val="100"/>
        <c:axId val="450746536"/>
        <c:axId val="450752808"/>
      </c:barChart>
      <c:catAx>
        <c:axId val="45074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2808"/>
        <c:crosses val="autoZero"/>
        <c:auto val="1"/>
        <c:lblAlgn val="ctr"/>
        <c:lblOffset val="100"/>
        <c:tickLblSkip val="1"/>
        <c:tickMarkSkip val="1"/>
        <c:noMultiLvlLbl val="0"/>
      </c:catAx>
      <c:valAx>
        <c:axId val="45075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3F3-4A18-85DA-8766CA8871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3F3-4A18-85DA-8766CA887128}"/>
            </c:ext>
          </c:extLst>
        </c:ser>
        <c:dLbls>
          <c:showLegendKey val="0"/>
          <c:showVal val="0"/>
          <c:showCatName val="0"/>
          <c:showSerName val="0"/>
          <c:showPercent val="0"/>
          <c:showBubbleSize val="0"/>
        </c:dLbls>
        <c:gapWidth val="150"/>
        <c:overlap val="100"/>
        <c:axId val="450754768"/>
        <c:axId val="450753984"/>
      </c:barChart>
      <c:catAx>
        <c:axId val="45075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3984"/>
        <c:crosses val="autoZero"/>
        <c:auto val="1"/>
        <c:lblAlgn val="ctr"/>
        <c:lblOffset val="100"/>
        <c:tickLblSkip val="1"/>
        <c:tickMarkSkip val="1"/>
        <c:noMultiLvlLbl val="0"/>
      </c:catAx>
      <c:valAx>
        <c:axId val="450753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896-4E37-8A46-A85F2D8912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896-4E37-8A46-A85F2D891284}"/>
            </c:ext>
          </c:extLst>
        </c:ser>
        <c:dLbls>
          <c:showLegendKey val="0"/>
          <c:showVal val="0"/>
          <c:showCatName val="0"/>
          <c:showSerName val="0"/>
          <c:showPercent val="0"/>
          <c:showBubbleSize val="0"/>
        </c:dLbls>
        <c:gapWidth val="150"/>
        <c:overlap val="100"/>
        <c:axId val="450743792"/>
        <c:axId val="450753200"/>
      </c:barChart>
      <c:catAx>
        <c:axId val="450743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3200"/>
        <c:crosses val="autoZero"/>
        <c:auto val="1"/>
        <c:lblAlgn val="ctr"/>
        <c:lblOffset val="100"/>
        <c:tickLblSkip val="1"/>
        <c:tickMarkSkip val="1"/>
        <c:noMultiLvlLbl val="0"/>
      </c:catAx>
      <c:valAx>
        <c:axId val="450753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3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48-4166-B953-E854F65E025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48-4166-B953-E854F65E0254}"/>
            </c:ext>
          </c:extLst>
        </c:ser>
        <c:dLbls>
          <c:showLegendKey val="0"/>
          <c:showVal val="0"/>
          <c:showCatName val="0"/>
          <c:showSerName val="0"/>
          <c:showPercent val="0"/>
          <c:showBubbleSize val="0"/>
        </c:dLbls>
        <c:gapWidth val="150"/>
        <c:overlap val="100"/>
        <c:axId val="450744576"/>
        <c:axId val="450748496"/>
      </c:barChart>
      <c:catAx>
        <c:axId val="450744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8496"/>
        <c:crosses val="autoZero"/>
        <c:auto val="1"/>
        <c:lblAlgn val="ctr"/>
        <c:lblOffset val="100"/>
        <c:tickLblSkip val="1"/>
        <c:tickMarkSkip val="1"/>
        <c:noMultiLvlLbl val="0"/>
      </c:catAx>
      <c:valAx>
        <c:axId val="450748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4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B2B-ABEF-F28C1D397B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B2B-ABEF-F28C1D397B11}"/>
            </c:ext>
          </c:extLst>
        </c:ser>
        <c:dLbls>
          <c:showLegendKey val="0"/>
          <c:showVal val="0"/>
          <c:showCatName val="0"/>
          <c:showSerName val="0"/>
          <c:showPercent val="0"/>
          <c:showBubbleSize val="0"/>
        </c:dLbls>
        <c:gapWidth val="150"/>
        <c:overlap val="100"/>
        <c:axId val="450744968"/>
        <c:axId val="450745360"/>
      </c:barChart>
      <c:catAx>
        <c:axId val="450744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5360"/>
        <c:crosses val="autoZero"/>
        <c:auto val="1"/>
        <c:lblAlgn val="ctr"/>
        <c:lblOffset val="100"/>
        <c:tickLblSkip val="1"/>
        <c:tickMarkSkip val="1"/>
        <c:noMultiLvlLbl val="0"/>
      </c:catAx>
      <c:valAx>
        <c:axId val="45074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4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DB-402B-8165-DE148B26E4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DB-402B-8165-DE148B26E49C}"/>
            </c:ext>
          </c:extLst>
        </c:ser>
        <c:dLbls>
          <c:showLegendKey val="0"/>
          <c:showVal val="0"/>
          <c:showCatName val="0"/>
          <c:showSerName val="0"/>
          <c:showPercent val="0"/>
          <c:showBubbleSize val="0"/>
        </c:dLbls>
        <c:gapWidth val="150"/>
        <c:overlap val="100"/>
        <c:axId val="450742616"/>
        <c:axId val="450749672"/>
      </c:barChart>
      <c:catAx>
        <c:axId val="450742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49672"/>
        <c:crosses val="autoZero"/>
        <c:auto val="1"/>
        <c:lblAlgn val="ctr"/>
        <c:lblOffset val="100"/>
        <c:tickLblSkip val="1"/>
        <c:tickMarkSkip val="1"/>
        <c:noMultiLvlLbl val="0"/>
      </c:catAx>
      <c:valAx>
        <c:axId val="45074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42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D-47EC-838E-1FDD8693D2F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D-47EC-838E-1FDD8693D2F1}"/>
            </c:ext>
          </c:extLst>
        </c:ser>
        <c:dLbls>
          <c:showLegendKey val="0"/>
          <c:showVal val="0"/>
          <c:showCatName val="0"/>
          <c:showSerName val="0"/>
          <c:showPercent val="0"/>
          <c:showBubbleSize val="0"/>
        </c:dLbls>
        <c:gapWidth val="150"/>
        <c:overlap val="100"/>
        <c:axId val="450752416"/>
        <c:axId val="450757120"/>
      </c:barChart>
      <c:catAx>
        <c:axId val="450752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7120"/>
        <c:crosses val="autoZero"/>
        <c:auto val="1"/>
        <c:lblAlgn val="ctr"/>
        <c:lblOffset val="100"/>
        <c:tickLblSkip val="1"/>
        <c:tickMarkSkip val="1"/>
        <c:noMultiLvlLbl val="0"/>
      </c:catAx>
      <c:valAx>
        <c:axId val="450757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2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02-4582-8790-5E5DAB21BA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02-4582-8790-5E5DAB21BA6F}"/>
            </c:ext>
          </c:extLst>
        </c:ser>
        <c:dLbls>
          <c:showLegendKey val="0"/>
          <c:showVal val="0"/>
          <c:showCatName val="0"/>
          <c:showSerName val="0"/>
          <c:showPercent val="0"/>
          <c:showBubbleSize val="0"/>
        </c:dLbls>
        <c:gapWidth val="150"/>
        <c:overlap val="100"/>
        <c:axId val="450755552"/>
        <c:axId val="450755944"/>
      </c:barChart>
      <c:catAx>
        <c:axId val="450755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5944"/>
        <c:crosses val="autoZero"/>
        <c:auto val="1"/>
        <c:lblAlgn val="ctr"/>
        <c:lblOffset val="100"/>
        <c:tickLblSkip val="1"/>
        <c:tickMarkSkip val="1"/>
        <c:noMultiLvlLbl val="0"/>
      </c:catAx>
      <c:valAx>
        <c:axId val="4507559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5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6D-4A57-A216-B4CB4722CA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6D-4A57-A216-B4CB4722CA3A}"/>
            </c:ext>
          </c:extLst>
        </c:ser>
        <c:dLbls>
          <c:showLegendKey val="0"/>
          <c:showVal val="0"/>
          <c:showCatName val="0"/>
          <c:showSerName val="0"/>
          <c:showPercent val="0"/>
          <c:showBubbleSize val="0"/>
        </c:dLbls>
        <c:gapWidth val="150"/>
        <c:overlap val="100"/>
        <c:axId val="450756336"/>
        <c:axId val="450759080"/>
      </c:barChart>
      <c:catAx>
        <c:axId val="450756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759080"/>
        <c:crosses val="autoZero"/>
        <c:auto val="1"/>
        <c:lblAlgn val="ctr"/>
        <c:lblOffset val="100"/>
        <c:tickLblSkip val="1"/>
        <c:tickMarkSkip val="1"/>
        <c:noMultiLvlLbl val="0"/>
      </c:catAx>
      <c:valAx>
        <c:axId val="450759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7563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0-47A5-8D6A-B5E6E5CE382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0-47A5-8D6A-B5E6E5CE3820}"/>
            </c:ext>
          </c:extLst>
        </c:ser>
        <c:dLbls>
          <c:showLegendKey val="0"/>
          <c:showVal val="0"/>
          <c:showCatName val="0"/>
          <c:showSerName val="0"/>
          <c:showPercent val="0"/>
          <c:showBubbleSize val="0"/>
        </c:dLbls>
        <c:gapWidth val="150"/>
        <c:overlap val="100"/>
        <c:axId val="450632464"/>
        <c:axId val="450635992"/>
      </c:barChart>
      <c:catAx>
        <c:axId val="450632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5992"/>
        <c:crosses val="autoZero"/>
        <c:auto val="1"/>
        <c:lblAlgn val="ctr"/>
        <c:lblOffset val="100"/>
        <c:tickLblSkip val="1"/>
        <c:tickMarkSkip val="1"/>
        <c:noMultiLvlLbl val="0"/>
      </c:catAx>
      <c:valAx>
        <c:axId val="450635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2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74-4469-83FA-A4B9FE38D0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74-4469-83FA-A4B9FE38D0FF}"/>
            </c:ext>
          </c:extLst>
        </c:ser>
        <c:dLbls>
          <c:showLegendKey val="0"/>
          <c:showVal val="0"/>
          <c:showCatName val="0"/>
          <c:showSerName val="0"/>
          <c:showPercent val="0"/>
          <c:showBubbleSize val="0"/>
        </c:dLbls>
        <c:gapWidth val="150"/>
        <c:overlap val="100"/>
        <c:axId val="450636776"/>
        <c:axId val="450641088"/>
      </c:barChart>
      <c:catAx>
        <c:axId val="450636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1088"/>
        <c:crosses val="autoZero"/>
        <c:auto val="1"/>
        <c:lblAlgn val="ctr"/>
        <c:lblOffset val="100"/>
        <c:tickLblSkip val="1"/>
        <c:tickMarkSkip val="1"/>
        <c:noMultiLvlLbl val="0"/>
      </c:catAx>
      <c:valAx>
        <c:axId val="450641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67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E-4EAD-938C-43B021E4FC9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E-4EAD-938C-43B021E4FC90}"/>
            </c:ext>
          </c:extLst>
        </c:ser>
        <c:dLbls>
          <c:showLegendKey val="0"/>
          <c:showVal val="0"/>
          <c:showCatName val="0"/>
          <c:showSerName val="0"/>
          <c:showPercent val="0"/>
          <c:showBubbleSize val="0"/>
        </c:dLbls>
        <c:gapWidth val="150"/>
        <c:overlap val="100"/>
        <c:axId val="450635208"/>
        <c:axId val="450634816"/>
      </c:barChart>
      <c:catAx>
        <c:axId val="45063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4816"/>
        <c:crosses val="autoZero"/>
        <c:auto val="1"/>
        <c:lblAlgn val="ctr"/>
        <c:lblOffset val="100"/>
        <c:tickLblSkip val="1"/>
        <c:tickMarkSkip val="1"/>
        <c:noMultiLvlLbl val="0"/>
      </c:catAx>
      <c:valAx>
        <c:axId val="450634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5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7D-4AE0-A68D-0BF612DFF8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7D-4AE0-A68D-0BF612DFF81B}"/>
            </c:ext>
          </c:extLst>
        </c:ser>
        <c:dLbls>
          <c:showLegendKey val="0"/>
          <c:showVal val="0"/>
          <c:showCatName val="0"/>
          <c:showSerName val="0"/>
          <c:showPercent val="0"/>
          <c:showBubbleSize val="0"/>
        </c:dLbls>
        <c:gapWidth val="150"/>
        <c:overlap val="100"/>
        <c:axId val="450629720"/>
        <c:axId val="450639128"/>
      </c:barChart>
      <c:catAx>
        <c:axId val="45062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9128"/>
        <c:crosses val="autoZero"/>
        <c:auto val="1"/>
        <c:lblAlgn val="ctr"/>
        <c:lblOffset val="100"/>
        <c:tickLblSkip val="1"/>
        <c:tickMarkSkip val="1"/>
        <c:noMultiLvlLbl val="0"/>
      </c:catAx>
      <c:valAx>
        <c:axId val="450639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2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F-464C-95E6-09E09A1C21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F-464C-95E6-09E09A1C218B}"/>
            </c:ext>
          </c:extLst>
        </c:ser>
        <c:dLbls>
          <c:showLegendKey val="0"/>
          <c:showVal val="0"/>
          <c:showCatName val="0"/>
          <c:showSerName val="0"/>
          <c:showPercent val="0"/>
          <c:showBubbleSize val="0"/>
        </c:dLbls>
        <c:gapWidth val="150"/>
        <c:overlap val="100"/>
        <c:axId val="450630112"/>
        <c:axId val="450630504"/>
      </c:barChart>
      <c:catAx>
        <c:axId val="450630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0504"/>
        <c:crosses val="autoZero"/>
        <c:auto val="1"/>
        <c:lblAlgn val="ctr"/>
        <c:lblOffset val="100"/>
        <c:tickLblSkip val="1"/>
        <c:tickMarkSkip val="1"/>
        <c:noMultiLvlLbl val="0"/>
      </c:catAx>
      <c:valAx>
        <c:axId val="450630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0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B7-44F8-8DF3-EAC991A69E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B7-44F8-8DF3-EAC991A69E81}"/>
            </c:ext>
          </c:extLst>
        </c:ser>
        <c:dLbls>
          <c:showLegendKey val="0"/>
          <c:showVal val="0"/>
          <c:showCatName val="0"/>
          <c:showSerName val="0"/>
          <c:showPercent val="0"/>
          <c:showBubbleSize val="0"/>
        </c:dLbls>
        <c:gapWidth val="150"/>
        <c:overlap val="100"/>
        <c:axId val="450637952"/>
        <c:axId val="450638344"/>
      </c:barChart>
      <c:catAx>
        <c:axId val="450637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38344"/>
        <c:crosses val="autoZero"/>
        <c:auto val="1"/>
        <c:lblAlgn val="ctr"/>
        <c:lblOffset val="100"/>
        <c:tickLblSkip val="1"/>
        <c:tickMarkSkip val="1"/>
        <c:noMultiLvlLbl val="0"/>
      </c:catAx>
      <c:valAx>
        <c:axId val="450638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79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59-4EAF-AE73-94669EC30E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59-4EAF-AE73-94669EC30ECD}"/>
            </c:ext>
          </c:extLst>
        </c:ser>
        <c:dLbls>
          <c:showLegendKey val="0"/>
          <c:showVal val="0"/>
          <c:showCatName val="0"/>
          <c:showSerName val="0"/>
          <c:showPercent val="0"/>
          <c:showBubbleSize val="0"/>
        </c:dLbls>
        <c:gapWidth val="150"/>
        <c:overlap val="100"/>
        <c:axId val="450639912"/>
        <c:axId val="450640696"/>
      </c:barChart>
      <c:catAx>
        <c:axId val="450639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0696"/>
        <c:crosses val="autoZero"/>
        <c:auto val="1"/>
        <c:lblAlgn val="ctr"/>
        <c:lblOffset val="100"/>
        <c:tickLblSkip val="1"/>
        <c:tickMarkSkip val="1"/>
        <c:noMultiLvlLbl val="0"/>
      </c:catAx>
      <c:valAx>
        <c:axId val="450640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39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C-4A09-ACC8-724CF62C61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C-4A09-ACC8-724CF62C6184}"/>
            </c:ext>
          </c:extLst>
        </c:ser>
        <c:dLbls>
          <c:showLegendKey val="0"/>
          <c:showVal val="0"/>
          <c:showCatName val="0"/>
          <c:showSerName val="0"/>
          <c:showPercent val="0"/>
          <c:showBubbleSize val="0"/>
        </c:dLbls>
        <c:gapWidth val="150"/>
        <c:overlap val="100"/>
        <c:axId val="450646968"/>
        <c:axId val="450647752"/>
      </c:barChart>
      <c:catAx>
        <c:axId val="45064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7752"/>
        <c:crosses val="autoZero"/>
        <c:auto val="1"/>
        <c:lblAlgn val="ctr"/>
        <c:lblOffset val="100"/>
        <c:tickLblSkip val="1"/>
        <c:tickMarkSkip val="1"/>
        <c:noMultiLvlLbl val="0"/>
      </c:catAx>
      <c:valAx>
        <c:axId val="450647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278" r="0.75000000000000278" t="0.98425196899999956" header="0.5" footer="0.5"/>
    <c:pageSetup orientation="portrait"/>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3A-45B8-8049-EF303481403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3A-45B8-8049-EF303481403A}"/>
            </c:ext>
          </c:extLst>
        </c:ser>
        <c:dLbls>
          <c:showLegendKey val="0"/>
          <c:showVal val="0"/>
          <c:showCatName val="0"/>
          <c:showSerName val="0"/>
          <c:showPercent val="0"/>
          <c:showBubbleSize val="0"/>
        </c:dLbls>
        <c:smooth val="0"/>
        <c:axId val="450644224"/>
        <c:axId val="450644616"/>
      </c:lineChart>
      <c:catAx>
        <c:axId val="450644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4616"/>
        <c:crosses val="autoZero"/>
        <c:auto val="1"/>
        <c:lblAlgn val="ctr"/>
        <c:lblOffset val="100"/>
        <c:tickLblSkip val="1"/>
        <c:tickMarkSkip val="1"/>
        <c:noMultiLvlLbl val="0"/>
      </c:catAx>
      <c:valAx>
        <c:axId val="45064461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42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1A4-4EEB-B139-C4ABE089CD0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1A4-4EEB-B139-C4ABE089CD09}"/>
            </c:ext>
          </c:extLst>
        </c:ser>
        <c:dLbls>
          <c:showLegendKey val="0"/>
          <c:showVal val="0"/>
          <c:showCatName val="0"/>
          <c:showSerName val="0"/>
          <c:showPercent val="0"/>
          <c:showBubbleSize val="0"/>
        </c:dLbls>
        <c:smooth val="0"/>
        <c:axId val="450653632"/>
        <c:axId val="450645400"/>
      </c:lineChart>
      <c:catAx>
        <c:axId val="4506536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5400"/>
        <c:crosses val="autoZero"/>
        <c:auto val="1"/>
        <c:lblAlgn val="ctr"/>
        <c:lblOffset val="100"/>
        <c:tickLblSkip val="1"/>
        <c:tickMarkSkip val="1"/>
        <c:noMultiLvlLbl val="0"/>
      </c:catAx>
      <c:valAx>
        <c:axId val="4506454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363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5-4E95-849F-843B04F7338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5-4E95-849F-843B04F73387}"/>
            </c:ext>
          </c:extLst>
        </c:ser>
        <c:dLbls>
          <c:showLegendKey val="0"/>
          <c:showVal val="0"/>
          <c:showCatName val="0"/>
          <c:showSerName val="0"/>
          <c:showPercent val="0"/>
          <c:showBubbleSize val="0"/>
        </c:dLbls>
        <c:smooth val="0"/>
        <c:axId val="450649320"/>
        <c:axId val="450646576"/>
      </c:lineChart>
      <c:catAx>
        <c:axId val="4506493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46576"/>
        <c:crosses val="autoZero"/>
        <c:auto val="1"/>
        <c:lblAlgn val="ctr"/>
        <c:lblOffset val="100"/>
        <c:tickLblSkip val="1"/>
        <c:tickMarkSkip val="1"/>
        <c:noMultiLvlLbl val="0"/>
      </c:catAx>
      <c:valAx>
        <c:axId val="4506465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932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26-43C7-BA02-37897B3001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26-43C7-BA02-37897B3001A2}"/>
            </c:ext>
          </c:extLst>
        </c:ser>
        <c:dLbls>
          <c:showLegendKey val="0"/>
          <c:showVal val="0"/>
          <c:showCatName val="0"/>
          <c:showSerName val="0"/>
          <c:showPercent val="0"/>
          <c:showBubbleSize val="0"/>
        </c:dLbls>
        <c:gapWidth val="150"/>
        <c:overlap val="100"/>
        <c:axId val="450643048"/>
        <c:axId val="450653240"/>
      </c:barChart>
      <c:catAx>
        <c:axId val="450643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3240"/>
        <c:crosses val="autoZero"/>
        <c:auto val="1"/>
        <c:lblAlgn val="ctr"/>
        <c:lblOffset val="100"/>
        <c:tickLblSkip val="1"/>
        <c:tickMarkSkip val="1"/>
        <c:noMultiLvlLbl val="0"/>
      </c:catAx>
      <c:valAx>
        <c:axId val="450653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430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463-4D41-9D5C-FF615EDCFD1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463-4D41-9D5C-FF615EDCFD12}"/>
            </c:ext>
          </c:extLst>
        </c:ser>
        <c:dLbls>
          <c:showLegendKey val="0"/>
          <c:showVal val="0"/>
          <c:showCatName val="0"/>
          <c:showSerName val="0"/>
          <c:showPercent val="0"/>
          <c:showBubbleSize val="0"/>
        </c:dLbls>
        <c:gapWidth val="150"/>
        <c:overlap val="100"/>
        <c:axId val="450654024"/>
        <c:axId val="450654416"/>
      </c:barChart>
      <c:catAx>
        <c:axId val="450654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4416"/>
        <c:crosses val="autoZero"/>
        <c:auto val="1"/>
        <c:lblAlgn val="ctr"/>
        <c:lblOffset val="100"/>
        <c:tickLblSkip val="1"/>
        <c:tickMarkSkip val="1"/>
        <c:noMultiLvlLbl val="0"/>
      </c:catAx>
      <c:valAx>
        <c:axId val="450654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4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7A5-4100-97C4-598067C6CD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7A5-4100-97C4-598067C6CD00}"/>
            </c:ext>
          </c:extLst>
        </c:ser>
        <c:dLbls>
          <c:showLegendKey val="0"/>
          <c:showVal val="0"/>
          <c:showCatName val="0"/>
          <c:showSerName val="0"/>
          <c:showPercent val="0"/>
          <c:showBubbleSize val="0"/>
        </c:dLbls>
        <c:gapWidth val="150"/>
        <c:overlap val="100"/>
        <c:axId val="450658728"/>
        <c:axId val="450666568"/>
      </c:barChart>
      <c:catAx>
        <c:axId val="450658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6568"/>
        <c:crosses val="autoZero"/>
        <c:auto val="1"/>
        <c:lblAlgn val="ctr"/>
        <c:lblOffset val="100"/>
        <c:tickLblSkip val="1"/>
        <c:tickMarkSkip val="1"/>
        <c:noMultiLvlLbl val="0"/>
      </c:catAx>
      <c:valAx>
        <c:axId val="450666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8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39-477B-898B-ECDDA288F7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39-477B-898B-ECDDA288F78C}"/>
            </c:ext>
          </c:extLst>
        </c:ser>
        <c:dLbls>
          <c:showLegendKey val="0"/>
          <c:showVal val="0"/>
          <c:showCatName val="0"/>
          <c:showSerName val="0"/>
          <c:showPercent val="0"/>
          <c:showBubbleSize val="0"/>
        </c:dLbls>
        <c:gapWidth val="150"/>
        <c:overlap val="100"/>
        <c:axId val="450663432"/>
        <c:axId val="450656768"/>
      </c:barChart>
      <c:catAx>
        <c:axId val="450663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6768"/>
        <c:crosses val="autoZero"/>
        <c:auto val="1"/>
        <c:lblAlgn val="ctr"/>
        <c:lblOffset val="100"/>
        <c:tickLblSkip val="1"/>
        <c:tickMarkSkip val="1"/>
        <c:noMultiLvlLbl val="0"/>
      </c:catAx>
      <c:valAx>
        <c:axId val="45065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34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1A-4D03-A35B-88D5F3469B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1A-4D03-A35B-88D5F3469B1E}"/>
            </c:ext>
          </c:extLst>
        </c:ser>
        <c:dLbls>
          <c:showLegendKey val="0"/>
          <c:showVal val="0"/>
          <c:showCatName val="0"/>
          <c:showSerName val="0"/>
          <c:showPercent val="0"/>
          <c:showBubbleSize val="0"/>
        </c:dLbls>
        <c:gapWidth val="150"/>
        <c:overlap val="100"/>
        <c:axId val="450660688"/>
        <c:axId val="450661472"/>
      </c:barChart>
      <c:catAx>
        <c:axId val="450660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1472"/>
        <c:crosses val="autoZero"/>
        <c:auto val="1"/>
        <c:lblAlgn val="ctr"/>
        <c:lblOffset val="100"/>
        <c:tickLblSkip val="1"/>
        <c:tickMarkSkip val="1"/>
        <c:noMultiLvlLbl val="0"/>
      </c:catAx>
      <c:valAx>
        <c:axId val="450661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0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4C1-8149-6BB411E9E6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4C1-8149-6BB411E9E6F8}"/>
            </c:ext>
          </c:extLst>
        </c:ser>
        <c:dLbls>
          <c:showLegendKey val="0"/>
          <c:showVal val="0"/>
          <c:showCatName val="0"/>
          <c:showSerName val="0"/>
          <c:showPercent val="0"/>
          <c:showBubbleSize val="0"/>
        </c:dLbls>
        <c:gapWidth val="150"/>
        <c:overlap val="100"/>
        <c:axId val="450664216"/>
        <c:axId val="450664608"/>
      </c:barChart>
      <c:catAx>
        <c:axId val="45066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4608"/>
        <c:crosses val="autoZero"/>
        <c:auto val="1"/>
        <c:lblAlgn val="ctr"/>
        <c:lblOffset val="100"/>
        <c:tickLblSkip val="1"/>
        <c:tickMarkSkip val="1"/>
        <c:noMultiLvlLbl val="0"/>
      </c:catAx>
      <c:valAx>
        <c:axId val="45066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771-4E93-98AD-13AE0A8A6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771-4E93-98AD-13AE0A8A6BC8}"/>
            </c:ext>
          </c:extLst>
        </c:ser>
        <c:dLbls>
          <c:showLegendKey val="0"/>
          <c:showVal val="0"/>
          <c:showCatName val="0"/>
          <c:showSerName val="0"/>
          <c:showPercent val="0"/>
          <c:showBubbleSize val="0"/>
        </c:dLbls>
        <c:gapWidth val="150"/>
        <c:overlap val="100"/>
        <c:axId val="450666176"/>
        <c:axId val="450665000"/>
      </c:barChart>
      <c:catAx>
        <c:axId val="450666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5000"/>
        <c:crosses val="autoZero"/>
        <c:auto val="1"/>
        <c:lblAlgn val="ctr"/>
        <c:lblOffset val="100"/>
        <c:tickLblSkip val="1"/>
        <c:tickMarkSkip val="1"/>
        <c:noMultiLvlLbl val="0"/>
      </c:catAx>
      <c:valAx>
        <c:axId val="450665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661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C6-476E-943A-83E8043549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C6-476E-943A-83E80435490F}"/>
            </c:ext>
          </c:extLst>
        </c:ser>
        <c:dLbls>
          <c:showLegendKey val="0"/>
          <c:showVal val="0"/>
          <c:showCatName val="0"/>
          <c:showSerName val="0"/>
          <c:showPercent val="0"/>
          <c:showBubbleSize val="0"/>
        </c:dLbls>
        <c:gapWidth val="150"/>
        <c:overlap val="100"/>
        <c:axId val="450655200"/>
        <c:axId val="450655984"/>
      </c:barChart>
      <c:catAx>
        <c:axId val="450655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55984"/>
        <c:crosses val="autoZero"/>
        <c:auto val="1"/>
        <c:lblAlgn val="ctr"/>
        <c:lblOffset val="100"/>
        <c:tickLblSkip val="1"/>
        <c:tickMarkSkip val="1"/>
        <c:noMultiLvlLbl val="0"/>
      </c:catAx>
      <c:valAx>
        <c:axId val="450655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5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DC-41B6-8A0D-F2A56BDF0A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DC-41B6-8A0D-F2A56BDF0AC3}"/>
            </c:ext>
          </c:extLst>
        </c:ser>
        <c:dLbls>
          <c:showLegendKey val="0"/>
          <c:showVal val="0"/>
          <c:showCatName val="0"/>
          <c:showSerName val="0"/>
          <c:showPercent val="0"/>
          <c:showBubbleSize val="0"/>
        </c:dLbls>
        <c:gapWidth val="150"/>
        <c:overlap val="100"/>
        <c:axId val="450659904"/>
        <c:axId val="450668920"/>
      </c:barChart>
      <c:catAx>
        <c:axId val="450659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68920"/>
        <c:crosses val="autoZero"/>
        <c:auto val="1"/>
        <c:lblAlgn val="ctr"/>
        <c:lblOffset val="100"/>
        <c:tickLblSkip val="1"/>
        <c:tickMarkSkip val="1"/>
        <c:noMultiLvlLbl val="0"/>
      </c:catAx>
      <c:valAx>
        <c:axId val="450668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599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3D-4F7C-82C6-E131B26F6C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3D-4F7C-82C6-E131B26F6CF7}"/>
            </c:ext>
          </c:extLst>
        </c:ser>
        <c:dLbls>
          <c:showLegendKey val="0"/>
          <c:showVal val="0"/>
          <c:showCatName val="0"/>
          <c:showSerName val="0"/>
          <c:showPercent val="0"/>
          <c:showBubbleSize val="0"/>
        </c:dLbls>
        <c:gapWidth val="150"/>
        <c:overlap val="100"/>
        <c:axId val="450672840"/>
        <c:axId val="450677152"/>
      </c:barChart>
      <c:catAx>
        <c:axId val="450672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7152"/>
        <c:crosses val="autoZero"/>
        <c:auto val="1"/>
        <c:lblAlgn val="ctr"/>
        <c:lblOffset val="100"/>
        <c:tickLblSkip val="1"/>
        <c:tickMarkSkip val="1"/>
        <c:noMultiLvlLbl val="0"/>
      </c:catAx>
      <c:valAx>
        <c:axId val="450677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28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97-4215-8B44-1933282120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97-4215-8B44-193328212058}"/>
            </c:ext>
          </c:extLst>
        </c:ser>
        <c:dLbls>
          <c:showLegendKey val="0"/>
          <c:showVal val="0"/>
          <c:showCatName val="0"/>
          <c:showSerName val="0"/>
          <c:showPercent val="0"/>
          <c:showBubbleSize val="0"/>
        </c:dLbls>
        <c:gapWidth val="150"/>
        <c:overlap val="100"/>
        <c:axId val="450678720"/>
        <c:axId val="450671664"/>
      </c:barChart>
      <c:catAx>
        <c:axId val="450678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1664"/>
        <c:crosses val="autoZero"/>
        <c:auto val="1"/>
        <c:lblAlgn val="ctr"/>
        <c:lblOffset val="100"/>
        <c:tickLblSkip val="1"/>
        <c:tickMarkSkip val="1"/>
        <c:noMultiLvlLbl val="0"/>
      </c:catAx>
      <c:valAx>
        <c:axId val="450671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8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E0-4591-B15B-A304FBF9AD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E0-4591-B15B-A304FBF9ADD9}"/>
            </c:ext>
          </c:extLst>
        </c:ser>
        <c:dLbls>
          <c:showLegendKey val="0"/>
          <c:showVal val="0"/>
          <c:showCatName val="0"/>
          <c:showSerName val="0"/>
          <c:showPercent val="0"/>
          <c:showBubbleSize val="0"/>
        </c:dLbls>
        <c:gapWidth val="150"/>
        <c:overlap val="100"/>
        <c:axId val="450679504"/>
        <c:axId val="450673232"/>
      </c:barChart>
      <c:catAx>
        <c:axId val="450679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3232"/>
        <c:crosses val="autoZero"/>
        <c:auto val="1"/>
        <c:lblAlgn val="ctr"/>
        <c:lblOffset val="100"/>
        <c:tickLblSkip val="1"/>
        <c:tickMarkSkip val="1"/>
        <c:noMultiLvlLbl val="0"/>
      </c:catAx>
      <c:valAx>
        <c:axId val="450673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9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3C-4A0A-B094-00267743729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3C-4A0A-B094-002677437298}"/>
            </c:ext>
          </c:extLst>
        </c:ser>
        <c:dLbls>
          <c:showLegendKey val="0"/>
          <c:showVal val="0"/>
          <c:showCatName val="0"/>
          <c:showSerName val="0"/>
          <c:showPercent val="0"/>
          <c:showBubbleSize val="0"/>
        </c:dLbls>
        <c:gapWidth val="150"/>
        <c:overlap val="100"/>
        <c:axId val="450670096"/>
        <c:axId val="450675584"/>
      </c:barChart>
      <c:catAx>
        <c:axId val="450670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5584"/>
        <c:crosses val="autoZero"/>
        <c:auto val="1"/>
        <c:lblAlgn val="ctr"/>
        <c:lblOffset val="100"/>
        <c:tickLblSkip val="1"/>
        <c:tickMarkSkip val="1"/>
        <c:noMultiLvlLbl val="0"/>
      </c:catAx>
      <c:valAx>
        <c:axId val="450675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00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0C7-4A5F-9657-06A47F58C41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0C7-4A5F-9657-06A47F58C411}"/>
            </c:ext>
          </c:extLst>
        </c:ser>
        <c:dLbls>
          <c:showLegendKey val="0"/>
          <c:showVal val="0"/>
          <c:showCatName val="0"/>
          <c:showSerName val="0"/>
          <c:showPercent val="0"/>
          <c:showBubbleSize val="0"/>
        </c:dLbls>
        <c:gapWidth val="150"/>
        <c:overlap val="100"/>
        <c:axId val="450675976"/>
        <c:axId val="450672056"/>
      </c:barChart>
      <c:catAx>
        <c:axId val="450675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2056"/>
        <c:crosses val="autoZero"/>
        <c:auto val="1"/>
        <c:lblAlgn val="ctr"/>
        <c:lblOffset val="100"/>
        <c:tickLblSkip val="1"/>
        <c:tickMarkSkip val="1"/>
        <c:noMultiLvlLbl val="0"/>
      </c:catAx>
      <c:valAx>
        <c:axId val="450672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5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F2-487F-8754-1D08F1B2E7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F2-487F-8754-1D08F1B2E7AD}"/>
            </c:ext>
          </c:extLst>
        </c:ser>
        <c:dLbls>
          <c:showLegendKey val="0"/>
          <c:showVal val="0"/>
          <c:showCatName val="0"/>
          <c:showSerName val="0"/>
          <c:showPercent val="0"/>
          <c:showBubbleSize val="0"/>
        </c:dLbls>
        <c:gapWidth val="150"/>
        <c:overlap val="100"/>
        <c:axId val="450675192"/>
        <c:axId val="450677544"/>
      </c:barChart>
      <c:catAx>
        <c:axId val="450675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0677544"/>
        <c:crosses val="autoZero"/>
        <c:auto val="1"/>
        <c:lblAlgn val="ctr"/>
        <c:lblOffset val="100"/>
        <c:tickLblSkip val="1"/>
        <c:tickMarkSkip val="1"/>
        <c:noMultiLvlLbl val="0"/>
      </c:catAx>
      <c:valAx>
        <c:axId val="45067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0675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9-4CCC-BD5F-902ADBA0AA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9-4CCC-BD5F-902ADBA0AAF2}"/>
            </c:ext>
          </c:extLst>
        </c:ser>
        <c:dLbls>
          <c:showLegendKey val="0"/>
          <c:showVal val="0"/>
          <c:showCatName val="0"/>
          <c:showSerName val="0"/>
          <c:showPercent val="0"/>
          <c:showBubbleSize val="0"/>
        </c:dLbls>
        <c:gapWidth val="150"/>
        <c:overlap val="100"/>
        <c:axId val="455447232"/>
        <c:axId val="455440960"/>
      </c:barChart>
      <c:catAx>
        <c:axId val="455447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0960"/>
        <c:crosses val="autoZero"/>
        <c:auto val="1"/>
        <c:lblAlgn val="ctr"/>
        <c:lblOffset val="100"/>
        <c:tickLblSkip val="1"/>
        <c:tickMarkSkip val="1"/>
        <c:noMultiLvlLbl val="0"/>
      </c:catAx>
      <c:valAx>
        <c:axId val="45544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72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ED-44CD-A8A7-030B3FC950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ED-44CD-A8A7-030B3FC950DF}"/>
            </c:ext>
          </c:extLst>
        </c:ser>
        <c:dLbls>
          <c:showLegendKey val="0"/>
          <c:showVal val="0"/>
          <c:showCatName val="0"/>
          <c:showSerName val="0"/>
          <c:showPercent val="0"/>
          <c:showBubbleSize val="0"/>
        </c:dLbls>
        <c:gapWidth val="150"/>
        <c:overlap val="100"/>
        <c:axId val="455443312"/>
        <c:axId val="455440568"/>
      </c:barChart>
      <c:catAx>
        <c:axId val="455443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0568"/>
        <c:crosses val="autoZero"/>
        <c:auto val="1"/>
        <c:lblAlgn val="ctr"/>
        <c:lblOffset val="100"/>
        <c:tickLblSkip val="1"/>
        <c:tickMarkSkip val="1"/>
        <c:noMultiLvlLbl val="0"/>
      </c:catAx>
      <c:valAx>
        <c:axId val="455440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3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D18-46C5-B30C-21329CF3209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D18-46C5-B30C-21329CF3209D}"/>
            </c:ext>
          </c:extLst>
        </c:ser>
        <c:dLbls>
          <c:showLegendKey val="0"/>
          <c:showVal val="0"/>
          <c:showCatName val="0"/>
          <c:showSerName val="0"/>
          <c:showPercent val="0"/>
          <c:showBubbleSize val="0"/>
        </c:dLbls>
        <c:gapWidth val="150"/>
        <c:overlap val="100"/>
        <c:axId val="455443704"/>
        <c:axId val="455438216"/>
      </c:barChart>
      <c:catAx>
        <c:axId val="45544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8216"/>
        <c:crosses val="autoZero"/>
        <c:auto val="1"/>
        <c:lblAlgn val="ctr"/>
        <c:lblOffset val="100"/>
        <c:tickLblSkip val="1"/>
        <c:tickMarkSkip val="1"/>
        <c:noMultiLvlLbl val="0"/>
      </c:catAx>
      <c:valAx>
        <c:axId val="45543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74-420D-8069-69ABA55DEA7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74-420D-8069-69ABA55DEA70}"/>
            </c:ext>
          </c:extLst>
        </c:ser>
        <c:dLbls>
          <c:showLegendKey val="0"/>
          <c:showVal val="0"/>
          <c:showCatName val="0"/>
          <c:showSerName val="0"/>
          <c:showPercent val="0"/>
          <c:showBubbleSize val="0"/>
        </c:dLbls>
        <c:gapWidth val="150"/>
        <c:overlap val="100"/>
        <c:axId val="455439000"/>
        <c:axId val="455444488"/>
      </c:barChart>
      <c:catAx>
        <c:axId val="455439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4488"/>
        <c:crosses val="autoZero"/>
        <c:auto val="1"/>
        <c:lblAlgn val="ctr"/>
        <c:lblOffset val="100"/>
        <c:tickLblSkip val="1"/>
        <c:tickMarkSkip val="1"/>
        <c:noMultiLvlLbl val="0"/>
      </c:catAx>
      <c:valAx>
        <c:axId val="455444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9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F9-42FE-B2FA-269356E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F9-42FE-B2FA-269356E850A7}"/>
            </c:ext>
          </c:extLst>
        </c:ser>
        <c:dLbls>
          <c:showLegendKey val="0"/>
          <c:showVal val="0"/>
          <c:showCatName val="0"/>
          <c:showSerName val="0"/>
          <c:showPercent val="0"/>
          <c:showBubbleSize val="0"/>
        </c:dLbls>
        <c:gapWidth val="150"/>
        <c:overlap val="100"/>
        <c:axId val="455440176"/>
        <c:axId val="455446056"/>
      </c:barChart>
      <c:catAx>
        <c:axId val="455440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46056"/>
        <c:crosses val="autoZero"/>
        <c:auto val="1"/>
        <c:lblAlgn val="ctr"/>
        <c:lblOffset val="100"/>
        <c:tickLblSkip val="1"/>
        <c:tickMarkSkip val="1"/>
        <c:noMultiLvlLbl val="0"/>
      </c:catAx>
      <c:valAx>
        <c:axId val="45544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0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EE-4056-82F6-6F7EE9ABD3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EE-4056-82F6-6F7EE9ABD324}"/>
            </c:ext>
          </c:extLst>
        </c:ser>
        <c:dLbls>
          <c:showLegendKey val="0"/>
          <c:showVal val="0"/>
          <c:showCatName val="0"/>
          <c:showSerName val="0"/>
          <c:showPercent val="0"/>
          <c:showBubbleSize val="0"/>
        </c:dLbls>
        <c:gapWidth val="150"/>
        <c:overlap val="100"/>
        <c:axId val="455439784"/>
        <c:axId val="455437432"/>
      </c:barChart>
      <c:catAx>
        <c:axId val="455439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7432"/>
        <c:crosses val="autoZero"/>
        <c:auto val="1"/>
        <c:lblAlgn val="ctr"/>
        <c:lblOffset val="100"/>
        <c:tickLblSkip val="1"/>
        <c:tickMarkSkip val="1"/>
        <c:noMultiLvlLbl val="0"/>
      </c:catAx>
      <c:valAx>
        <c:axId val="455437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9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38D-498B-B8B6-E21957B3A1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38D-498B-B8B6-E21957B3A1C5}"/>
            </c:ext>
          </c:extLst>
        </c:ser>
        <c:dLbls>
          <c:showLegendKey val="0"/>
          <c:showVal val="0"/>
          <c:showCatName val="0"/>
          <c:showSerName val="0"/>
          <c:showPercent val="0"/>
          <c:showBubbleSize val="0"/>
        </c:dLbls>
        <c:gapWidth val="150"/>
        <c:overlap val="100"/>
        <c:axId val="455449584"/>
        <c:axId val="455450368"/>
      </c:barChart>
      <c:catAx>
        <c:axId val="455449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0368"/>
        <c:crosses val="autoZero"/>
        <c:auto val="1"/>
        <c:lblAlgn val="ctr"/>
        <c:lblOffset val="100"/>
        <c:tickLblSkip val="1"/>
        <c:tickMarkSkip val="1"/>
        <c:noMultiLvlLbl val="0"/>
      </c:catAx>
      <c:valAx>
        <c:axId val="455450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495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9E-49FD-BA08-E2D858AA768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9E-49FD-BA08-E2D858AA768B}"/>
            </c:ext>
          </c:extLst>
        </c:ser>
        <c:dLbls>
          <c:showLegendKey val="0"/>
          <c:showVal val="0"/>
          <c:showCatName val="0"/>
          <c:showSerName val="0"/>
          <c:showPercent val="0"/>
          <c:showBubbleSize val="0"/>
        </c:dLbls>
        <c:gapWidth val="150"/>
        <c:overlap val="100"/>
        <c:axId val="455451936"/>
        <c:axId val="455452720"/>
      </c:barChart>
      <c:catAx>
        <c:axId val="455451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2720"/>
        <c:crosses val="autoZero"/>
        <c:auto val="1"/>
        <c:lblAlgn val="ctr"/>
        <c:lblOffset val="100"/>
        <c:tickLblSkip val="1"/>
        <c:tickMarkSkip val="1"/>
        <c:noMultiLvlLbl val="0"/>
      </c:catAx>
      <c:valAx>
        <c:axId val="455452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519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7F5-4898-A559-6634804082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7F5-4898-A559-66348040822D}"/>
            </c:ext>
          </c:extLst>
        </c:ser>
        <c:dLbls>
          <c:showLegendKey val="0"/>
          <c:showVal val="0"/>
          <c:showCatName val="0"/>
          <c:showSerName val="0"/>
          <c:showPercent val="0"/>
          <c:showBubbleSize val="0"/>
        </c:dLbls>
        <c:gapWidth val="150"/>
        <c:overlap val="100"/>
        <c:axId val="455451544"/>
        <c:axId val="455452328"/>
      </c:barChart>
      <c:catAx>
        <c:axId val="45545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52328"/>
        <c:crosses val="autoZero"/>
        <c:auto val="1"/>
        <c:lblAlgn val="ctr"/>
        <c:lblOffset val="100"/>
        <c:tickLblSkip val="1"/>
        <c:tickMarkSkip val="1"/>
        <c:noMultiLvlLbl val="0"/>
      </c:catAx>
      <c:valAx>
        <c:axId val="455452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51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67-47E1-BB32-160206AFAB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67-47E1-BB32-160206AFABE7}"/>
            </c:ext>
          </c:extLst>
        </c:ser>
        <c:dLbls>
          <c:showLegendKey val="0"/>
          <c:showVal val="0"/>
          <c:showCatName val="0"/>
          <c:showSerName val="0"/>
          <c:showPercent val="0"/>
          <c:showBubbleSize val="0"/>
        </c:dLbls>
        <c:gapWidth val="150"/>
        <c:overlap val="100"/>
        <c:axId val="455329632"/>
        <c:axId val="455330416"/>
      </c:barChart>
      <c:catAx>
        <c:axId val="455329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0416"/>
        <c:crosses val="autoZero"/>
        <c:auto val="1"/>
        <c:lblAlgn val="ctr"/>
        <c:lblOffset val="100"/>
        <c:tickLblSkip val="1"/>
        <c:tickMarkSkip val="1"/>
        <c:noMultiLvlLbl val="0"/>
      </c:catAx>
      <c:valAx>
        <c:axId val="45533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9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E0-419E-8AE5-E4048A6BBAD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E0-419E-8AE5-E4048A6BBAD7}"/>
            </c:ext>
          </c:extLst>
        </c:ser>
        <c:dLbls>
          <c:showLegendKey val="0"/>
          <c:showVal val="0"/>
          <c:showCatName val="0"/>
          <c:showSerName val="0"/>
          <c:showPercent val="0"/>
          <c:showBubbleSize val="0"/>
        </c:dLbls>
        <c:gapWidth val="150"/>
        <c:overlap val="100"/>
        <c:axId val="455332768"/>
        <c:axId val="455323752"/>
      </c:barChart>
      <c:catAx>
        <c:axId val="45533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3752"/>
        <c:crosses val="autoZero"/>
        <c:auto val="1"/>
        <c:lblAlgn val="ctr"/>
        <c:lblOffset val="100"/>
        <c:tickLblSkip val="1"/>
        <c:tickMarkSkip val="1"/>
        <c:noMultiLvlLbl val="0"/>
      </c:catAx>
      <c:valAx>
        <c:axId val="45532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C8-4B84-9B45-ECE9DAB58A9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C8-4B84-9B45-ECE9DAB58A9C}"/>
            </c:ext>
          </c:extLst>
        </c:ser>
        <c:dLbls>
          <c:showLegendKey val="0"/>
          <c:showVal val="0"/>
          <c:showCatName val="0"/>
          <c:showSerName val="0"/>
          <c:showPercent val="0"/>
          <c:showBubbleSize val="0"/>
        </c:dLbls>
        <c:gapWidth val="150"/>
        <c:overlap val="100"/>
        <c:axId val="455333944"/>
        <c:axId val="455324144"/>
      </c:barChart>
      <c:catAx>
        <c:axId val="455333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4144"/>
        <c:crosses val="autoZero"/>
        <c:auto val="1"/>
        <c:lblAlgn val="ctr"/>
        <c:lblOffset val="100"/>
        <c:tickLblSkip val="1"/>
        <c:tickMarkSkip val="1"/>
        <c:noMultiLvlLbl val="0"/>
      </c:catAx>
      <c:valAx>
        <c:axId val="455324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3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6A-40DE-9C69-83D617C41E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6A-40DE-9C69-83D617C41E35}"/>
            </c:ext>
          </c:extLst>
        </c:ser>
        <c:dLbls>
          <c:showLegendKey val="0"/>
          <c:showVal val="0"/>
          <c:showCatName val="0"/>
          <c:showSerName val="0"/>
          <c:showPercent val="0"/>
          <c:showBubbleSize val="0"/>
        </c:dLbls>
        <c:gapWidth val="150"/>
        <c:overlap val="100"/>
        <c:axId val="455324928"/>
        <c:axId val="455326888"/>
      </c:barChart>
      <c:catAx>
        <c:axId val="455324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6888"/>
        <c:crosses val="autoZero"/>
        <c:auto val="1"/>
        <c:lblAlgn val="ctr"/>
        <c:lblOffset val="100"/>
        <c:tickLblSkip val="1"/>
        <c:tickMarkSkip val="1"/>
        <c:noMultiLvlLbl val="0"/>
      </c:catAx>
      <c:valAx>
        <c:axId val="45532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49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86-427F-9C39-6B70A52586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86-427F-9C39-6B70A52586F5}"/>
            </c:ext>
          </c:extLst>
        </c:ser>
        <c:dLbls>
          <c:showLegendKey val="0"/>
          <c:showVal val="0"/>
          <c:showCatName val="0"/>
          <c:showSerName val="0"/>
          <c:showPercent val="0"/>
          <c:showBubbleSize val="0"/>
        </c:dLbls>
        <c:gapWidth val="150"/>
        <c:overlap val="100"/>
        <c:axId val="455328456"/>
        <c:axId val="455325320"/>
      </c:barChart>
      <c:catAx>
        <c:axId val="45532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25320"/>
        <c:crosses val="autoZero"/>
        <c:auto val="1"/>
        <c:lblAlgn val="ctr"/>
        <c:lblOffset val="100"/>
        <c:tickLblSkip val="1"/>
        <c:tickMarkSkip val="1"/>
        <c:noMultiLvlLbl val="0"/>
      </c:catAx>
      <c:valAx>
        <c:axId val="455325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2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3-4A91-B981-B2ECFBF78D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3-4A91-B981-B2ECFBF78DE9}"/>
            </c:ext>
          </c:extLst>
        </c:ser>
        <c:dLbls>
          <c:showLegendKey val="0"/>
          <c:showVal val="0"/>
          <c:showCatName val="0"/>
          <c:showSerName val="0"/>
          <c:showPercent val="0"/>
          <c:showBubbleSize val="0"/>
        </c:dLbls>
        <c:gapWidth val="150"/>
        <c:overlap val="100"/>
        <c:axId val="455334336"/>
        <c:axId val="455334728"/>
      </c:barChart>
      <c:catAx>
        <c:axId val="455334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4728"/>
        <c:crosses val="autoZero"/>
        <c:auto val="1"/>
        <c:lblAlgn val="ctr"/>
        <c:lblOffset val="100"/>
        <c:tickLblSkip val="1"/>
        <c:tickMarkSkip val="1"/>
        <c:noMultiLvlLbl val="0"/>
      </c:catAx>
      <c:valAx>
        <c:axId val="455334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4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59-4EDC-839E-FD5F822C86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59-4EDC-839E-FD5F822C868C}"/>
            </c:ext>
          </c:extLst>
        </c:ser>
        <c:dLbls>
          <c:showLegendKey val="0"/>
          <c:showVal val="0"/>
          <c:showCatName val="0"/>
          <c:showSerName val="0"/>
          <c:showPercent val="0"/>
          <c:showBubbleSize val="0"/>
        </c:dLbls>
        <c:gapWidth val="150"/>
        <c:overlap val="100"/>
        <c:axId val="455335512"/>
        <c:axId val="455337864"/>
      </c:barChart>
      <c:catAx>
        <c:axId val="455335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37864"/>
        <c:crosses val="autoZero"/>
        <c:auto val="1"/>
        <c:lblAlgn val="ctr"/>
        <c:lblOffset val="100"/>
        <c:tickLblSkip val="1"/>
        <c:tickMarkSkip val="1"/>
        <c:noMultiLvlLbl val="0"/>
      </c:catAx>
      <c:valAx>
        <c:axId val="455337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5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BA-4D70-B027-70AC9F01AB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BA-4D70-B027-70AC9F01AB45}"/>
            </c:ext>
          </c:extLst>
        </c:ser>
        <c:dLbls>
          <c:showLegendKey val="0"/>
          <c:showVal val="0"/>
          <c:showCatName val="0"/>
          <c:showSerName val="0"/>
          <c:showPercent val="0"/>
          <c:showBubbleSize val="0"/>
        </c:dLbls>
        <c:gapWidth val="150"/>
        <c:overlap val="100"/>
        <c:axId val="455342176"/>
        <c:axId val="455343352"/>
      </c:barChart>
      <c:catAx>
        <c:axId val="4553421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3352"/>
        <c:crosses val="autoZero"/>
        <c:auto val="1"/>
        <c:lblAlgn val="ctr"/>
        <c:lblOffset val="100"/>
        <c:tickLblSkip val="1"/>
        <c:tickMarkSkip val="1"/>
        <c:noMultiLvlLbl val="0"/>
      </c:catAx>
      <c:valAx>
        <c:axId val="455343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21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00-4094-B015-218E3826E4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00-4094-B015-218E3826E473}"/>
            </c:ext>
          </c:extLst>
        </c:ser>
        <c:dLbls>
          <c:showLegendKey val="0"/>
          <c:showVal val="0"/>
          <c:showCatName val="0"/>
          <c:showSerName val="0"/>
          <c:showPercent val="0"/>
          <c:showBubbleSize val="0"/>
        </c:dLbls>
        <c:gapWidth val="150"/>
        <c:overlap val="100"/>
        <c:axId val="455344528"/>
        <c:axId val="455345312"/>
      </c:barChart>
      <c:catAx>
        <c:axId val="45534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5312"/>
        <c:crosses val="autoZero"/>
        <c:auto val="1"/>
        <c:lblAlgn val="ctr"/>
        <c:lblOffset val="100"/>
        <c:tickLblSkip val="1"/>
        <c:tickMarkSkip val="1"/>
        <c:noMultiLvlLbl val="0"/>
      </c:catAx>
      <c:valAx>
        <c:axId val="4553453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4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4C-45B9-890C-210355D0D3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4C-45B9-890C-210355D0D3DC}"/>
            </c:ext>
          </c:extLst>
        </c:ser>
        <c:dLbls>
          <c:showLegendKey val="0"/>
          <c:showVal val="0"/>
          <c:showCatName val="0"/>
          <c:showSerName val="0"/>
          <c:showPercent val="0"/>
          <c:showBubbleSize val="0"/>
        </c:dLbls>
        <c:gapWidth val="150"/>
        <c:overlap val="100"/>
        <c:axId val="455336296"/>
        <c:axId val="455340608"/>
      </c:barChart>
      <c:catAx>
        <c:axId val="45533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0608"/>
        <c:crosses val="autoZero"/>
        <c:auto val="1"/>
        <c:lblAlgn val="ctr"/>
        <c:lblOffset val="100"/>
        <c:tickLblSkip val="1"/>
        <c:tickMarkSkip val="1"/>
        <c:noMultiLvlLbl val="0"/>
      </c:catAx>
      <c:valAx>
        <c:axId val="455340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362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3-4009-8922-9CA8759314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3-4009-8922-9CA8759314E9}"/>
            </c:ext>
          </c:extLst>
        </c:ser>
        <c:dLbls>
          <c:showLegendKey val="0"/>
          <c:showVal val="0"/>
          <c:showCatName val="0"/>
          <c:showSerName val="0"/>
          <c:showPercent val="0"/>
          <c:showBubbleSize val="0"/>
        </c:dLbls>
        <c:gapWidth val="150"/>
        <c:overlap val="100"/>
        <c:axId val="455341392"/>
        <c:axId val="455345704"/>
      </c:barChart>
      <c:catAx>
        <c:axId val="455341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5704"/>
        <c:crosses val="autoZero"/>
        <c:auto val="1"/>
        <c:lblAlgn val="ctr"/>
        <c:lblOffset val="100"/>
        <c:tickLblSkip val="1"/>
        <c:tickMarkSkip val="1"/>
        <c:noMultiLvlLbl val="0"/>
      </c:catAx>
      <c:valAx>
        <c:axId val="455345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1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9B-4A01-A96C-F868B03197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9B-4A01-A96C-F868B03197AA}"/>
            </c:ext>
          </c:extLst>
        </c:ser>
        <c:dLbls>
          <c:showLegendKey val="0"/>
          <c:showVal val="0"/>
          <c:showCatName val="0"/>
          <c:showSerName val="0"/>
          <c:showPercent val="0"/>
          <c:showBubbleSize val="0"/>
        </c:dLbls>
        <c:gapWidth val="150"/>
        <c:overlap val="100"/>
        <c:axId val="455342960"/>
        <c:axId val="455346488"/>
      </c:barChart>
      <c:catAx>
        <c:axId val="455342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6488"/>
        <c:crosses val="autoZero"/>
        <c:auto val="1"/>
        <c:lblAlgn val="ctr"/>
        <c:lblOffset val="100"/>
        <c:tickLblSkip val="1"/>
        <c:tickMarkSkip val="1"/>
        <c:noMultiLvlLbl val="0"/>
      </c:catAx>
      <c:valAx>
        <c:axId val="45534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2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7C-40AF-9781-23CC08F09A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7C-40AF-9781-23CC08F09A92}"/>
            </c:ext>
          </c:extLst>
        </c:ser>
        <c:dLbls>
          <c:showLegendKey val="0"/>
          <c:showVal val="0"/>
          <c:showCatName val="0"/>
          <c:showSerName val="0"/>
          <c:showPercent val="0"/>
          <c:showBubbleSize val="0"/>
        </c:dLbls>
        <c:gapWidth val="150"/>
        <c:overlap val="100"/>
        <c:axId val="455347664"/>
        <c:axId val="455348056"/>
      </c:barChart>
      <c:catAx>
        <c:axId val="45534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48056"/>
        <c:crosses val="autoZero"/>
        <c:auto val="1"/>
        <c:lblAlgn val="ctr"/>
        <c:lblOffset val="100"/>
        <c:tickLblSkip val="1"/>
        <c:tickMarkSkip val="1"/>
        <c:noMultiLvlLbl val="0"/>
      </c:catAx>
      <c:valAx>
        <c:axId val="455348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47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261-460C-B356-78BCAEEAABC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261-460C-B356-78BCAEEAABCD}"/>
            </c:ext>
          </c:extLst>
        </c:ser>
        <c:dLbls>
          <c:showLegendKey val="0"/>
          <c:showVal val="0"/>
          <c:showCatName val="0"/>
          <c:showSerName val="0"/>
          <c:showPercent val="0"/>
          <c:showBubbleSize val="0"/>
        </c:dLbls>
        <c:gapWidth val="150"/>
        <c:overlap val="100"/>
        <c:axId val="455356680"/>
        <c:axId val="455355504"/>
      </c:barChart>
      <c:catAx>
        <c:axId val="455356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5504"/>
        <c:crosses val="autoZero"/>
        <c:auto val="1"/>
        <c:lblAlgn val="ctr"/>
        <c:lblOffset val="100"/>
        <c:tickLblSkip val="1"/>
        <c:tickMarkSkip val="1"/>
        <c:noMultiLvlLbl val="0"/>
      </c:catAx>
      <c:valAx>
        <c:axId val="45535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6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F-4200-B9EE-8142861763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F-4200-B9EE-8142861763C5}"/>
            </c:ext>
          </c:extLst>
        </c:ser>
        <c:dLbls>
          <c:showLegendKey val="0"/>
          <c:showVal val="0"/>
          <c:showCatName val="0"/>
          <c:showSerName val="0"/>
          <c:showPercent val="0"/>
          <c:showBubbleSize val="0"/>
        </c:dLbls>
        <c:gapWidth val="150"/>
        <c:overlap val="100"/>
        <c:axId val="455350408"/>
        <c:axId val="455360208"/>
      </c:barChart>
      <c:catAx>
        <c:axId val="455350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0208"/>
        <c:crosses val="autoZero"/>
        <c:auto val="1"/>
        <c:lblAlgn val="ctr"/>
        <c:lblOffset val="100"/>
        <c:tickLblSkip val="1"/>
        <c:tickMarkSkip val="1"/>
        <c:noMultiLvlLbl val="0"/>
      </c:catAx>
      <c:valAx>
        <c:axId val="455360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0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43-478E-AC9F-8A4C8957752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43-478E-AC9F-8A4C89577521}"/>
            </c:ext>
          </c:extLst>
        </c:ser>
        <c:dLbls>
          <c:showLegendKey val="0"/>
          <c:showVal val="0"/>
          <c:showCatName val="0"/>
          <c:showSerName val="0"/>
          <c:showPercent val="0"/>
          <c:showBubbleSize val="0"/>
        </c:dLbls>
        <c:gapWidth val="150"/>
        <c:overlap val="100"/>
        <c:axId val="455358640"/>
        <c:axId val="455359032"/>
      </c:barChart>
      <c:catAx>
        <c:axId val="455358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9032"/>
        <c:crosses val="autoZero"/>
        <c:auto val="1"/>
        <c:lblAlgn val="ctr"/>
        <c:lblOffset val="100"/>
        <c:tickLblSkip val="1"/>
        <c:tickMarkSkip val="1"/>
        <c:noMultiLvlLbl val="0"/>
      </c:catAx>
      <c:valAx>
        <c:axId val="45535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86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5B-48D9-BC45-FCBBEBDDE27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5B-48D9-BC45-FCBBEBDDE279}"/>
            </c:ext>
          </c:extLst>
        </c:ser>
        <c:dLbls>
          <c:showLegendKey val="0"/>
          <c:showVal val="0"/>
          <c:showCatName val="0"/>
          <c:showSerName val="0"/>
          <c:showPercent val="0"/>
          <c:showBubbleSize val="0"/>
        </c:dLbls>
        <c:gapWidth val="150"/>
        <c:overlap val="100"/>
        <c:axId val="455360600"/>
        <c:axId val="455360992"/>
      </c:barChart>
      <c:catAx>
        <c:axId val="4553606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0992"/>
        <c:crosses val="autoZero"/>
        <c:auto val="1"/>
        <c:lblAlgn val="ctr"/>
        <c:lblOffset val="100"/>
        <c:tickLblSkip val="1"/>
        <c:tickMarkSkip val="1"/>
        <c:noMultiLvlLbl val="0"/>
      </c:catAx>
      <c:valAx>
        <c:axId val="455360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06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0E-4934-AE19-929CD05C0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0E-4934-AE19-929CD05C0D80}"/>
            </c:ext>
          </c:extLst>
        </c:ser>
        <c:dLbls>
          <c:showLegendKey val="0"/>
          <c:showVal val="0"/>
          <c:showCatName val="0"/>
          <c:showSerName val="0"/>
          <c:showPercent val="0"/>
          <c:showBubbleSize val="0"/>
        </c:dLbls>
        <c:gapWidth val="150"/>
        <c:overlap val="100"/>
        <c:axId val="455350016"/>
        <c:axId val="455351192"/>
      </c:barChart>
      <c:catAx>
        <c:axId val="455350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1192"/>
        <c:crosses val="autoZero"/>
        <c:auto val="1"/>
        <c:lblAlgn val="ctr"/>
        <c:lblOffset val="100"/>
        <c:tickLblSkip val="1"/>
        <c:tickMarkSkip val="1"/>
        <c:noMultiLvlLbl val="0"/>
      </c:catAx>
      <c:valAx>
        <c:axId val="455351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0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85-4C66-86BE-D6AE146B41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85-4C66-86BE-D6AE146B4100}"/>
            </c:ext>
          </c:extLst>
        </c:ser>
        <c:dLbls>
          <c:showLegendKey val="0"/>
          <c:showVal val="0"/>
          <c:showCatName val="0"/>
          <c:showSerName val="0"/>
          <c:showPercent val="0"/>
          <c:showBubbleSize val="0"/>
        </c:dLbls>
        <c:gapWidth val="150"/>
        <c:overlap val="100"/>
        <c:axId val="455353152"/>
        <c:axId val="455352760"/>
      </c:barChart>
      <c:catAx>
        <c:axId val="4553531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52760"/>
        <c:crosses val="autoZero"/>
        <c:auto val="1"/>
        <c:lblAlgn val="ctr"/>
        <c:lblOffset val="100"/>
        <c:tickLblSkip val="1"/>
        <c:tickMarkSkip val="1"/>
        <c:noMultiLvlLbl val="0"/>
      </c:catAx>
      <c:valAx>
        <c:axId val="455352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531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0F-46F1-9EB0-1F32D74405A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0F-46F1-9EB0-1F32D74405AA}"/>
            </c:ext>
          </c:extLst>
        </c:ser>
        <c:dLbls>
          <c:showLegendKey val="0"/>
          <c:showVal val="0"/>
          <c:showCatName val="0"/>
          <c:showSerName val="0"/>
          <c:showPercent val="0"/>
          <c:showBubbleSize val="0"/>
        </c:dLbls>
        <c:gapWidth val="150"/>
        <c:overlap val="100"/>
        <c:axId val="455372360"/>
        <c:axId val="455371576"/>
      </c:barChart>
      <c:catAx>
        <c:axId val="455372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1576"/>
        <c:crosses val="autoZero"/>
        <c:auto val="1"/>
        <c:lblAlgn val="ctr"/>
        <c:lblOffset val="100"/>
        <c:tickLblSkip val="1"/>
        <c:tickMarkSkip val="1"/>
        <c:noMultiLvlLbl val="0"/>
      </c:catAx>
      <c:valAx>
        <c:axId val="45537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2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E6-4F0B-AD71-EFA0444A6CB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E6-4F0B-AD71-EFA0444A6CB3}"/>
            </c:ext>
          </c:extLst>
        </c:ser>
        <c:dLbls>
          <c:showLegendKey val="0"/>
          <c:showVal val="0"/>
          <c:showCatName val="0"/>
          <c:showSerName val="0"/>
          <c:showPercent val="0"/>
          <c:showBubbleSize val="0"/>
        </c:dLbls>
        <c:gapWidth val="150"/>
        <c:overlap val="100"/>
        <c:axId val="455370792"/>
        <c:axId val="455362560"/>
      </c:barChart>
      <c:catAx>
        <c:axId val="455370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2560"/>
        <c:crosses val="autoZero"/>
        <c:auto val="1"/>
        <c:lblAlgn val="ctr"/>
        <c:lblOffset val="100"/>
        <c:tickLblSkip val="1"/>
        <c:tickMarkSkip val="1"/>
        <c:noMultiLvlLbl val="0"/>
      </c:catAx>
      <c:valAx>
        <c:axId val="455362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0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2-4A64-8F57-F0C583CA975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2-4A64-8F57-F0C583CA9755}"/>
            </c:ext>
          </c:extLst>
        </c:ser>
        <c:dLbls>
          <c:showLegendKey val="0"/>
          <c:showVal val="0"/>
          <c:showCatName val="0"/>
          <c:showSerName val="0"/>
          <c:showPercent val="0"/>
          <c:showBubbleSize val="0"/>
        </c:dLbls>
        <c:gapWidth val="150"/>
        <c:overlap val="100"/>
        <c:axId val="455362168"/>
        <c:axId val="455370008"/>
      </c:barChart>
      <c:catAx>
        <c:axId val="455362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0008"/>
        <c:crosses val="autoZero"/>
        <c:auto val="1"/>
        <c:lblAlgn val="ctr"/>
        <c:lblOffset val="100"/>
        <c:tickLblSkip val="1"/>
        <c:tickMarkSkip val="1"/>
        <c:noMultiLvlLbl val="0"/>
      </c:catAx>
      <c:valAx>
        <c:axId val="455370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2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A52-4784-8351-0EC0A790D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A52-4784-8351-0EC0A790D086}"/>
            </c:ext>
          </c:extLst>
        </c:ser>
        <c:dLbls>
          <c:showLegendKey val="0"/>
          <c:showVal val="0"/>
          <c:showCatName val="0"/>
          <c:showSerName val="0"/>
          <c:showPercent val="0"/>
          <c:showBubbleSize val="0"/>
        </c:dLbls>
        <c:gapWidth val="150"/>
        <c:overlap val="100"/>
        <c:axId val="455364520"/>
        <c:axId val="455368832"/>
      </c:barChart>
      <c:catAx>
        <c:axId val="455364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8832"/>
        <c:crosses val="autoZero"/>
        <c:auto val="1"/>
        <c:lblAlgn val="ctr"/>
        <c:lblOffset val="100"/>
        <c:tickLblSkip val="1"/>
        <c:tickMarkSkip val="1"/>
        <c:noMultiLvlLbl val="0"/>
      </c:catAx>
      <c:valAx>
        <c:axId val="455368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4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0B-4A55-A95E-67D76E6D97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0B-4A55-A95E-67D76E6D97F2}"/>
            </c:ext>
          </c:extLst>
        </c:ser>
        <c:dLbls>
          <c:showLegendKey val="0"/>
          <c:showVal val="0"/>
          <c:showCatName val="0"/>
          <c:showSerName val="0"/>
          <c:showPercent val="0"/>
          <c:showBubbleSize val="0"/>
        </c:dLbls>
        <c:gapWidth val="150"/>
        <c:overlap val="100"/>
        <c:axId val="455362952"/>
        <c:axId val="455373536"/>
      </c:barChart>
      <c:catAx>
        <c:axId val="45536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3536"/>
        <c:crosses val="autoZero"/>
        <c:auto val="1"/>
        <c:lblAlgn val="ctr"/>
        <c:lblOffset val="100"/>
        <c:tickLblSkip val="1"/>
        <c:tickMarkSkip val="1"/>
        <c:noMultiLvlLbl val="0"/>
      </c:catAx>
      <c:valAx>
        <c:axId val="4553735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CC7-44C5-A7CC-FB2549C613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CC7-44C5-A7CC-FB2549C61376}"/>
            </c:ext>
          </c:extLst>
        </c:ser>
        <c:dLbls>
          <c:showLegendKey val="0"/>
          <c:showVal val="0"/>
          <c:showCatName val="0"/>
          <c:showSerName val="0"/>
          <c:showPercent val="0"/>
          <c:showBubbleSize val="0"/>
        </c:dLbls>
        <c:gapWidth val="150"/>
        <c:overlap val="100"/>
        <c:axId val="455366480"/>
        <c:axId val="455365304"/>
      </c:barChart>
      <c:catAx>
        <c:axId val="455366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5304"/>
        <c:crosses val="autoZero"/>
        <c:auto val="1"/>
        <c:lblAlgn val="ctr"/>
        <c:lblOffset val="100"/>
        <c:tickLblSkip val="1"/>
        <c:tickMarkSkip val="1"/>
        <c:noMultiLvlLbl val="0"/>
      </c:catAx>
      <c:valAx>
        <c:axId val="45536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6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77-4671-81CB-EE54DC16BA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77-4671-81CB-EE54DC16BA75}"/>
            </c:ext>
          </c:extLst>
        </c:ser>
        <c:dLbls>
          <c:showLegendKey val="0"/>
          <c:showVal val="0"/>
          <c:showCatName val="0"/>
          <c:showSerName val="0"/>
          <c:showPercent val="0"/>
          <c:showBubbleSize val="0"/>
        </c:dLbls>
        <c:gapWidth val="150"/>
        <c:overlap val="100"/>
        <c:axId val="455367656"/>
        <c:axId val="455368048"/>
      </c:barChart>
      <c:catAx>
        <c:axId val="455367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68048"/>
        <c:crosses val="autoZero"/>
        <c:auto val="1"/>
        <c:lblAlgn val="ctr"/>
        <c:lblOffset val="100"/>
        <c:tickLblSkip val="1"/>
        <c:tickMarkSkip val="1"/>
        <c:noMultiLvlLbl val="0"/>
      </c:catAx>
      <c:valAx>
        <c:axId val="455368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67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076-4903-AAFA-0B5A4083F4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076-4903-AAFA-0B5A4083F460}"/>
            </c:ext>
          </c:extLst>
        </c:ser>
        <c:dLbls>
          <c:showLegendKey val="0"/>
          <c:showVal val="0"/>
          <c:showCatName val="0"/>
          <c:showSerName val="0"/>
          <c:showPercent val="0"/>
          <c:showBubbleSize val="0"/>
        </c:dLbls>
        <c:gapWidth val="150"/>
        <c:overlap val="100"/>
        <c:axId val="455384120"/>
        <c:axId val="455379416"/>
      </c:barChart>
      <c:catAx>
        <c:axId val="455384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9416"/>
        <c:crosses val="autoZero"/>
        <c:auto val="1"/>
        <c:lblAlgn val="ctr"/>
        <c:lblOffset val="100"/>
        <c:tickLblSkip val="1"/>
        <c:tickMarkSkip val="1"/>
        <c:noMultiLvlLbl val="0"/>
      </c:catAx>
      <c:valAx>
        <c:axId val="45537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4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C2-4410-83F4-6BB4F522C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C2-4410-83F4-6BB4F522C778}"/>
            </c:ext>
          </c:extLst>
        </c:ser>
        <c:dLbls>
          <c:showLegendKey val="0"/>
          <c:showVal val="0"/>
          <c:showCatName val="0"/>
          <c:showSerName val="0"/>
          <c:showPercent val="0"/>
          <c:showBubbleSize val="0"/>
        </c:dLbls>
        <c:gapWidth val="150"/>
        <c:overlap val="100"/>
        <c:axId val="455375496"/>
        <c:axId val="455384904"/>
      </c:barChart>
      <c:catAx>
        <c:axId val="455375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4904"/>
        <c:crosses val="autoZero"/>
        <c:auto val="1"/>
        <c:lblAlgn val="ctr"/>
        <c:lblOffset val="100"/>
        <c:tickLblSkip val="1"/>
        <c:tickMarkSkip val="1"/>
        <c:noMultiLvlLbl val="0"/>
      </c:catAx>
      <c:valAx>
        <c:axId val="45538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5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5D5-46EF-8526-78D14F64B7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5D5-46EF-8526-78D14F64B78F}"/>
            </c:ext>
          </c:extLst>
        </c:ser>
        <c:dLbls>
          <c:showLegendKey val="0"/>
          <c:showVal val="0"/>
          <c:showCatName val="0"/>
          <c:showSerName val="0"/>
          <c:showPercent val="0"/>
          <c:showBubbleSize val="0"/>
        </c:dLbls>
        <c:gapWidth val="150"/>
        <c:overlap val="100"/>
        <c:axId val="455385296"/>
        <c:axId val="455377064"/>
      </c:barChart>
      <c:catAx>
        <c:axId val="455385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7064"/>
        <c:crosses val="autoZero"/>
        <c:auto val="1"/>
        <c:lblAlgn val="ctr"/>
        <c:lblOffset val="100"/>
        <c:tickLblSkip val="1"/>
        <c:tickMarkSkip val="1"/>
        <c:noMultiLvlLbl val="0"/>
      </c:catAx>
      <c:valAx>
        <c:axId val="455377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5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11-400D-B6AD-9AC5563D777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11-400D-B6AD-9AC5563D7778}"/>
            </c:ext>
          </c:extLst>
        </c:ser>
        <c:dLbls>
          <c:showLegendKey val="0"/>
          <c:showVal val="0"/>
          <c:showCatName val="0"/>
          <c:showSerName val="0"/>
          <c:showPercent val="0"/>
          <c:showBubbleSize val="0"/>
        </c:dLbls>
        <c:gapWidth val="150"/>
        <c:overlap val="100"/>
        <c:axId val="455377848"/>
        <c:axId val="455386080"/>
      </c:barChart>
      <c:catAx>
        <c:axId val="455377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6080"/>
        <c:crosses val="autoZero"/>
        <c:auto val="1"/>
        <c:lblAlgn val="ctr"/>
        <c:lblOffset val="100"/>
        <c:tickLblSkip val="1"/>
        <c:tickMarkSkip val="1"/>
        <c:noMultiLvlLbl val="0"/>
      </c:catAx>
      <c:valAx>
        <c:axId val="455386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7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3A-4BB5-A4C7-3A8938BE72F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3A-4BB5-A4C7-3A8938BE72FA}"/>
            </c:ext>
          </c:extLst>
        </c:ser>
        <c:dLbls>
          <c:showLegendKey val="0"/>
          <c:showVal val="0"/>
          <c:showCatName val="0"/>
          <c:showSerName val="0"/>
          <c:showPercent val="0"/>
          <c:showBubbleSize val="0"/>
        </c:dLbls>
        <c:gapWidth val="150"/>
        <c:overlap val="100"/>
        <c:axId val="455380592"/>
        <c:axId val="455378632"/>
      </c:barChart>
      <c:catAx>
        <c:axId val="45538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78632"/>
        <c:crosses val="autoZero"/>
        <c:auto val="1"/>
        <c:lblAlgn val="ctr"/>
        <c:lblOffset val="100"/>
        <c:tickLblSkip val="1"/>
        <c:tickMarkSkip val="1"/>
        <c:noMultiLvlLbl val="0"/>
      </c:catAx>
      <c:valAx>
        <c:axId val="455378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05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68-4BAF-AC26-9A746E6777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68-4BAF-AC26-9A746E6777A9}"/>
            </c:ext>
          </c:extLst>
        </c:ser>
        <c:dLbls>
          <c:showLegendKey val="0"/>
          <c:showVal val="0"/>
          <c:showCatName val="0"/>
          <c:showSerName val="0"/>
          <c:showPercent val="0"/>
          <c:showBubbleSize val="0"/>
        </c:dLbls>
        <c:gapWidth val="150"/>
        <c:overlap val="100"/>
        <c:axId val="455374712"/>
        <c:axId val="455381376"/>
      </c:barChart>
      <c:catAx>
        <c:axId val="45537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1376"/>
        <c:crosses val="autoZero"/>
        <c:auto val="1"/>
        <c:lblAlgn val="ctr"/>
        <c:lblOffset val="100"/>
        <c:tickLblSkip val="1"/>
        <c:tickMarkSkip val="1"/>
        <c:noMultiLvlLbl val="0"/>
      </c:catAx>
      <c:valAx>
        <c:axId val="455381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7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5-440C-957C-8B81524758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5-440C-957C-8B8152475880}"/>
            </c:ext>
          </c:extLst>
        </c:ser>
        <c:dLbls>
          <c:showLegendKey val="0"/>
          <c:showVal val="0"/>
          <c:showCatName val="0"/>
          <c:showSerName val="0"/>
          <c:showPercent val="0"/>
          <c:showBubbleSize val="0"/>
        </c:dLbls>
        <c:gapWidth val="150"/>
        <c:overlap val="100"/>
        <c:axId val="455389216"/>
        <c:axId val="455392352"/>
      </c:barChart>
      <c:catAx>
        <c:axId val="455389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2352"/>
        <c:crosses val="autoZero"/>
        <c:auto val="1"/>
        <c:lblAlgn val="ctr"/>
        <c:lblOffset val="100"/>
        <c:tickLblSkip val="1"/>
        <c:tickMarkSkip val="1"/>
        <c:noMultiLvlLbl val="0"/>
      </c:catAx>
      <c:valAx>
        <c:axId val="4553923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9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D6-430C-A9AC-5BE394C6D7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D6-430C-A9AC-5BE394C6D748}"/>
            </c:ext>
          </c:extLst>
        </c:ser>
        <c:dLbls>
          <c:showLegendKey val="0"/>
          <c:showVal val="0"/>
          <c:showCatName val="0"/>
          <c:showSerName val="0"/>
          <c:showPercent val="0"/>
          <c:showBubbleSize val="0"/>
        </c:dLbls>
        <c:gapWidth val="150"/>
        <c:overlap val="100"/>
        <c:axId val="455391568"/>
        <c:axId val="455389608"/>
      </c:barChart>
      <c:catAx>
        <c:axId val="455391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9608"/>
        <c:crosses val="autoZero"/>
        <c:auto val="1"/>
        <c:lblAlgn val="ctr"/>
        <c:lblOffset val="100"/>
        <c:tickLblSkip val="1"/>
        <c:tickMarkSkip val="1"/>
        <c:noMultiLvlLbl val="0"/>
      </c:catAx>
      <c:valAx>
        <c:axId val="45538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1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6CD-430F-8EC3-256B544F95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6CD-430F-8EC3-256B544F95ED}"/>
            </c:ext>
          </c:extLst>
        </c:ser>
        <c:dLbls>
          <c:showLegendKey val="0"/>
          <c:showVal val="0"/>
          <c:showCatName val="0"/>
          <c:showSerName val="0"/>
          <c:showPercent val="0"/>
          <c:showBubbleSize val="0"/>
        </c:dLbls>
        <c:gapWidth val="150"/>
        <c:overlap val="100"/>
        <c:axId val="455397448"/>
        <c:axId val="455390392"/>
      </c:barChart>
      <c:catAx>
        <c:axId val="455397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0392"/>
        <c:crosses val="autoZero"/>
        <c:auto val="1"/>
        <c:lblAlgn val="ctr"/>
        <c:lblOffset val="100"/>
        <c:tickLblSkip val="1"/>
        <c:tickMarkSkip val="1"/>
        <c:noMultiLvlLbl val="0"/>
      </c:catAx>
      <c:valAx>
        <c:axId val="45539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7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9CC-9A92-0C568A948AF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9CC-9A92-0C568A948AFD}"/>
            </c:ext>
          </c:extLst>
        </c:ser>
        <c:dLbls>
          <c:showLegendKey val="0"/>
          <c:showVal val="0"/>
          <c:showCatName val="0"/>
          <c:showSerName val="0"/>
          <c:showPercent val="0"/>
          <c:showBubbleSize val="0"/>
        </c:dLbls>
        <c:gapWidth val="150"/>
        <c:overlap val="100"/>
        <c:axId val="455391960"/>
        <c:axId val="455387256"/>
      </c:barChart>
      <c:catAx>
        <c:axId val="4553919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87256"/>
        <c:crosses val="autoZero"/>
        <c:auto val="1"/>
        <c:lblAlgn val="ctr"/>
        <c:lblOffset val="100"/>
        <c:tickLblSkip val="1"/>
        <c:tickMarkSkip val="1"/>
        <c:noMultiLvlLbl val="0"/>
      </c:catAx>
      <c:valAx>
        <c:axId val="455387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19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 r="0.750000000000003" t="0.98425196899999956" header="0.5" footer="0.5"/>
    <c:pageSetup orientation="portrait"/>
  </c:printSettings>
</c:chartSpace>
</file>

<file path=xl/charts/chart4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03-441D-B7FB-033DB0E13B8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03-441D-B7FB-033DB0E13B8A}"/>
            </c:ext>
          </c:extLst>
        </c:ser>
        <c:dLbls>
          <c:showLegendKey val="0"/>
          <c:showVal val="0"/>
          <c:showCatName val="0"/>
          <c:showSerName val="0"/>
          <c:showPercent val="0"/>
          <c:showBubbleSize val="0"/>
        </c:dLbls>
        <c:smooth val="0"/>
        <c:axId val="455393136"/>
        <c:axId val="455393920"/>
      </c:lineChart>
      <c:catAx>
        <c:axId val="455393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3920"/>
        <c:crosses val="autoZero"/>
        <c:auto val="1"/>
        <c:lblAlgn val="ctr"/>
        <c:lblOffset val="100"/>
        <c:tickLblSkip val="1"/>
        <c:tickMarkSkip val="1"/>
        <c:noMultiLvlLbl val="0"/>
      </c:catAx>
      <c:valAx>
        <c:axId val="45539392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93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F87-4FFD-AFA4-1E7F9EEA8C8F}"/>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F87-4FFD-AFA4-1E7F9EEA8C8F}"/>
            </c:ext>
          </c:extLst>
        </c:ser>
        <c:dLbls>
          <c:showLegendKey val="0"/>
          <c:showVal val="0"/>
          <c:showCatName val="0"/>
          <c:showSerName val="0"/>
          <c:showPercent val="0"/>
          <c:showBubbleSize val="0"/>
        </c:dLbls>
        <c:smooth val="0"/>
        <c:axId val="455388040"/>
        <c:axId val="455395880"/>
      </c:lineChart>
      <c:catAx>
        <c:axId val="4553880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5880"/>
        <c:crosses val="autoZero"/>
        <c:auto val="1"/>
        <c:lblAlgn val="ctr"/>
        <c:lblOffset val="100"/>
        <c:tickLblSkip val="1"/>
        <c:tickMarkSkip val="1"/>
        <c:noMultiLvlLbl val="0"/>
      </c:catAx>
      <c:valAx>
        <c:axId val="45539588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80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40C-405A-8BF2-CE93B89081F3}"/>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40C-405A-8BF2-CE93B89081F3}"/>
            </c:ext>
          </c:extLst>
        </c:ser>
        <c:dLbls>
          <c:showLegendKey val="0"/>
          <c:showVal val="0"/>
          <c:showCatName val="0"/>
          <c:showSerName val="0"/>
          <c:showPercent val="0"/>
          <c:showBubbleSize val="0"/>
        </c:dLbls>
        <c:smooth val="0"/>
        <c:axId val="455386864"/>
        <c:axId val="455400584"/>
      </c:lineChart>
      <c:catAx>
        <c:axId val="455386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0584"/>
        <c:crosses val="autoZero"/>
        <c:auto val="1"/>
        <c:lblAlgn val="ctr"/>
        <c:lblOffset val="100"/>
        <c:tickLblSkip val="1"/>
        <c:tickMarkSkip val="1"/>
        <c:noMultiLvlLbl val="0"/>
      </c:catAx>
      <c:valAx>
        <c:axId val="45540058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3868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99-4759-9510-2D11111C158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99-4759-9510-2D11111C1589}"/>
            </c:ext>
          </c:extLst>
        </c:ser>
        <c:dLbls>
          <c:showLegendKey val="0"/>
          <c:showVal val="0"/>
          <c:showCatName val="0"/>
          <c:showSerName val="0"/>
          <c:showPercent val="0"/>
          <c:showBubbleSize val="0"/>
        </c:dLbls>
        <c:gapWidth val="150"/>
        <c:overlap val="100"/>
        <c:axId val="455402544"/>
        <c:axId val="455411168"/>
      </c:barChart>
      <c:catAx>
        <c:axId val="45540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1168"/>
        <c:crosses val="autoZero"/>
        <c:auto val="1"/>
        <c:lblAlgn val="ctr"/>
        <c:lblOffset val="100"/>
        <c:tickLblSkip val="1"/>
        <c:tickMarkSkip val="1"/>
        <c:noMultiLvlLbl val="0"/>
      </c:catAx>
      <c:valAx>
        <c:axId val="455411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2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03-4746-9EFE-F48479A46E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03-4746-9EFE-F48479A46E7C}"/>
            </c:ext>
          </c:extLst>
        </c:ser>
        <c:dLbls>
          <c:showLegendKey val="0"/>
          <c:showVal val="0"/>
          <c:showCatName val="0"/>
          <c:showSerName val="0"/>
          <c:showPercent val="0"/>
          <c:showBubbleSize val="0"/>
        </c:dLbls>
        <c:gapWidth val="150"/>
        <c:overlap val="100"/>
        <c:axId val="455406464"/>
        <c:axId val="455399800"/>
      </c:barChart>
      <c:catAx>
        <c:axId val="455406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399800"/>
        <c:crosses val="autoZero"/>
        <c:auto val="1"/>
        <c:lblAlgn val="ctr"/>
        <c:lblOffset val="100"/>
        <c:tickLblSkip val="1"/>
        <c:tickMarkSkip val="1"/>
        <c:noMultiLvlLbl val="0"/>
      </c:catAx>
      <c:valAx>
        <c:axId val="455399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64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797-495B-BF79-1F821DC15D7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797-495B-BF79-1F821DC15D72}"/>
            </c:ext>
          </c:extLst>
        </c:ser>
        <c:dLbls>
          <c:showLegendKey val="0"/>
          <c:showVal val="0"/>
          <c:showCatName val="0"/>
          <c:showSerName val="0"/>
          <c:showPercent val="0"/>
          <c:showBubbleSize val="0"/>
        </c:dLbls>
        <c:gapWidth val="150"/>
        <c:overlap val="100"/>
        <c:axId val="455403720"/>
        <c:axId val="455408032"/>
      </c:barChart>
      <c:catAx>
        <c:axId val="455403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8032"/>
        <c:crosses val="autoZero"/>
        <c:auto val="1"/>
        <c:lblAlgn val="ctr"/>
        <c:lblOffset val="100"/>
        <c:tickLblSkip val="1"/>
        <c:tickMarkSkip val="1"/>
        <c:noMultiLvlLbl val="0"/>
      </c:catAx>
      <c:valAx>
        <c:axId val="45540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3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F6C-469F-9D28-D15C95A9AA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F6C-469F-9D28-D15C95A9AACF}"/>
            </c:ext>
          </c:extLst>
        </c:ser>
        <c:dLbls>
          <c:showLegendKey val="0"/>
          <c:showVal val="0"/>
          <c:showCatName val="0"/>
          <c:showSerName val="0"/>
          <c:showPercent val="0"/>
          <c:showBubbleSize val="0"/>
        </c:dLbls>
        <c:gapWidth val="150"/>
        <c:overlap val="100"/>
        <c:axId val="455408424"/>
        <c:axId val="455406856"/>
      </c:barChart>
      <c:catAx>
        <c:axId val="455408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6856"/>
        <c:crosses val="autoZero"/>
        <c:auto val="1"/>
        <c:lblAlgn val="ctr"/>
        <c:lblOffset val="100"/>
        <c:tickLblSkip val="1"/>
        <c:tickMarkSkip val="1"/>
        <c:noMultiLvlLbl val="0"/>
      </c:catAx>
      <c:valAx>
        <c:axId val="45540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84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67-4443-9A36-7E83A9917E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67-4443-9A36-7E83A9917EB4}"/>
            </c:ext>
          </c:extLst>
        </c:ser>
        <c:dLbls>
          <c:showLegendKey val="0"/>
          <c:showVal val="0"/>
          <c:showCatName val="0"/>
          <c:showSerName val="0"/>
          <c:showPercent val="0"/>
          <c:showBubbleSize val="0"/>
        </c:dLbls>
        <c:gapWidth val="150"/>
        <c:overlap val="100"/>
        <c:axId val="455409208"/>
        <c:axId val="455404504"/>
      </c:barChart>
      <c:catAx>
        <c:axId val="45540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4504"/>
        <c:crosses val="autoZero"/>
        <c:auto val="1"/>
        <c:lblAlgn val="ctr"/>
        <c:lblOffset val="100"/>
        <c:tickLblSkip val="1"/>
        <c:tickMarkSkip val="1"/>
        <c:noMultiLvlLbl val="0"/>
      </c:catAx>
      <c:valAx>
        <c:axId val="455404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9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88-4612-AFD9-E8C6EE137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88-4612-AFD9-E8C6EE137BC4}"/>
            </c:ext>
          </c:extLst>
        </c:ser>
        <c:dLbls>
          <c:showLegendKey val="0"/>
          <c:showVal val="0"/>
          <c:showCatName val="0"/>
          <c:showSerName val="0"/>
          <c:showPercent val="0"/>
          <c:showBubbleSize val="0"/>
        </c:dLbls>
        <c:gapWidth val="150"/>
        <c:overlap val="100"/>
        <c:axId val="455406072"/>
        <c:axId val="455407248"/>
      </c:barChart>
      <c:catAx>
        <c:axId val="455406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07248"/>
        <c:crosses val="autoZero"/>
        <c:auto val="1"/>
        <c:lblAlgn val="ctr"/>
        <c:lblOffset val="100"/>
        <c:tickLblSkip val="1"/>
        <c:tickMarkSkip val="1"/>
        <c:noMultiLvlLbl val="0"/>
      </c:catAx>
      <c:valAx>
        <c:axId val="45540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06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F-4A22-A6E6-97567E53EDF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F-4A22-A6E6-97567E53EDF4}"/>
            </c:ext>
          </c:extLst>
        </c:ser>
        <c:dLbls>
          <c:showLegendKey val="0"/>
          <c:showVal val="0"/>
          <c:showCatName val="0"/>
          <c:showSerName val="0"/>
          <c:showPercent val="0"/>
          <c:showBubbleSize val="0"/>
        </c:dLbls>
        <c:gapWidth val="150"/>
        <c:overlap val="100"/>
        <c:axId val="455419008"/>
        <c:axId val="455420184"/>
      </c:barChart>
      <c:catAx>
        <c:axId val="455419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0184"/>
        <c:crosses val="autoZero"/>
        <c:auto val="1"/>
        <c:lblAlgn val="ctr"/>
        <c:lblOffset val="100"/>
        <c:tickLblSkip val="1"/>
        <c:tickMarkSkip val="1"/>
        <c:noMultiLvlLbl val="0"/>
      </c:catAx>
      <c:valAx>
        <c:axId val="455420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90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B1-4E05-AFA7-0728D7F8E1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B1-4E05-AFA7-0728D7F8E104}"/>
            </c:ext>
          </c:extLst>
        </c:ser>
        <c:dLbls>
          <c:showLegendKey val="0"/>
          <c:showVal val="0"/>
          <c:showCatName val="0"/>
          <c:showSerName val="0"/>
          <c:showPercent val="0"/>
          <c:showBubbleSize val="0"/>
        </c:dLbls>
        <c:gapWidth val="150"/>
        <c:overlap val="100"/>
        <c:axId val="455418224"/>
        <c:axId val="455421360"/>
      </c:barChart>
      <c:catAx>
        <c:axId val="455418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1360"/>
        <c:crosses val="autoZero"/>
        <c:auto val="1"/>
        <c:lblAlgn val="ctr"/>
        <c:lblOffset val="100"/>
        <c:tickLblSkip val="1"/>
        <c:tickMarkSkip val="1"/>
        <c:noMultiLvlLbl val="0"/>
      </c:catAx>
      <c:valAx>
        <c:axId val="45542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82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EB-44F9-A4CD-D44E8FDE7E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EB-44F9-A4CD-D44E8FDE7E97}"/>
            </c:ext>
          </c:extLst>
        </c:ser>
        <c:dLbls>
          <c:showLegendKey val="0"/>
          <c:showVal val="0"/>
          <c:showCatName val="0"/>
          <c:showSerName val="0"/>
          <c:showPercent val="0"/>
          <c:showBubbleSize val="0"/>
        </c:dLbls>
        <c:gapWidth val="150"/>
        <c:overlap val="100"/>
        <c:axId val="455422536"/>
        <c:axId val="455416656"/>
      </c:barChart>
      <c:catAx>
        <c:axId val="455422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6656"/>
        <c:crosses val="autoZero"/>
        <c:auto val="1"/>
        <c:lblAlgn val="ctr"/>
        <c:lblOffset val="100"/>
        <c:tickLblSkip val="1"/>
        <c:tickMarkSkip val="1"/>
        <c:noMultiLvlLbl val="0"/>
      </c:catAx>
      <c:valAx>
        <c:axId val="45541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2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C8-4191-93C2-B5814AE63C7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C8-4191-93C2-B5814AE63C7A}"/>
            </c:ext>
          </c:extLst>
        </c:ser>
        <c:dLbls>
          <c:showLegendKey val="0"/>
          <c:showVal val="0"/>
          <c:showCatName val="0"/>
          <c:showSerName val="0"/>
          <c:showPercent val="0"/>
          <c:showBubbleSize val="0"/>
        </c:dLbls>
        <c:gapWidth val="150"/>
        <c:overlap val="100"/>
        <c:axId val="455419792"/>
        <c:axId val="455417048"/>
      </c:barChart>
      <c:catAx>
        <c:axId val="455419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7048"/>
        <c:crosses val="autoZero"/>
        <c:auto val="1"/>
        <c:lblAlgn val="ctr"/>
        <c:lblOffset val="100"/>
        <c:tickLblSkip val="1"/>
        <c:tickMarkSkip val="1"/>
        <c:noMultiLvlLbl val="0"/>
      </c:catAx>
      <c:valAx>
        <c:axId val="455417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979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32-44E4-AEE4-33ECC4408B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32-44E4-AEE4-33ECC4408BDF}"/>
            </c:ext>
          </c:extLst>
        </c:ser>
        <c:dLbls>
          <c:showLegendKey val="0"/>
          <c:showVal val="0"/>
          <c:showCatName val="0"/>
          <c:showSerName val="0"/>
          <c:showPercent val="0"/>
          <c:showBubbleSize val="0"/>
        </c:dLbls>
        <c:gapWidth val="150"/>
        <c:overlap val="100"/>
        <c:axId val="455423320"/>
        <c:axId val="455414304"/>
      </c:barChart>
      <c:catAx>
        <c:axId val="4554233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4304"/>
        <c:crosses val="autoZero"/>
        <c:auto val="1"/>
        <c:lblAlgn val="ctr"/>
        <c:lblOffset val="100"/>
        <c:tickLblSkip val="1"/>
        <c:tickMarkSkip val="1"/>
        <c:noMultiLvlLbl val="0"/>
      </c:catAx>
      <c:valAx>
        <c:axId val="455414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33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F7-4B39-B18C-E27FCF490DA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F7-4B39-B18C-E27FCF490DA6}"/>
            </c:ext>
          </c:extLst>
        </c:ser>
        <c:dLbls>
          <c:showLegendKey val="0"/>
          <c:showVal val="0"/>
          <c:showCatName val="0"/>
          <c:showSerName val="0"/>
          <c:showPercent val="0"/>
          <c:showBubbleSize val="0"/>
        </c:dLbls>
        <c:gapWidth val="150"/>
        <c:overlap val="100"/>
        <c:axId val="455412344"/>
        <c:axId val="455413520"/>
      </c:barChart>
      <c:catAx>
        <c:axId val="455412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13520"/>
        <c:crosses val="autoZero"/>
        <c:auto val="1"/>
        <c:lblAlgn val="ctr"/>
        <c:lblOffset val="100"/>
        <c:tickLblSkip val="1"/>
        <c:tickMarkSkip val="1"/>
        <c:noMultiLvlLbl val="0"/>
      </c:catAx>
      <c:valAx>
        <c:axId val="455413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12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C5D-4DDC-BFB4-71E9AB5049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C5D-4DDC-BFB4-71E9AB5049C7}"/>
            </c:ext>
          </c:extLst>
        </c:ser>
        <c:dLbls>
          <c:showLegendKey val="0"/>
          <c:showVal val="0"/>
          <c:showCatName val="0"/>
          <c:showSerName val="0"/>
          <c:showPercent val="0"/>
          <c:showBubbleSize val="0"/>
        </c:dLbls>
        <c:gapWidth val="150"/>
        <c:overlap val="100"/>
        <c:axId val="455427632"/>
        <c:axId val="455428416"/>
      </c:barChart>
      <c:catAx>
        <c:axId val="455427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8416"/>
        <c:crosses val="autoZero"/>
        <c:auto val="1"/>
        <c:lblAlgn val="ctr"/>
        <c:lblOffset val="100"/>
        <c:tickLblSkip val="1"/>
        <c:tickMarkSkip val="1"/>
        <c:noMultiLvlLbl val="0"/>
      </c:catAx>
      <c:valAx>
        <c:axId val="455428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76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6C-4DF2-AFB7-50C25177B3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6C-4DF2-AFB7-50C25177B3EB}"/>
            </c:ext>
          </c:extLst>
        </c:ser>
        <c:dLbls>
          <c:showLegendKey val="0"/>
          <c:showVal val="0"/>
          <c:showCatName val="0"/>
          <c:showSerName val="0"/>
          <c:showPercent val="0"/>
          <c:showBubbleSize val="0"/>
        </c:dLbls>
        <c:gapWidth val="150"/>
        <c:overlap val="100"/>
        <c:axId val="455433120"/>
        <c:axId val="455435080"/>
      </c:barChart>
      <c:catAx>
        <c:axId val="45543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5080"/>
        <c:crosses val="autoZero"/>
        <c:auto val="1"/>
        <c:lblAlgn val="ctr"/>
        <c:lblOffset val="100"/>
        <c:tickLblSkip val="1"/>
        <c:tickMarkSkip val="1"/>
        <c:noMultiLvlLbl val="0"/>
      </c:catAx>
      <c:valAx>
        <c:axId val="455435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3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73-4A9B-A66D-8EB0E0F109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73-4A9B-A66D-8EB0E0F109B4}"/>
            </c:ext>
          </c:extLst>
        </c:ser>
        <c:dLbls>
          <c:showLegendKey val="0"/>
          <c:showVal val="0"/>
          <c:showCatName val="0"/>
          <c:showSerName val="0"/>
          <c:showPercent val="0"/>
          <c:showBubbleSize val="0"/>
        </c:dLbls>
        <c:gapWidth val="150"/>
        <c:overlap val="100"/>
        <c:axId val="455429592"/>
        <c:axId val="455432728"/>
      </c:barChart>
      <c:catAx>
        <c:axId val="455429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2728"/>
        <c:crosses val="autoZero"/>
        <c:auto val="1"/>
        <c:lblAlgn val="ctr"/>
        <c:lblOffset val="100"/>
        <c:tickLblSkip val="1"/>
        <c:tickMarkSkip val="1"/>
        <c:noMultiLvlLbl val="0"/>
      </c:catAx>
      <c:valAx>
        <c:axId val="455432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9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D0-433E-9870-0879476DDD2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D0-433E-9870-0879476DDD22}"/>
            </c:ext>
          </c:extLst>
        </c:ser>
        <c:dLbls>
          <c:showLegendKey val="0"/>
          <c:showVal val="0"/>
          <c:showCatName val="0"/>
          <c:showSerName val="0"/>
          <c:showPercent val="0"/>
          <c:showBubbleSize val="0"/>
        </c:dLbls>
        <c:gapWidth val="150"/>
        <c:overlap val="100"/>
        <c:axId val="455425280"/>
        <c:axId val="455432336"/>
      </c:barChart>
      <c:catAx>
        <c:axId val="455425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2336"/>
        <c:crosses val="autoZero"/>
        <c:auto val="1"/>
        <c:lblAlgn val="ctr"/>
        <c:lblOffset val="100"/>
        <c:tickLblSkip val="1"/>
        <c:tickMarkSkip val="1"/>
        <c:noMultiLvlLbl val="0"/>
      </c:catAx>
      <c:valAx>
        <c:axId val="455432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52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C3-4302-8914-7284856377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C3-4302-8914-7284856377CC}"/>
            </c:ext>
          </c:extLst>
        </c:ser>
        <c:dLbls>
          <c:showLegendKey val="0"/>
          <c:showVal val="0"/>
          <c:showCatName val="0"/>
          <c:showSerName val="0"/>
          <c:showPercent val="0"/>
          <c:showBubbleSize val="0"/>
        </c:dLbls>
        <c:gapWidth val="150"/>
        <c:overlap val="100"/>
        <c:axId val="455426848"/>
        <c:axId val="455429984"/>
      </c:barChart>
      <c:catAx>
        <c:axId val="455426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9984"/>
        <c:crosses val="autoZero"/>
        <c:auto val="1"/>
        <c:lblAlgn val="ctr"/>
        <c:lblOffset val="100"/>
        <c:tickLblSkip val="1"/>
        <c:tickMarkSkip val="1"/>
        <c:noMultiLvlLbl val="0"/>
      </c:catAx>
      <c:valAx>
        <c:axId val="455429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6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4C-463D-9A11-A874F7BED03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4C-463D-9A11-A874F7BED03E}"/>
            </c:ext>
          </c:extLst>
        </c:ser>
        <c:dLbls>
          <c:showLegendKey val="0"/>
          <c:showVal val="0"/>
          <c:showCatName val="0"/>
          <c:showSerName val="0"/>
          <c:showPercent val="0"/>
          <c:showBubbleSize val="0"/>
        </c:dLbls>
        <c:gapWidth val="150"/>
        <c:overlap val="100"/>
        <c:axId val="455428024"/>
        <c:axId val="455427240"/>
      </c:barChart>
      <c:catAx>
        <c:axId val="455428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27240"/>
        <c:crosses val="autoZero"/>
        <c:auto val="1"/>
        <c:lblAlgn val="ctr"/>
        <c:lblOffset val="100"/>
        <c:tickLblSkip val="1"/>
        <c:tickMarkSkip val="1"/>
        <c:noMultiLvlLbl val="0"/>
      </c:catAx>
      <c:valAx>
        <c:axId val="45542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28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6B-4E2D-A4C7-75C5AB2667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6B-4E2D-A4C7-75C5AB2667A7}"/>
            </c:ext>
          </c:extLst>
        </c:ser>
        <c:dLbls>
          <c:showLegendKey val="0"/>
          <c:showVal val="0"/>
          <c:showCatName val="0"/>
          <c:showSerName val="0"/>
          <c:showPercent val="0"/>
          <c:showBubbleSize val="0"/>
        </c:dLbls>
        <c:gapWidth val="150"/>
        <c:overlap val="100"/>
        <c:axId val="455434688"/>
        <c:axId val="455431160"/>
      </c:barChart>
      <c:catAx>
        <c:axId val="455434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55431160"/>
        <c:crosses val="autoZero"/>
        <c:auto val="1"/>
        <c:lblAlgn val="ctr"/>
        <c:lblOffset val="100"/>
        <c:tickLblSkip val="1"/>
        <c:tickMarkSkip val="1"/>
        <c:noMultiLvlLbl val="0"/>
      </c:catAx>
      <c:valAx>
        <c:axId val="45543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554346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F8-4D8C-9488-2C5ECDD96E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F8-4D8C-9488-2C5ECDD96ECF}"/>
            </c:ext>
          </c:extLst>
        </c:ser>
        <c:dLbls>
          <c:showLegendKey val="0"/>
          <c:showVal val="0"/>
          <c:showCatName val="0"/>
          <c:showSerName val="0"/>
          <c:showPercent val="0"/>
          <c:showBubbleSize val="0"/>
        </c:dLbls>
        <c:gapWidth val="150"/>
        <c:overlap val="100"/>
        <c:axId val="460185696"/>
        <c:axId val="460190400"/>
      </c:barChart>
      <c:catAx>
        <c:axId val="460185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0400"/>
        <c:crosses val="autoZero"/>
        <c:auto val="1"/>
        <c:lblAlgn val="ctr"/>
        <c:lblOffset val="100"/>
        <c:tickLblSkip val="1"/>
        <c:tickMarkSkip val="1"/>
        <c:noMultiLvlLbl val="0"/>
      </c:catAx>
      <c:valAx>
        <c:axId val="460190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5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BF-4124-A723-FD294F7B2B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BF-4124-A723-FD294F7B2B0F}"/>
            </c:ext>
          </c:extLst>
        </c:ser>
        <c:dLbls>
          <c:showLegendKey val="0"/>
          <c:showVal val="0"/>
          <c:showCatName val="0"/>
          <c:showSerName val="0"/>
          <c:showPercent val="0"/>
          <c:showBubbleSize val="0"/>
        </c:dLbls>
        <c:gapWidth val="150"/>
        <c:overlap val="100"/>
        <c:axId val="460180992"/>
        <c:axId val="460191576"/>
      </c:barChart>
      <c:catAx>
        <c:axId val="460180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1576"/>
        <c:crosses val="autoZero"/>
        <c:auto val="1"/>
        <c:lblAlgn val="ctr"/>
        <c:lblOffset val="100"/>
        <c:tickLblSkip val="1"/>
        <c:tickMarkSkip val="1"/>
        <c:noMultiLvlLbl val="0"/>
      </c:catAx>
      <c:valAx>
        <c:axId val="460191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0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BE-4F5E-9B44-37D232A9EC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BE-4F5E-9B44-37D232A9ECD1}"/>
            </c:ext>
          </c:extLst>
        </c:ser>
        <c:dLbls>
          <c:showLegendKey val="0"/>
          <c:showVal val="0"/>
          <c:showCatName val="0"/>
          <c:showSerName val="0"/>
          <c:showPercent val="0"/>
          <c:showBubbleSize val="0"/>
        </c:dLbls>
        <c:gapWidth val="150"/>
        <c:overlap val="100"/>
        <c:axId val="460184912"/>
        <c:axId val="460185304"/>
      </c:barChart>
      <c:catAx>
        <c:axId val="460184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5304"/>
        <c:crosses val="autoZero"/>
        <c:auto val="1"/>
        <c:lblAlgn val="ctr"/>
        <c:lblOffset val="100"/>
        <c:tickLblSkip val="1"/>
        <c:tickMarkSkip val="1"/>
        <c:noMultiLvlLbl val="0"/>
      </c:catAx>
      <c:valAx>
        <c:axId val="460185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4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52-4EDA-9994-C911514306A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52-4EDA-9994-C911514306AC}"/>
            </c:ext>
          </c:extLst>
        </c:ser>
        <c:dLbls>
          <c:showLegendKey val="0"/>
          <c:showVal val="0"/>
          <c:showCatName val="0"/>
          <c:showSerName val="0"/>
          <c:showPercent val="0"/>
          <c:showBubbleSize val="0"/>
        </c:dLbls>
        <c:gapWidth val="150"/>
        <c:overlap val="100"/>
        <c:axId val="460179816"/>
        <c:axId val="460182168"/>
      </c:barChart>
      <c:catAx>
        <c:axId val="460179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2168"/>
        <c:crosses val="autoZero"/>
        <c:auto val="1"/>
        <c:lblAlgn val="ctr"/>
        <c:lblOffset val="100"/>
        <c:tickLblSkip val="1"/>
        <c:tickMarkSkip val="1"/>
        <c:noMultiLvlLbl val="0"/>
      </c:catAx>
      <c:valAx>
        <c:axId val="4601821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9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3A-46FD-8AE7-B0A1D0BF39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3A-46FD-8AE7-B0A1D0BF3992}"/>
            </c:ext>
          </c:extLst>
        </c:ser>
        <c:dLbls>
          <c:showLegendKey val="0"/>
          <c:showVal val="0"/>
          <c:showCatName val="0"/>
          <c:showSerName val="0"/>
          <c:showPercent val="0"/>
          <c:showBubbleSize val="0"/>
        </c:dLbls>
        <c:gapWidth val="150"/>
        <c:overlap val="100"/>
        <c:axId val="460182952"/>
        <c:axId val="460189224"/>
      </c:barChart>
      <c:catAx>
        <c:axId val="460182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89224"/>
        <c:crosses val="autoZero"/>
        <c:auto val="1"/>
        <c:lblAlgn val="ctr"/>
        <c:lblOffset val="100"/>
        <c:tickLblSkip val="1"/>
        <c:tickMarkSkip val="1"/>
        <c:noMultiLvlLbl val="0"/>
      </c:catAx>
      <c:valAx>
        <c:axId val="460189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2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83-4175-9AFA-ED1158FC2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83-4175-9AFA-ED1158FC2024}"/>
            </c:ext>
          </c:extLst>
        </c:ser>
        <c:dLbls>
          <c:showLegendKey val="0"/>
          <c:showVal val="0"/>
          <c:showCatName val="0"/>
          <c:showSerName val="0"/>
          <c:showPercent val="0"/>
          <c:showBubbleSize val="0"/>
        </c:dLbls>
        <c:gapWidth val="150"/>
        <c:overlap val="100"/>
        <c:axId val="460189616"/>
        <c:axId val="460190792"/>
      </c:barChart>
      <c:catAx>
        <c:axId val="460189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0792"/>
        <c:crosses val="autoZero"/>
        <c:auto val="1"/>
        <c:lblAlgn val="ctr"/>
        <c:lblOffset val="100"/>
        <c:tickLblSkip val="1"/>
        <c:tickMarkSkip val="1"/>
        <c:noMultiLvlLbl val="0"/>
      </c:catAx>
      <c:valAx>
        <c:axId val="460190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896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9F-4F0A-B8A5-A445A9C08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9F-4F0A-B8A5-A445A9C08D1E}"/>
            </c:ext>
          </c:extLst>
        </c:ser>
        <c:dLbls>
          <c:showLegendKey val="0"/>
          <c:showVal val="0"/>
          <c:showCatName val="0"/>
          <c:showSerName val="0"/>
          <c:showPercent val="0"/>
          <c:showBubbleSize val="0"/>
        </c:dLbls>
        <c:gapWidth val="150"/>
        <c:overlap val="100"/>
        <c:axId val="460196672"/>
        <c:axId val="460196280"/>
      </c:barChart>
      <c:catAx>
        <c:axId val="4601966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6280"/>
        <c:crosses val="autoZero"/>
        <c:auto val="1"/>
        <c:lblAlgn val="ctr"/>
        <c:lblOffset val="100"/>
        <c:tickLblSkip val="1"/>
        <c:tickMarkSkip val="1"/>
        <c:noMultiLvlLbl val="0"/>
      </c:catAx>
      <c:valAx>
        <c:axId val="46019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6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94-4C3D-906E-84D8C86E10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94-4C3D-906E-84D8C86E1086}"/>
            </c:ext>
          </c:extLst>
        </c:ser>
        <c:dLbls>
          <c:showLegendKey val="0"/>
          <c:showVal val="0"/>
          <c:showCatName val="0"/>
          <c:showSerName val="0"/>
          <c:showPercent val="0"/>
          <c:showBubbleSize val="0"/>
        </c:dLbls>
        <c:gapWidth val="150"/>
        <c:overlap val="100"/>
        <c:axId val="460194712"/>
        <c:axId val="460192360"/>
      </c:barChart>
      <c:catAx>
        <c:axId val="460194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2360"/>
        <c:crosses val="autoZero"/>
        <c:auto val="1"/>
        <c:lblAlgn val="ctr"/>
        <c:lblOffset val="100"/>
        <c:tickLblSkip val="1"/>
        <c:tickMarkSkip val="1"/>
        <c:noMultiLvlLbl val="0"/>
      </c:catAx>
      <c:valAx>
        <c:axId val="460192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4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4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B63-4E9E-BC29-CB4C2AA6BC3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B63-4E9E-BC29-CB4C2AA6BC39}"/>
            </c:ext>
          </c:extLst>
        </c:ser>
        <c:dLbls>
          <c:showLegendKey val="0"/>
          <c:showVal val="0"/>
          <c:showCatName val="0"/>
          <c:showSerName val="0"/>
          <c:showPercent val="0"/>
          <c:showBubbleSize val="0"/>
        </c:dLbls>
        <c:gapWidth val="150"/>
        <c:overlap val="100"/>
        <c:axId val="460195104"/>
        <c:axId val="460193928"/>
      </c:barChart>
      <c:catAx>
        <c:axId val="460195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93928"/>
        <c:crosses val="autoZero"/>
        <c:auto val="1"/>
        <c:lblAlgn val="ctr"/>
        <c:lblOffset val="100"/>
        <c:tickLblSkip val="1"/>
        <c:tickMarkSkip val="1"/>
        <c:noMultiLvlLbl val="0"/>
      </c:catAx>
      <c:valAx>
        <c:axId val="460193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95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468-475F-B6E2-790612E480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468-475F-B6E2-790612E48087}"/>
            </c:ext>
          </c:extLst>
        </c:ser>
        <c:dLbls>
          <c:showLegendKey val="0"/>
          <c:showVal val="0"/>
          <c:showCatName val="0"/>
          <c:showSerName val="0"/>
          <c:showPercent val="0"/>
          <c:showBubbleSize val="0"/>
        </c:dLbls>
        <c:gapWidth val="150"/>
        <c:overlap val="100"/>
        <c:axId val="460074368"/>
        <c:axId val="460075152"/>
      </c:barChart>
      <c:catAx>
        <c:axId val="460074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5152"/>
        <c:crosses val="autoZero"/>
        <c:auto val="1"/>
        <c:lblAlgn val="ctr"/>
        <c:lblOffset val="100"/>
        <c:tickLblSkip val="1"/>
        <c:tickMarkSkip val="1"/>
        <c:noMultiLvlLbl val="0"/>
      </c:catAx>
      <c:valAx>
        <c:axId val="460075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4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9E8-4ABB-8B90-98DD5E0DF0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9E8-4ABB-8B90-98DD5E0DF07B}"/>
            </c:ext>
          </c:extLst>
        </c:ser>
        <c:dLbls>
          <c:showLegendKey val="0"/>
          <c:showVal val="0"/>
          <c:showCatName val="0"/>
          <c:showSerName val="0"/>
          <c:showPercent val="0"/>
          <c:showBubbleSize val="0"/>
        </c:dLbls>
        <c:gapWidth val="150"/>
        <c:overlap val="100"/>
        <c:axId val="460079072"/>
        <c:axId val="460076328"/>
      </c:barChart>
      <c:catAx>
        <c:axId val="460079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6328"/>
        <c:crosses val="autoZero"/>
        <c:auto val="1"/>
        <c:lblAlgn val="ctr"/>
        <c:lblOffset val="100"/>
        <c:tickLblSkip val="1"/>
        <c:tickMarkSkip val="1"/>
        <c:noMultiLvlLbl val="0"/>
      </c:catAx>
      <c:valAx>
        <c:axId val="460076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9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F9D-48F7-A23C-B573096C06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F9D-48F7-A23C-B573096C06C7}"/>
            </c:ext>
          </c:extLst>
        </c:ser>
        <c:dLbls>
          <c:showLegendKey val="0"/>
          <c:showVal val="0"/>
          <c:showCatName val="0"/>
          <c:showSerName val="0"/>
          <c:showPercent val="0"/>
          <c:showBubbleSize val="0"/>
        </c:dLbls>
        <c:gapWidth val="150"/>
        <c:overlap val="100"/>
        <c:axId val="460078680"/>
        <c:axId val="460070840"/>
      </c:barChart>
      <c:catAx>
        <c:axId val="460078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0840"/>
        <c:crosses val="autoZero"/>
        <c:auto val="1"/>
        <c:lblAlgn val="ctr"/>
        <c:lblOffset val="100"/>
        <c:tickLblSkip val="1"/>
        <c:tickMarkSkip val="1"/>
        <c:noMultiLvlLbl val="0"/>
      </c:catAx>
      <c:valAx>
        <c:axId val="460070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8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F5-46B7-917A-3A419BD80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F5-46B7-917A-3A419BD80688}"/>
            </c:ext>
          </c:extLst>
        </c:ser>
        <c:dLbls>
          <c:showLegendKey val="0"/>
          <c:showVal val="0"/>
          <c:showCatName val="0"/>
          <c:showSerName val="0"/>
          <c:showPercent val="0"/>
          <c:showBubbleSize val="0"/>
        </c:dLbls>
        <c:gapWidth val="150"/>
        <c:overlap val="100"/>
        <c:axId val="460073192"/>
        <c:axId val="460071232"/>
      </c:barChart>
      <c:catAx>
        <c:axId val="460073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1232"/>
        <c:crosses val="autoZero"/>
        <c:auto val="1"/>
        <c:lblAlgn val="ctr"/>
        <c:lblOffset val="100"/>
        <c:tickLblSkip val="1"/>
        <c:tickMarkSkip val="1"/>
        <c:noMultiLvlLbl val="0"/>
      </c:catAx>
      <c:valAx>
        <c:axId val="46007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3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D1-4F84-8B22-F22DDFC6103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D1-4F84-8B22-F22DDFC61034}"/>
            </c:ext>
          </c:extLst>
        </c:ser>
        <c:dLbls>
          <c:showLegendKey val="0"/>
          <c:showVal val="0"/>
          <c:showCatName val="0"/>
          <c:showSerName val="0"/>
          <c:showPercent val="0"/>
          <c:showBubbleSize val="0"/>
        </c:dLbls>
        <c:gapWidth val="150"/>
        <c:overlap val="100"/>
        <c:axId val="460072016"/>
        <c:axId val="460072408"/>
      </c:barChart>
      <c:catAx>
        <c:axId val="460072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2408"/>
        <c:crosses val="autoZero"/>
        <c:auto val="1"/>
        <c:lblAlgn val="ctr"/>
        <c:lblOffset val="100"/>
        <c:tickLblSkip val="1"/>
        <c:tickMarkSkip val="1"/>
        <c:noMultiLvlLbl val="0"/>
      </c:catAx>
      <c:valAx>
        <c:axId val="46007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2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EE5-4E39-B7FC-82E8653EA46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EE5-4E39-B7FC-82E8653EA46F}"/>
            </c:ext>
          </c:extLst>
        </c:ser>
        <c:dLbls>
          <c:showLegendKey val="0"/>
          <c:showVal val="0"/>
          <c:showCatName val="0"/>
          <c:showSerName val="0"/>
          <c:showPercent val="0"/>
          <c:showBubbleSize val="0"/>
        </c:dLbls>
        <c:gapWidth val="150"/>
        <c:overlap val="100"/>
        <c:axId val="460077896"/>
        <c:axId val="460078288"/>
      </c:barChart>
      <c:catAx>
        <c:axId val="46007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78288"/>
        <c:crosses val="autoZero"/>
        <c:auto val="1"/>
        <c:lblAlgn val="ctr"/>
        <c:lblOffset val="100"/>
        <c:tickLblSkip val="1"/>
        <c:tickMarkSkip val="1"/>
        <c:noMultiLvlLbl val="0"/>
      </c:catAx>
      <c:valAx>
        <c:axId val="46007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778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A0-4440-8652-5DB268FD37A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A0-4440-8652-5DB268FD37AE}"/>
            </c:ext>
          </c:extLst>
        </c:ser>
        <c:dLbls>
          <c:showLegendKey val="0"/>
          <c:showVal val="0"/>
          <c:showCatName val="0"/>
          <c:showSerName val="0"/>
          <c:showPercent val="0"/>
          <c:showBubbleSize val="0"/>
        </c:dLbls>
        <c:gapWidth val="150"/>
        <c:overlap val="100"/>
        <c:axId val="460088480"/>
        <c:axId val="460082208"/>
      </c:barChart>
      <c:catAx>
        <c:axId val="460088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2208"/>
        <c:crosses val="autoZero"/>
        <c:auto val="1"/>
        <c:lblAlgn val="ctr"/>
        <c:lblOffset val="100"/>
        <c:tickLblSkip val="1"/>
        <c:tickMarkSkip val="1"/>
        <c:noMultiLvlLbl val="0"/>
      </c:catAx>
      <c:valAx>
        <c:axId val="4600822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8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96-4415-A444-2AA1794A2AD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96-4415-A444-2AA1794A2ADC}"/>
            </c:ext>
          </c:extLst>
        </c:ser>
        <c:dLbls>
          <c:showLegendKey val="0"/>
          <c:showVal val="0"/>
          <c:showCatName val="0"/>
          <c:showSerName val="0"/>
          <c:showPercent val="0"/>
          <c:showBubbleSize val="0"/>
        </c:dLbls>
        <c:gapWidth val="150"/>
        <c:overlap val="100"/>
        <c:axId val="460084168"/>
        <c:axId val="460082600"/>
      </c:barChart>
      <c:catAx>
        <c:axId val="460084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2600"/>
        <c:crosses val="autoZero"/>
        <c:auto val="1"/>
        <c:lblAlgn val="ctr"/>
        <c:lblOffset val="100"/>
        <c:tickLblSkip val="1"/>
        <c:tickMarkSkip val="1"/>
        <c:noMultiLvlLbl val="0"/>
      </c:catAx>
      <c:valAx>
        <c:axId val="46008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41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69A-4A55-A87A-951F755C03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69A-4A55-A87A-951F755C032B}"/>
            </c:ext>
          </c:extLst>
        </c:ser>
        <c:dLbls>
          <c:showLegendKey val="0"/>
          <c:showVal val="0"/>
          <c:showCatName val="0"/>
          <c:showSerName val="0"/>
          <c:showPercent val="0"/>
          <c:showBubbleSize val="0"/>
        </c:dLbls>
        <c:gapWidth val="150"/>
        <c:overlap val="100"/>
        <c:axId val="460084560"/>
        <c:axId val="460086912"/>
      </c:barChart>
      <c:catAx>
        <c:axId val="460084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6912"/>
        <c:crosses val="autoZero"/>
        <c:auto val="1"/>
        <c:lblAlgn val="ctr"/>
        <c:lblOffset val="100"/>
        <c:tickLblSkip val="1"/>
        <c:tickMarkSkip val="1"/>
        <c:noMultiLvlLbl val="0"/>
      </c:catAx>
      <c:valAx>
        <c:axId val="460086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45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FE-4DD0-AA6E-DFF2B29EAC6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FE-4DD0-AA6E-DFF2B29EAC61}"/>
            </c:ext>
          </c:extLst>
        </c:ser>
        <c:dLbls>
          <c:showLegendKey val="0"/>
          <c:showVal val="0"/>
          <c:showCatName val="0"/>
          <c:showSerName val="0"/>
          <c:showPercent val="0"/>
          <c:showBubbleSize val="0"/>
        </c:dLbls>
        <c:gapWidth val="150"/>
        <c:overlap val="100"/>
        <c:axId val="460081424"/>
        <c:axId val="460083384"/>
      </c:barChart>
      <c:catAx>
        <c:axId val="46008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3384"/>
        <c:crosses val="autoZero"/>
        <c:auto val="1"/>
        <c:lblAlgn val="ctr"/>
        <c:lblOffset val="100"/>
        <c:tickLblSkip val="1"/>
        <c:tickMarkSkip val="1"/>
        <c:noMultiLvlLbl val="0"/>
      </c:catAx>
      <c:valAx>
        <c:axId val="460083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64-47E0-A260-A700585290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64-47E0-A260-A7005852907C}"/>
            </c:ext>
          </c:extLst>
        </c:ser>
        <c:dLbls>
          <c:showLegendKey val="0"/>
          <c:showVal val="0"/>
          <c:showCatName val="0"/>
          <c:showSerName val="0"/>
          <c:showPercent val="0"/>
          <c:showBubbleSize val="0"/>
        </c:dLbls>
        <c:gapWidth val="150"/>
        <c:overlap val="100"/>
        <c:axId val="460090832"/>
        <c:axId val="460091224"/>
      </c:barChart>
      <c:catAx>
        <c:axId val="460090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1224"/>
        <c:crosses val="autoZero"/>
        <c:auto val="1"/>
        <c:lblAlgn val="ctr"/>
        <c:lblOffset val="100"/>
        <c:tickLblSkip val="1"/>
        <c:tickMarkSkip val="1"/>
        <c:noMultiLvlLbl val="0"/>
      </c:catAx>
      <c:valAx>
        <c:axId val="46009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0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26-4AFB-A3BD-76B60FC0B2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26-4AFB-A3BD-76B60FC0B2EA}"/>
            </c:ext>
          </c:extLst>
        </c:ser>
        <c:dLbls>
          <c:showLegendKey val="0"/>
          <c:showVal val="0"/>
          <c:showCatName val="0"/>
          <c:showSerName val="0"/>
          <c:showPercent val="0"/>
          <c:showBubbleSize val="0"/>
        </c:dLbls>
        <c:gapWidth val="150"/>
        <c:overlap val="100"/>
        <c:axId val="460086520"/>
        <c:axId val="460087304"/>
      </c:barChart>
      <c:catAx>
        <c:axId val="46008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7304"/>
        <c:crosses val="autoZero"/>
        <c:auto val="1"/>
        <c:lblAlgn val="ctr"/>
        <c:lblOffset val="100"/>
        <c:tickLblSkip val="1"/>
        <c:tickMarkSkip val="1"/>
        <c:noMultiLvlLbl val="0"/>
      </c:catAx>
      <c:valAx>
        <c:axId val="460087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6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BC5-43F0-BE6F-53845C8E0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BC5-43F0-BE6F-53845C8E082B}"/>
            </c:ext>
          </c:extLst>
        </c:ser>
        <c:dLbls>
          <c:showLegendKey val="0"/>
          <c:showVal val="0"/>
          <c:showCatName val="0"/>
          <c:showSerName val="0"/>
          <c:showPercent val="0"/>
          <c:showBubbleSize val="0"/>
        </c:dLbls>
        <c:gapWidth val="150"/>
        <c:overlap val="100"/>
        <c:axId val="460081816"/>
        <c:axId val="460087696"/>
      </c:barChart>
      <c:catAx>
        <c:axId val="4600818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87696"/>
        <c:crosses val="autoZero"/>
        <c:auto val="1"/>
        <c:lblAlgn val="ctr"/>
        <c:lblOffset val="100"/>
        <c:tickLblSkip val="1"/>
        <c:tickMarkSkip val="1"/>
        <c:noMultiLvlLbl val="0"/>
      </c:catAx>
      <c:valAx>
        <c:axId val="46008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818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84-4E39-99D8-2FBC902FCDE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84-4E39-99D8-2FBC902FCDE5}"/>
            </c:ext>
          </c:extLst>
        </c:ser>
        <c:dLbls>
          <c:showLegendKey val="0"/>
          <c:showVal val="0"/>
          <c:showCatName val="0"/>
          <c:showSerName val="0"/>
          <c:showPercent val="0"/>
          <c:showBubbleSize val="0"/>
        </c:dLbls>
        <c:gapWidth val="150"/>
        <c:overlap val="100"/>
        <c:axId val="460101416"/>
        <c:axId val="460100240"/>
      </c:barChart>
      <c:catAx>
        <c:axId val="460101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0240"/>
        <c:crosses val="autoZero"/>
        <c:auto val="1"/>
        <c:lblAlgn val="ctr"/>
        <c:lblOffset val="100"/>
        <c:tickLblSkip val="1"/>
        <c:tickMarkSkip val="1"/>
        <c:noMultiLvlLbl val="0"/>
      </c:catAx>
      <c:valAx>
        <c:axId val="460100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14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24-41BD-BE13-6638DE2502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24-41BD-BE13-6638DE2502F7}"/>
            </c:ext>
          </c:extLst>
        </c:ser>
        <c:dLbls>
          <c:showLegendKey val="0"/>
          <c:showVal val="0"/>
          <c:showCatName val="0"/>
          <c:showSerName val="0"/>
          <c:showPercent val="0"/>
          <c:showBubbleSize val="0"/>
        </c:dLbls>
        <c:gapWidth val="150"/>
        <c:overlap val="100"/>
        <c:axId val="460103376"/>
        <c:axId val="460102984"/>
      </c:barChart>
      <c:catAx>
        <c:axId val="460103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2984"/>
        <c:crosses val="autoZero"/>
        <c:auto val="1"/>
        <c:lblAlgn val="ctr"/>
        <c:lblOffset val="100"/>
        <c:tickLblSkip val="1"/>
        <c:tickMarkSkip val="1"/>
        <c:noMultiLvlLbl val="0"/>
      </c:catAx>
      <c:valAx>
        <c:axId val="460102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3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C1-4258-BEB1-41324946ED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C1-4258-BEB1-41324946ED1E}"/>
            </c:ext>
          </c:extLst>
        </c:ser>
        <c:dLbls>
          <c:showLegendKey val="0"/>
          <c:showVal val="0"/>
          <c:showCatName val="0"/>
          <c:showSerName val="0"/>
          <c:showPercent val="0"/>
          <c:showBubbleSize val="0"/>
        </c:dLbls>
        <c:gapWidth val="150"/>
        <c:overlap val="100"/>
        <c:axId val="460096712"/>
        <c:axId val="460101808"/>
      </c:barChart>
      <c:catAx>
        <c:axId val="460096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1808"/>
        <c:crosses val="autoZero"/>
        <c:auto val="1"/>
        <c:lblAlgn val="ctr"/>
        <c:lblOffset val="100"/>
        <c:tickLblSkip val="1"/>
        <c:tickMarkSkip val="1"/>
        <c:noMultiLvlLbl val="0"/>
      </c:catAx>
      <c:valAx>
        <c:axId val="460101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6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A0-4F09-B56D-9340906139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A0-4F09-B56D-934090613981}"/>
            </c:ext>
          </c:extLst>
        </c:ser>
        <c:dLbls>
          <c:showLegendKey val="0"/>
          <c:showVal val="0"/>
          <c:showCatName val="0"/>
          <c:showSerName val="0"/>
          <c:showPercent val="0"/>
          <c:showBubbleSize val="0"/>
        </c:dLbls>
        <c:gapWidth val="150"/>
        <c:overlap val="100"/>
        <c:axId val="460092400"/>
        <c:axId val="460097496"/>
      </c:barChart>
      <c:catAx>
        <c:axId val="4600924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7496"/>
        <c:crosses val="autoZero"/>
        <c:auto val="1"/>
        <c:lblAlgn val="ctr"/>
        <c:lblOffset val="100"/>
        <c:tickLblSkip val="1"/>
        <c:tickMarkSkip val="1"/>
        <c:noMultiLvlLbl val="0"/>
      </c:catAx>
      <c:valAx>
        <c:axId val="460097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24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B70-42EE-BF3E-F197B78A61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B70-42EE-BF3E-F197B78A6124}"/>
            </c:ext>
          </c:extLst>
        </c:ser>
        <c:dLbls>
          <c:showLegendKey val="0"/>
          <c:showVal val="0"/>
          <c:showCatName val="0"/>
          <c:showSerName val="0"/>
          <c:showPercent val="0"/>
          <c:showBubbleSize val="0"/>
        </c:dLbls>
        <c:gapWidth val="150"/>
        <c:overlap val="100"/>
        <c:axId val="460094360"/>
        <c:axId val="460093968"/>
      </c:barChart>
      <c:catAx>
        <c:axId val="460094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3968"/>
        <c:crosses val="autoZero"/>
        <c:auto val="1"/>
        <c:lblAlgn val="ctr"/>
        <c:lblOffset val="100"/>
        <c:tickLblSkip val="1"/>
        <c:tickMarkSkip val="1"/>
        <c:noMultiLvlLbl val="0"/>
      </c:catAx>
      <c:valAx>
        <c:axId val="460093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4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B8-4EE5-AAD5-A47696AA47C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B8-4EE5-AAD5-A47696AA47CF}"/>
            </c:ext>
          </c:extLst>
        </c:ser>
        <c:dLbls>
          <c:showLegendKey val="0"/>
          <c:showVal val="0"/>
          <c:showCatName val="0"/>
          <c:showSerName val="0"/>
          <c:showPercent val="0"/>
          <c:showBubbleSize val="0"/>
        </c:dLbls>
        <c:gapWidth val="150"/>
        <c:overlap val="100"/>
        <c:axId val="460093184"/>
        <c:axId val="460095144"/>
      </c:barChart>
      <c:catAx>
        <c:axId val="460093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095144"/>
        <c:crosses val="autoZero"/>
        <c:auto val="1"/>
        <c:lblAlgn val="ctr"/>
        <c:lblOffset val="100"/>
        <c:tickLblSkip val="1"/>
        <c:tickMarkSkip val="1"/>
        <c:noMultiLvlLbl val="0"/>
      </c:catAx>
      <c:valAx>
        <c:axId val="460095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093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45-4446-AC46-2689F7498C5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45-4446-AC46-2689F7498C5E}"/>
            </c:ext>
          </c:extLst>
        </c:ser>
        <c:dLbls>
          <c:showLegendKey val="0"/>
          <c:showVal val="0"/>
          <c:showCatName val="0"/>
          <c:showSerName val="0"/>
          <c:showPercent val="0"/>
          <c:showBubbleSize val="0"/>
        </c:dLbls>
        <c:gapWidth val="150"/>
        <c:overlap val="100"/>
        <c:axId val="460107296"/>
        <c:axId val="460112784"/>
      </c:barChart>
      <c:catAx>
        <c:axId val="460107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2784"/>
        <c:crosses val="autoZero"/>
        <c:auto val="1"/>
        <c:lblAlgn val="ctr"/>
        <c:lblOffset val="100"/>
        <c:tickLblSkip val="1"/>
        <c:tickMarkSkip val="1"/>
        <c:noMultiLvlLbl val="0"/>
      </c:catAx>
      <c:valAx>
        <c:axId val="460112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7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2E-4075-8666-A6833215A92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2E-4075-8666-A6833215A927}"/>
            </c:ext>
          </c:extLst>
        </c:ser>
        <c:dLbls>
          <c:showLegendKey val="0"/>
          <c:showVal val="0"/>
          <c:showCatName val="0"/>
          <c:showSerName val="0"/>
          <c:showPercent val="0"/>
          <c:showBubbleSize val="0"/>
        </c:dLbls>
        <c:gapWidth val="150"/>
        <c:overlap val="100"/>
        <c:axId val="460113568"/>
        <c:axId val="460109648"/>
      </c:barChart>
      <c:catAx>
        <c:axId val="460113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9648"/>
        <c:crosses val="autoZero"/>
        <c:auto val="1"/>
        <c:lblAlgn val="ctr"/>
        <c:lblOffset val="100"/>
        <c:tickLblSkip val="1"/>
        <c:tickMarkSkip val="1"/>
        <c:noMultiLvlLbl val="0"/>
      </c:catAx>
      <c:valAx>
        <c:axId val="46010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35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22D-434E-BCCA-C604A13637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22D-434E-BCCA-C604A13637AF}"/>
            </c:ext>
          </c:extLst>
        </c:ser>
        <c:dLbls>
          <c:showLegendKey val="0"/>
          <c:showVal val="0"/>
          <c:showCatName val="0"/>
          <c:showSerName val="0"/>
          <c:showPercent val="0"/>
          <c:showBubbleSize val="0"/>
        </c:dLbls>
        <c:gapWidth val="150"/>
        <c:overlap val="100"/>
        <c:axId val="460109256"/>
        <c:axId val="460113176"/>
      </c:barChart>
      <c:catAx>
        <c:axId val="46010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3176"/>
        <c:crosses val="autoZero"/>
        <c:auto val="1"/>
        <c:lblAlgn val="ctr"/>
        <c:lblOffset val="100"/>
        <c:tickLblSkip val="1"/>
        <c:tickMarkSkip val="1"/>
        <c:noMultiLvlLbl val="0"/>
      </c:catAx>
      <c:valAx>
        <c:axId val="460113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D84-49EA-B9A7-4A4F2D0645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D84-49EA-B9A7-4A4F2D064559}"/>
            </c:ext>
          </c:extLst>
        </c:ser>
        <c:dLbls>
          <c:showLegendKey val="0"/>
          <c:showVal val="0"/>
          <c:showCatName val="0"/>
          <c:showSerName val="0"/>
          <c:showPercent val="0"/>
          <c:showBubbleSize val="0"/>
        </c:dLbls>
        <c:gapWidth val="150"/>
        <c:overlap val="100"/>
        <c:axId val="460114744"/>
        <c:axId val="460113960"/>
      </c:barChart>
      <c:catAx>
        <c:axId val="460114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3960"/>
        <c:crosses val="autoZero"/>
        <c:auto val="1"/>
        <c:lblAlgn val="ctr"/>
        <c:lblOffset val="100"/>
        <c:tickLblSkip val="1"/>
        <c:tickMarkSkip val="1"/>
        <c:noMultiLvlLbl val="0"/>
      </c:catAx>
      <c:valAx>
        <c:axId val="460113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4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CD-449B-849B-CE60A29AB6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CD-449B-849B-CE60A29AB67C}"/>
            </c:ext>
          </c:extLst>
        </c:ser>
        <c:dLbls>
          <c:showLegendKey val="0"/>
          <c:showVal val="0"/>
          <c:showCatName val="0"/>
          <c:showSerName val="0"/>
          <c:showPercent val="0"/>
          <c:showBubbleSize val="0"/>
        </c:dLbls>
        <c:gapWidth val="150"/>
        <c:overlap val="100"/>
        <c:axId val="460110824"/>
        <c:axId val="460104552"/>
      </c:barChart>
      <c:catAx>
        <c:axId val="460110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04552"/>
        <c:crosses val="autoZero"/>
        <c:auto val="1"/>
        <c:lblAlgn val="ctr"/>
        <c:lblOffset val="100"/>
        <c:tickLblSkip val="1"/>
        <c:tickMarkSkip val="1"/>
        <c:noMultiLvlLbl val="0"/>
      </c:catAx>
      <c:valAx>
        <c:axId val="460104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0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29C-488E-ABFB-7B9B9BA628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29C-488E-ABFB-7B9B9BA628A5}"/>
            </c:ext>
          </c:extLst>
        </c:ser>
        <c:dLbls>
          <c:showLegendKey val="0"/>
          <c:showVal val="0"/>
          <c:showCatName val="0"/>
          <c:showSerName val="0"/>
          <c:showPercent val="0"/>
          <c:showBubbleSize val="0"/>
        </c:dLbls>
        <c:gapWidth val="150"/>
        <c:overlap val="100"/>
        <c:axId val="460105728"/>
        <c:axId val="460115136"/>
      </c:barChart>
      <c:catAx>
        <c:axId val="460105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5136"/>
        <c:crosses val="autoZero"/>
        <c:auto val="1"/>
        <c:lblAlgn val="ctr"/>
        <c:lblOffset val="100"/>
        <c:tickLblSkip val="1"/>
        <c:tickMarkSkip val="1"/>
        <c:noMultiLvlLbl val="0"/>
      </c:catAx>
      <c:valAx>
        <c:axId val="46011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5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F-4C1F-816D-8EF2107746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F-4C1F-816D-8EF2107746D1}"/>
            </c:ext>
          </c:extLst>
        </c:ser>
        <c:dLbls>
          <c:showLegendKey val="0"/>
          <c:showVal val="0"/>
          <c:showCatName val="0"/>
          <c:showSerName val="0"/>
          <c:showPercent val="0"/>
          <c:showBubbleSize val="0"/>
        </c:dLbls>
        <c:gapWidth val="150"/>
        <c:overlap val="100"/>
        <c:axId val="460104944"/>
        <c:axId val="460122192"/>
      </c:barChart>
      <c:catAx>
        <c:axId val="4601049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2192"/>
        <c:crosses val="autoZero"/>
        <c:auto val="1"/>
        <c:lblAlgn val="ctr"/>
        <c:lblOffset val="100"/>
        <c:tickLblSkip val="1"/>
        <c:tickMarkSkip val="1"/>
        <c:noMultiLvlLbl val="0"/>
      </c:catAx>
      <c:valAx>
        <c:axId val="460122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049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A-42E1-B5C1-93304BDA2E7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A-42E1-B5C1-93304BDA2E7D}"/>
            </c:ext>
          </c:extLst>
        </c:ser>
        <c:dLbls>
          <c:showLegendKey val="0"/>
          <c:showVal val="0"/>
          <c:showCatName val="0"/>
          <c:showSerName val="0"/>
          <c:showPercent val="0"/>
          <c:showBubbleSize val="0"/>
        </c:dLbls>
        <c:gapWidth val="150"/>
        <c:overlap val="100"/>
        <c:axId val="460121408"/>
        <c:axId val="460125328"/>
      </c:barChart>
      <c:catAx>
        <c:axId val="46012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5328"/>
        <c:crosses val="autoZero"/>
        <c:auto val="1"/>
        <c:lblAlgn val="ctr"/>
        <c:lblOffset val="100"/>
        <c:tickLblSkip val="1"/>
        <c:tickMarkSkip val="1"/>
        <c:noMultiLvlLbl val="0"/>
      </c:catAx>
      <c:valAx>
        <c:axId val="460125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2B-4EBD-B9DA-A367C99C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2B-4EBD-B9DA-A367C99C284B}"/>
            </c:ext>
          </c:extLst>
        </c:ser>
        <c:dLbls>
          <c:showLegendKey val="0"/>
          <c:showVal val="0"/>
          <c:showCatName val="0"/>
          <c:showSerName val="0"/>
          <c:showPercent val="0"/>
          <c:showBubbleSize val="0"/>
        </c:dLbls>
        <c:gapWidth val="150"/>
        <c:overlap val="100"/>
        <c:axId val="460127680"/>
        <c:axId val="460123368"/>
      </c:barChart>
      <c:catAx>
        <c:axId val="460127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3368"/>
        <c:crosses val="autoZero"/>
        <c:auto val="1"/>
        <c:lblAlgn val="ctr"/>
        <c:lblOffset val="100"/>
        <c:tickLblSkip val="1"/>
        <c:tickMarkSkip val="1"/>
        <c:noMultiLvlLbl val="0"/>
      </c:catAx>
      <c:valAx>
        <c:axId val="460123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7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89A-4306-8590-36F214634C5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89A-4306-8590-36F214634C5F}"/>
            </c:ext>
          </c:extLst>
        </c:ser>
        <c:dLbls>
          <c:showLegendKey val="0"/>
          <c:showVal val="0"/>
          <c:showCatName val="0"/>
          <c:showSerName val="0"/>
          <c:showPercent val="0"/>
          <c:showBubbleSize val="0"/>
        </c:dLbls>
        <c:gapWidth val="150"/>
        <c:overlap val="100"/>
        <c:axId val="460126896"/>
        <c:axId val="460124152"/>
      </c:barChart>
      <c:catAx>
        <c:axId val="460126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4152"/>
        <c:crosses val="autoZero"/>
        <c:auto val="1"/>
        <c:lblAlgn val="ctr"/>
        <c:lblOffset val="100"/>
        <c:tickLblSkip val="1"/>
        <c:tickMarkSkip val="1"/>
        <c:noMultiLvlLbl val="0"/>
      </c:catAx>
      <c:valAx>
        <c:axId val="46012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6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0A-432A-8AFD-65675CA9E7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0A-432A-8AFD-65675CA9E7FB}"/>
            </c:ext>
          </c:extLst>
        </c:ser>
        <c:dLbls>
          <c:showLegendKey val="0"/>
          <c:showVal val="0"/>
          <c:showCatName val="0"/>
          <c:showSerName val="0"/>
          <c:showPercent val="0"/>
          <c:showBubbleSize val="0"/>
        </c:dLbls>
        <c:gapWidth val="150"/>
        <c:overlap val="100"/>
        <c:axId val="460128856"/>
        <c:axId val="460129248"/>
      </c:barChart>
      <c:catAx>
        <c:axId val="460128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9248"/>
        <c:crosses val="autoZero"/>
        <c:auto val="1"/>
        <c:lblAlgn val="ctr"/>
        <c:lblOffset val="100"/>
        <c:tickLblSkip val="1"/>
        <c:tickMarkSkip val="1"/>
        <c:noMultiLvlLbl val="0"/>
      </c:catAx>
      <c:valAx>
        <c:axId val="460129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88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9B-4AB5-85F1-612073FA37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9B-4AB5-85F1-612073FA37D2}"/>
            </c:ext>
          </c:extLst>
        </c:ser>
        <c:dLbls>
          <c:showLegendKey val="0"/>
          <c:showVal val="0"/>
          <c:showCatName val="0"/>
          <c:showSerName val="0"/>
          <c:showPercent val="0"/>
          <c:showBubbleSize val="0"/>
        </c:dLbls>
        <c:gapWidth val="150"/>
        <c:overlap val="100"/>
        <c:axId val="460122584"/>
        <c:axId val="460122976"/>
      </c:barChart>
      <c:catAx>
        <c:axId val="460122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22976"/>
        <c:crosses val="autoZero"/>
        <c:auto val="1"/>
        <c:lblAlgn val="ctr"/>
        <c:lblOffset val="100"/>
        <c:tickLblSkip val="1"/>
        <c:tickMarkSkip val="1"/>
        <c:noMultiLvlLbl val="0"/>
      </c:catAx>
      <c:valAx>
        <c:axId val="4601229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22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1-48B9-8508-AF69FC79848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1-48B9-8508-AF69FC798486}"/>
            </c:ext>
          </c:extLst>
        </c:ser>
        <c:dLbls>
          <c:showLegendKey val="0"/>
          <c:showVal val="0"/>
          <c:showCatName val="0"/>
          <c:showSerName val="0"/>
          <c:showPercent val="0"/>
          <c:showBubbleSize val="0"/>
        </c:dLbls>
        <c:gapWidth val="150"/>
        <c:overlap val="100"/>
        <c:axId val="460118664"/>
        <c:axId val="460119056"/>
      </c:barChart>
      <c:catAx>
        <c:axId val="460118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19056"/>
        <c:crosses val="autoZero"/>
        <c:auto val="1"/>
        <c:lblAlgn val="ctr"/>
        <c:lblOffset val="100"/>
        <c:tickLblSkip val="1"/>
        <c:tickMarkSkip val="1"/>
        <c:noMultiLvlLbl val="0"/>
      </c:catAx>
      <c:valAx>
        <c:axId val="460119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18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22" r="0.75000000000000322" t="0.98425196899999956" header="0.5" footer="0.5"/>
    <c:pageSetup orientation="portrait"/>
  </c:printSettings>
</c:chartSpace>
</file>

<file path=xl/charts/chart5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5BA-48FA-8E22-4D2F2330EFE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5BA-48FA-8E22-4D2F2330EFEA}"/>
            </c:ext>
          </c:extLst>
        </c:ser>
        <c:dLbls>
          <c:showLegendKey val="0"/>
          <c:showVal val="0"/>
          <c:showCatName val="0"/>
          <c:showSerName val="0"/>
          <c:showPercent val="0"/>
          <c:showBubbleSize val="0"/>
        </c:dLbls>
        <c:smooth val="0"/>
        <c:axId val="460135128"/>
        <c:axId val="460134736"/>
      </c:lineChart>
      <c:catAx>
        <c:axId val="460135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4736"/>
        <c:crosses val="autoZero"/>
        <c:auto val="1"/>
        <c:lblAlgn val="ctr"/>
        <c:lblOffset val="100"/>
        <c:tickLblSkip val="1"/>
        <c:tickMarkSkip val="1"/>
        <c:noMultiLvlLbl val="0"/>
      </c:catAx>
      <c:valAx>
        <c:axId val="460134736"/>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512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1C0-4BC4-B5B2-2E33C4FE461D}"/>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1C0-4BC4-B5B2-2E33C4FE461D}"/>
            </c:ext>
          </c:extLst>
        </c:ser>
        <c:dLbls>
          <c:showLegendKey val="0"/>
          <c:showVal val="0"/>
          <c:showCatName val="0"/>
          <c:showSerName val="0"/>
          <c:showPercent val="0"/>
          <c:showBubbleSize val="0"/>
        </c:dLbls>
        <c:smooth val="0"/>
        <c:axId val="460134344"/>
        <c:axId val="460139048"/>
      </c:lineChart>
      <c:catAx>
        <c:axId val="460134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9048"/>
        <c:crosses val="autoZero"/>
        <c:auto val="1"/>
        <c:lblAlgn val="ctr"/>
        <c:lblOffset val="100"/>
        <c:tickLblSkip val="1"/>
        <c:tickMarkSkip val="1"/>
        <c:noMultiLvlLbl val="0"/>
      </c:catAx>
      <c:valAx>
        <c:axId val="4601390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43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388-4771-826B-FFF52D50896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388-4771-826B-FFF52D508961}"/>
            </c:ext>
          </c:extLst>
        </c:ser>
        <c:dLbls>
          <c:showLegendKey val="0"/>
          <c:showVal val="0"/>
          <c:showCatName val="0"/>
          <c:showSerName val="0"/>
          <c:showPercent val="0"/>
          <c:showBubbleSize val="0"/>
        </c:dLbls>
        <c:smooth val="0"/>
        <c:axId val="460133560"/>
        <c:axId val="460138264"/>
      </c:lineChart>
      <c:catAx>
        <c:axId val="460133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8264"/>
        <c:crosses val="autoZero"/>
        <c:auto val="1"/>
        <c:lblAlgn val="ctr"/>
        <c:lblOffset val="100"/>
        <c:tickLblSkip val="1"/>
        <c:tickMarkSkip val="1"/>
        <c:noMultiLvlLbl val="0"/>
      </c:catAx>
      <c:valAx>
        <c:axId val="4601382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35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82-46CE-BCB2-D0DD8FDE9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82-46CE-BCB2-D0DD8FDE9DD2}"/>
            </c:ext>
          </c:extLst>
        </c:ser>
        <c:dLbls>
          <c:showLegendKey val="0"/>
          <c:showVal val="0"/>
          <c:showCatName val="0"/>
          <c:showSerName val="0"/>
          <c:showPercent val="0"/>
          <c:showBubbleSize val="0"/>
        </c:dLbls>
        <c:gapWidth val="150"/>
        <c:overlap val="100"/>
        <c:axId val="460137480"/>
        <c:axId val="460138656"/>
      </c:barChart>
      <c:catAx>
        <c:axId val="46013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8656"/>
        <c:crosses val="autoZero"/>
        <c:auto val="1"/>
        <c:lblAlgn val="ctr"/>
        <c:lblOffset val="100"/>
        <c:tickLblSkip val="1"/>
        <c:tickMarkSkip val="1"/>
        <c:noMultiLvlLbl val="0"/>
      </c:catAx>
      <c:valAx>
        <c:axId val="46013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74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4B-4663-977D-731D1A4D7F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4B-4663-977D-731D1A4D7F8F}"/>
            </c:ext>
          </c:extLst>
        </c:ser>
        <c:dLbls>
          <c:showLegendKey val="0"/>
          <c:showVal val="0"/>
          <c:showCatName val="0"/>
          <c:showSerName val="0"/>
          <c:showPercent val="0"/>
          <c:showBubbleSize val="0"/>
        </c:dLbls>
        <c:gapWidth val="150"/>
        <c:overlap val="100"/>
        <c:axId val="460135912"/>
        <c:axId val="460136696"/>
      </c:barChart>
      <c:catAx>
        <c:axId val="460135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6696"/>
        <c:crosses val="autoZero"/>
        <c:auto val="1"/>
        <c:lblAlgn val="ctr"/>
        <c:lblOffset val="100"/>
        <c:tickLblSkip val="1"/>
        <c:tickMarkSkip val="1"/>
        <c:noMultiLvlLbl val="0"/>
      </c:catAx>
      <c:valAx>
        <c:axId val="460136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359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0F-4FBA-8598-F58317ADE3F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0F-4FBA-8598-F58317ADE3F6}"/>
            </c:ext>
          </c:extLst>
        </c:ser>
        <c:dLbls>
          <c:showLegendKey val="0"/>
          <c:showVal val="0"/>
          <c:showCatName val="0"/>
          <c:showSerName val="0"/>
          <c:showPercent val="0"/>
          <c:showBubbleSize val="0"/>
        </c:dLbls>
        <c:gapWidth val="150"/>
        <c:overlap val="100"/>
        <c:axId val="460141792"/>
        <c:axId val="460130424"/>
      </c:barChart>
      <c:catAx>
        <c:axId val="4601417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30424"/>
        <c:crosses val="autoZero"/>
        <c:auto val="1"/>
        <c:lblAlgn val="ctr"/>
        <c:lblOffset val="100"/>
        <c:tickLblSkip val="1"/>
        <c:tickMarkSkip val="1"/>
        <c:noMultiLvlLbl val="0"/>
      </c:catAx>
      <c:valAx>
        <c:axId val="4601304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17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6C7-45C5-9A21-80E8E28EEF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6C7-45C5-9A21-80E8E28EEF0D}"/>
            </c:ext>
          </c:extLst>
        </c:ser>
        <c:dLbls>
          <c:showLegendKey val="0"/>
          <c:showVal val="0"/>
          <c:showCatName val="0"/>
          <c:showSerName val="0"/>
          <c:showPercent val="0"/>
          <c:showBubbleSize val="0"/>
        </c:dLbls>
        <c:gapWidth val="150"/>
        <c:overlap val="100"/>
        <c:axId val="460152376"/>
        <c:axId val="460142968"/>
      </c:barChart>
      <c:catAx>
        <c:axId val="460152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2968"/>
        <c:crosses val="autoZero"/>
        <c:auto val="1"/>
        <c:lblAlgn val="ctr"/>
        <c:lblOffset val="100"/>
        <c:tickLblSkip val="1"/>
        <c:tickMarkSkip val="1"/>
        <c:noMultiLvlLbl val="0"/>
      </c:catAx>
      <c:valAx>
        <c:axId val="460142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23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25-4F4B-AA18-38B4CFE5AC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25-4F4B-AA18-38B4CFE5ACE2}"/>
            </c:ext>
          </c:extLst>
        </c:ser>
        <c:dLbls>
          <c:showLegendKey val="0"/>
          <c:showVal val="0"/>
          <c:showCatName val="0"/>
          <c:showSerName val="0"/>
          <c:showPercent val="0"/>
          <c:showBubbleSize val="0"/>
        </c:dLbls>
        <c:gapWidth val="150"/>
        <c:overlap val="100"/>
        <c:axId val="460152768"/>
        <c:axId val="460153160"/>
      </c:barChart>
      <c:catAx>
        <c:axId val="460152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3160"/>
        <c:crosses val="autoZero"/>
        <c:auto val="1"/>
        <c:lblAlgn val="ctr"/>
        <c:lblOffset val="100"/>
        <c:tickLblSkip val="1"/>
        <c:tickMarkSkip val="1"/>
        <c:noMultiLvlLbl val="0"/>
      </c:catAx>
      <c:valAx>
        <c:axId val="460153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2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5C-4646-8843-6AD08BD459A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5C-4646-8843-6AD08BD459A8}"/>
            </c:ext>
          </c:extLst>
        </c:ser>
        <c:dLbls>
          <c:showLegendKey val="0"/>
          <c:showVal val="0"/>
          <c:showCatName val="0"/>
          <c:showSerName val="0"/>
          <c:showPercent val="0"/>
          <c:showBubbleSize val="0"/>
        </c:dLbls>
        <c:gapWidth val="150"/>
        <c:overlap val="100"/>
        <c:axId val="460144144"/>
        <c:axId val="460142576"/>
      </c:barChart>
      <c:catAx>
        <c:axId val="460144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2576"/>
        <c:crosses val="autoZero"/>
        <c:auto val="1"/>
        <c:lblAlgn val="ctr"/>
        <c:lblOffset val="100"/>
        <c:tickLblSkip val="1"/>
        <c:tickMarkSkip val="1"/>
        <c:noMultiLvlLbl val="0"/>
      </c:catAx>
      <c:valAx>
        <c:axId val="46014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4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39-49BC-94D8-CEACF7EAB8C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39-49BC-94D8-CEACF7EAB8C9}"/>
            </c:ext>
          </c:extLst>
        </c:ser>
        <c:dLbls>
          <c:showLegendKey val="0"/>
          <c:showVal val="0"/>
          <c:showCatName val="0"/>
          <c:showSerName val="0"/>
          <c:showPercent val="0"/>
          <c:showBubbleSize val="0"/>
        </c:dLbls>
        <c:gapWidth val="150"/>
        <c:overlap val="100"/>
        <c:axId val="460149240"/>
        <c:axId val="460150808"/>
      </c:barChart>
      <c:catAx>
        <c:axId val="460149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0808"/>
        <c:crosses val="autoZero"/>
        <c:auto val="1"/>
        <c:lblAlgn val="ctr"/>
        <c:lblOffset val="100"/>
        <c:tickLblSkip val="1"/>
        <c:tickMarkSkip val="1"/>
        <c:noMultiLvlLbl val="0"/>
      </c:catAx>
      <c:valAx>
        <c:axId val="460150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9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75-4F62-9DE2-8557FEBA26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75-4F62-9DE2-8557FEBA26AF}"/>
            </c:ext>
          </c:extLst>
        </c:ser>
        <c:dLbls>
          <c:showLegendKey val="0"/>
          <c:showVal val="0"/>
          <c:showCatName val="0"/>
          <c:showSerName val="0"/>
          <c:showPercent val="0"/>
          <c:showBubbleSize val="0"/>
        </c:dLbls>
        <c:gapWidth val="150"/>
        <c:overlap val="100"/>
        <c:axId val="460142184"/>
        <c:axId val="460143752"/>
      </c:barChart>
      <c:catAx>
        <c:axId val="460142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3752"/>
        <c:crosses val="autoZero"/>
        <c:auto val="1"/>
        <c:lblAlgn val="ctr"/>
        <c:lblOffset val="100"/>
        <c:tickLblSkip val="1"/>
        <c:tickMarkSkip val="1"/>
        <c:noMultiLvlLbl val="0"/>
      </c:catAx>
      <c:valAx>
        <c:axId val="460143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2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1AD-4ACF-B3CF-E0548DCE6F4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1AD-4ACF-B3CF-E0548DCE6F41}"/>
            </c:ext>
          </c:extLst>
        </c:ser>
        <c:dLbls>
          <c:showLegendKey val="0"/>
          <c:showVal val="0"/>
          <c:showCatName val="0"/>
          <c:showSerName val="0"/>
          <c:showPercent val="0"/>
          <c:showBubbleSize val="0"/>
        </c:dLbls>
        <c:gapWidth val="150"/>
        <c:overlap val="100"/>
        <c:axId val="460145712"/>
        <c:axId val="460146888"/>
      </c:barChart>
      <c:catAx>
        <c:axId val="460145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6888"/>
        <c:crosses val="autoZero"/>
        <c:auto val="1"/>
        <c:lblAlgn val="ctr"/>
        <c:lblOffset val="100"/>
        <c:tickLblSkip val="1"/>
        <c:tickMarkSkip val="1"/>
        <c:noMultiLvlLbl val="0"/>
      </c:catAx>
      <c:valAx>
        <c:axId val="460146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5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C85-42E2-B0C8-41FFD1DE146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C85-42E2-B0C8-41FFD1DE1469}"/>
            </c:ext>
          </c:extLst>
        </c:ser>
        <c:dLbls>
          <c:showLegendKey val="0"/>
          <c:showVal val="0"/>
          <c:showCatName val="0"/>
          <c:showSerName val="0"/>
          <c:showPercent val="0"/>
          <c:showBubbleSize val="0"/>
        </c:dLbls>
        <c:gapWidth val="150"/>
        <c:overlap val="100"/>
        <c:axId val="460148848"/>
        <c:axId val="460149632"/>
      </c:barChart>
      <c:catAx>
        <c:axId val="460148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49632"/>
        <c:crosses val="autoZero"/>
        <c:auto val="1"/>
        <c:lblAlgn val="ctr"/>
        <c:lblOffset val="100"/>
        <c:tickLblSkip val="1"/>
        <c:tickMarkSkip val="1"/>
        <c:noMultiLvlLbl val="0"/>
      </c:catAx>
      <c:valAx>
        <c:axId val="460149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488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256-45BC-9A78-19316C15897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256-45BC-9A78-19316C158974}"/>
            </c:ext>
          </c:extLst>
        </c:ser>
        <c:dLbls>
          <c:showLegendKey val="0"/>
          <c:showVal val="0"/>
          <c:showCatName val="0"/>
          <c:showSerName val="0"/>
          <c:showPercent val="0"/>
          <c:showBubbleSize val="0"/>
        </c:dLbls>
        <c:gapWidth val="150"/>
        <c:overlap val="100"/>
        <c:axId val="460156296"/>
        <c:axId val="460166488"/>
      </c:barChart>
      <c:catAx>
        <c:axId val="4601562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6488"/>
        <c:crosses val="autoZero"/>
        <c:auto val="1"/>
        <c:lblAlgn val="ctr"/>
        <c:lblOffset val="100"/>
        <c:tickLblSkip val="1"/>
        <c:tickMarkSkip val="1"/>
        <c:noMultiLvlLbl val="0"/>
      </c:catAx>
      <c:valAx>
        <c:axId val="460166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62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31-479E-A76F-3BD92FE856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31-479E-A76F-3BD92FE85683}"/>
            </c:ext>
          </c:extLst>
        </c:ser>
        <c:dLbls>
          <c:showLegendKey val="0"/>
          <c:showVal val="0"/>
          <c:showCatName val="0"/>
          <c:showSerName val="0"/>
          <c:showPercent val="0"/>
          <c:showBubbleSize val="0"/>
        </c:dLbls>
        <c:gapWidth val="150"/>
        <c:overlap val="100"/>
        <c:axId val="460165704"/>
        <c:axId val="460166096"/>
      </c:barChart>
      <c:catAx>
        <c:axId val="460165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6096"/>
        <c:crosses val="autoZero"/>
        <c:auto val="1"/>
        <c:lblAlgn val="ctr"/>
        <c:lblOffset val="100"/>
        <c:tickLblSkip val="1"/>
        <c:tickMarkSkip val="1"/>
        <c:noMultiLvlLbl val="0"/>
      </c:catAx>
      <c:valAx>
        <c:axId val="460166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5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01-45AA-885D-7738B26F798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01-45AA-885D-7738B26F798A}"/>
            </c:ext>
          </c:extLst>
        </c:ser>
        <c:dLbls>
          <c:showLegendKey val="0"/>
          <c:showVal val="0"/>
          <c:showCatName val="0"/>
          <c:showSerName val="0"/>
          <c:showPercent val="0"/>
          <c:showBubbleSize val="0"/>
        </c:dLbls>
        <c:gapWidth val="150"/>
        <c:overlap val="100"/>
        <c:axId val="460154728"/>
        <c:axId val="460155120"/>
      </c:barChart>
      <c:catAx>
        <c:axId val="46015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5120"/>
        <c:crosses val="autoZero"/>
        <c:auto val="1"/>
        <c:lblAlgn val="ctr"/>
        <c:lblOffset val="100"/>
        <c:tickLblSkip val="1"/>
        <c:tickMarkSkip val="1"/>
        <c:noMultiLvlLbl val="0"/>
      </c:catAx>
      <c:valAx>
        <c:axId val="460155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6E-4E30-ADA4-5C030144CC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6E-4E30-ADA4-5C030144CCEC}"/>
            </c:ext>
          </c:extLst>
        </c:ser>
        <c:dLbls>
          <c:showLegendKey val="0"/>
          <c:showVal val="0"/>
          <c:showCatName val="0"/>
          <c:showSerName val="0"/>
          <c:showPercent val="0"/>
          <c:showBubbleSize val="0"/>
        </c:dLbls>
        <c:gapWidth val="150"/>
        <c:overlap val="100"/>
        <c:axId val="460161000"/>
        <c:axId val="460157080"/>
      </c:barChart>
      <c:catAx>
        <c:axId val="460161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57080"/>
        <c:crosses val="autoZero"/>
        <c:auto val="1"/>
        <c:lblAlgn val="ctr"/>
        <c:lblOffset val="100"/>
        <c:tickLblSkip val="1"/>
        <c:tickMarkSkip val="1"/>
        <c:noMultiLvlLbl val="0"/>
      </c:catAx>
      <c:valAx>
        <c:axId val="460157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10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D9-495D-8DA3-F94FCFA804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D9-495D-8DA3-F94FCFA8042F}"/>
            </c:ext>
          </c:extLst>
        </c:ser>
        <c:dLbls>
          <c:showLegendKey val="0"/>
          <c:showVal val="0"/>
          <c:showCatName val="0"/>
          <c:showSerName val="0"/>
          <c:showPercent val="0"/>
          <c:showBubbleSize val="0"/>
        </c:dLbls>
        <c:gapWidth val="150"/>
        <c:overlap val="100"/>
        <c:axId val="460159824"/>
        <c:axId val="460160216"/>
      </c:barChart>
      <c:catAx>
        <c:axId val="460159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0216"/>
        <c:crosses val="autoZero"/>
        <c:auto val="1"/>
        <c:lblAlgn val="ctr"/>
        <c:lblOffset val="100"/>
        <c:tickLblSkip val="1"/>
        <c:tickMarkSkip val="1"/>
        <c:noMultiLvlLbl val="0"/>
      </c:catAx>
      <c:valAx>
        <c:axId val="460160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598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4DF-4457-850F-50D86FF12BD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4DF-4457-850F-50D86FF12BDE}"/>
            </c:ext>
          </c:extLst>
        </c:ser>
        <c:dLbls>
          <c:showLegendKey val="0"/>
          <c:showVal val="0"/>
          <c:showCatName val="0"/>
          <c:showSerName val="0"/>
          <c:showPercent val="0"/>
          <c:showBubbleSize val="0"/>
        </c:dLbls>
        <c:gapWidth val="150"/>
        <c:overlap val="100"/>
        <c:axId val="460164528"/>
        <c:axId val="460162176"/>
      </c:barChart>
      <c:catAx>
        <c:axId val="460164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2176"/>
        <c:crosses val="autoZero"/>
        <c:auto val="1"/>
        <c:lblAlgn val="ctr"/>
        <c:lblOffset val="100"/>
        <c:tickLblSkip val="1"/>
        <c:tickMarkSkip val="1"/>
        <c:noMultiLvlLbl val="0"/>
      </c:catAx>
      <c:valAx>
        <c:axId val="460162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4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1C-44F2-B001-17FAF869E6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1C-44F2-B001-17FAF869E631}"/>
            </c:ext>
          </c:extLst>
        </c:ser>
        <c:dLbls>
          <c:showLegendKey val="0"/>
          <c:showVal val="0"/>
          <c:showCatName val="0"/>
          <c:showSerName val="0"/>
          <c:showPercent val="0"/>
          <c:showBubbleSize val="0"/>
        </c:dLbls>
        <c:gapWidth val="150"/>
        <c:overlap val="100"/>
        <c:axId val="460177856"/>
        <c:axId val="460169624"/>
      </c:barChart>
      <c:catAx>
        <c:axId val="460177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9624"/>
        <c:crosses val="autoZero"/>
        <c:auto val="1"/>
        <c:lblAlgn val="ctr"/>
        <c:lblOffset val="100"/>
        <c:tickLblSkip val="1"/>
        <c:tickMarkSkip val="1"/>
        <c:noMultiLvlLbl val="0"/>
      </c:catAx>
      <c:valAx>
        <c:axId val="46016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7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349-4456-893D-130C11A4D9D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349-4456-893D-130C11A4D9D1}"/>
            </c:ext>
          </c:extLst>
        </c:ser>
        <c:dLbls>
          <c:showLegendKey val="0"/>
          <c:showVal val="0"/>
          <c:showCatName val="0"/>
          <c:showSerName val="0"/>
          <c:showPercent val="0"/>
          <c:showBubbleSize val="0"/>
        </c:dLbls>
        <c:gapWidth val="150"/>
        <c:overlap val="100"/>
        <c:axId val="460174720"/>
        <c:axId val="460167272"/>
      </c:barChart>
      <c:catAx>
        <c:axId val="460174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67272"/>
        <c:crosses val="autoZero"/>
        <c:auto val="1"/>
        <c:lblAlgn val="ctr"/>
        <c:lblOffset val="100"/>
        <c:tickLblSkip val="1"/>
        <c:tickMarkSkip val="1"/>
        <c:noMultiLvlLbl val="0"/>
      </c:catAx>
      <c:valAx>
        <c:axId val="46016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4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94-4AC4-88FA-659433D8350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94-4AC4-88FA-659433D83507}"/>
            </c:ext>
          </c:extLst>
        </c:ser>
        <c:dLbls>
          <c:showLegendKey val="0"/>
          <c:showVal val="0"/>
          <c:showCatName val="0"/>
          <c:showSerName val="0"/>
          <c:showPercent val="0"/>
          <c:showBubbleSize val="0"/>
        </c:dLbls>
        <c:gapWidth val="150"/>
        <c:overlap val="100"/>
        <c:axId val="460175504"/>
        <c:axId val="460172368"/>
      </c:barChart>
      <c:catAx>
        <c:axId val="460175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2368"/>
        <c:crosses val="autoZero"/>
        <c:auto val="1"/>
        <c:lblAlgn val="ctr"/>
        <c:lblOffset val="100"/>
        <c:tickLblSkip val="1"/>
        <c:tickMarkSkip val="1"/>
        <c:noMultiLvlLbl val="0"/>
      </c:catAx>
      <c:valAx>
        <c:axId val="460172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5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F01-479A-8C62-F7115C2636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F01-479A-8C62-F7115C26362A}"/>
            </c:ext>
          </c:extLst>
        </c:ser>
        <c:dLbls>
          <c:showLegendKey val="0"/>
          <c:showVal val="0"/>
          <c:showCatName val="0"/>
          <c:showSerName val="0"/>
          <c:showPercent val="0"/>
          <c:showBubbleSize val="0"/>
        </c:dLbls>
        <c:gapWidth val="150"/>
        <c:overlap val="100"/>
        <c:axId val="460178248"/>
        <c:axId val="460170016"/>
      </c:barChart>
      <c:catAx>
        <c:axId val="4601782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0016"/>
        <c:crosses val="autoZero"/>
        <c:auto val="1"/>
        <c:lblAlgn val="ctr"/>
        <c:lblOffset val="100"/>
        <c:tickLblSkip val="1"/>
        <c:tickMarkSkip val="1"/>
        <c:noMultiLvlLbl val="0"/>
      </c:catAx>
      <c:valAx>
        <c:axId val="460170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82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AB3-4BDC-AB84-B03F63D759F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AB3-4BDC-AB84-B03F63D759F0}"/>
            </c:ext>
          </c:extLst>
        </c:ser>
        <c:dLbls>
          <c:showLegendKey val="0"/>
          <c:showVal val="0"/>
          <c:showCatName val="0"/>
          <c:showSerName val="0"/>
          <c:showPercent val="0"/>
          <c:showBubbleSize val="0"/>
        </c:dLbls>
        <c:gapWidth val="150"/>
        <c:overlap val="100"/>
        <c:axId val="460173544"/>
        <c:axId val="460170800"/>
      </c:barChart>
      <c:catAx>
        <c:axId val="460173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0800"/>
        <c:crosses val="autoZero"/>
        <c:auto val="1"/>
        <c:lblAlgn val="ctr"/>
        <c:lblOffset val="100"/>
        <c:tickLblSkip val="1"/>
        <c:tickMarkSkip val="1"/>
        <c:noMultiLvlLbl val="0"/>
      </c:catAx>
      <c:valAx>
        <c:axId val="460170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3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BE3-4E71-8026-D2801D1D8C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BE3-4E71-8026-D2801D1D8C3D}"/>
            </c:ext>
          </c:extLst>
        </c:ser>
        <c:dLbls>
          <c:showLegendKey val="0"/>
          <c:showVal val="0"/>
          <c:showCatName val="0"/>
          <c:showSerName val="0"/>
          <c:showPercent val="0"/>
          <c:showBubbleSize val="0"/>
        </c:dLbls>
        <c:gapWidth val="150"/>
        <c:overlap val="100"/>
        <c:axId val="460176288"/>
        <c:axId val="460173152"/>
      </c:barChart>
      <c:catAx>
        <c:axId val="460176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0173152"/>
        <c:crosses val="autoZero"/>
        <c:auto val="1"/>
        <c:lblAlgn val="ctr"/>
        <c:lblOffset val="100"/>
        <c:tickLblSkip val="1"/>
        <c:tickMarkSkip val="1"/>
        <c:noMultiLvlLbl val="0"/>
      </c:catAx>
      <c:valAx>
        <c:axId val="460173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76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298-449C-BB1C-097B4F65879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298-449C-BB1C-097B4F65879B}"/>
            </c:ext>
          </c:extLst>
        </c:ser>
        <c:dLbls>
          <c:showLegendKey val="0"/>
          <c:showVal val="0"/>
          <c:showCatName val="0"/>
          <c:showSerName val="0"/>
          <c:showPercent val="0"/>
          <c:showBubbleSize val="0"/>
        </c:dLbls>
        <c:gapWidth val="150"/>
        <c:overlap val="100"/>
        <c:axId val="460167664"/>
        <c:axId val="465459648"/>
      </c:barChart>
      <c:catAx>
        <c:axId val="460167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9648"/>
        <c:crosses val="autoZero"/>
        <c:auto val="1"/>
        <c:lblAlgn val="ctr"/>
        <c:lblOffset val="100"/>
        <c:tickLblSkip val="1"/>
        <c:tickMarkSkip val="1"/>
        <c:noMultiLvlLbl val="0"/>
      </c:catAx>
      <c:valAx>
        <c:axId val="4654596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01676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92-4942-BB7C-80D571603C2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92-4942-BB7C-80D571603C29}"/>
            </c:ext>
          </c:extLst>
        </c:ser>
        <c:dLbls>
          <c:showLegendKey val="0"/>
          <c:showVal val="0"/>
          <c:showCatName val="0"/>
          <c:showSerName val="0"/>
          <c:showPercent val="0"/>
          <c:showBubbleSize val="0"/>
        </c:dLbls>
        <c:gapWidth val="150"/>
        <c:overlap val="100"/>
        <c:axId val="465459256"/>
        <c:axId val="465462000"/>
      </c:barChart>
      <c:catAx>
        <c:axId val="465459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2000"/>
        <c:crosses val="autoZero"/>
        <c:auto val="1"/>
        <c:lblAlgn val="ctr"/>
        <c:lblOffset val="100"/>
        <c:tickLblSkip val="1"/>
        <c:tickMarkSkip val="1"/>
        <c:noMultiLvlLbl val="0"/>
      </c:catAx>
      <c:valAx>
        <c:axId val="4654620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9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6E-47FC-B998-D5AF7D85FE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6E-47FC-B998-D5AF7D85FE3B}"/>
            </c:ext>
          </c:extLst>
        </c:ser>
        <c:dLbls>
          <c:showLegendKey val="0"/>
          <c:showVal val="0"/>
          <c:showCatName val="0"/>
          <c:showSerName val="0"/>
          <c:showPercent val="0"/>
          <c:showBubbleSize val="0"/>
        </c:dLbls>
        <c:gapWidth val="150"/>
        <c:overlap val="100"/>
        <c:axId val="465461216"/>
        <c:axId val="465457688"/>
      </c:barChart>
      <c:catAx>
        <c:axId val="465461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7688"/>
        <c:crosses val="autoZero"/>
        <c:auto val="1"/>
        <c:lblAlgn val="ctr"/>
        <c:lblOffset val="100"/>
        <c:tickLblSkip val="1"/>
        <c:tickMarkSkip val="1"/>
        <c:noMultiLvlLbl val="0"/>
      </c:catAx>
      <c:valAx>
        <c:axId val="465457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1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97B-4FC6-8704-50BFB4B7BE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97B-4FC6-8704-50BFB4B7BEF9}"/>
            </c:ext>
          </c:extLst>
        </c:ser>
        <c:dLbls>
          <c:showLegendKey val="0"/>
          <c:showVal val="0"/>
          <c:showCatName val="0"/>
          <c:showSerName val="0"/>
          <c:showPercent val="0"/>
          <c:showBubbleSize val="0"/>
        </c:dLbls>
        <c:gapWidth val="150"/>
        <c:overlap val="100"/>
        <c:axId val="465456120"/>
        <c:axId val="465455336"/>
      </c:barChart>
      <c:catAx>
        <c:axId val="465456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5336"/>
        <c:crosses val="autoZero"/>
        <c:auto val="1"/>
        <c:lblAlgn val="ctr"/>
        <c:lblOffset val="100"/>
        <c:tickLblSkip val="1"/>
        <c:tickMarkSkip val="1"/>
        <c:noMultiLvlLbl val="0"/>
      </c:catAx>
      <c:valAx>
        <c:axId val="4654553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61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B-461D-9CB3-F647F4825D0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B-461D-9CB3-F647F4825D0F}"/>
            </c:ext>
          </c:extLst>
        </c:ser>
        <c:dLbls>
          <c:showLegendKey val="0"/>
          <c:showVal val="0"/>
          <c:showCatName val="0"/>
          <c:showSerName val="0"/>
          <c:showPercent val="0"/>
          <c:showBubbleSize val="0"/>
        </c:dLbls>
        <c:gapWidth val="150"/>
        <c:overlap val="100"/>
        <c:axId val="465451808"/>
        <c:axId val="465452200"/>
      </c:barChart>
      <c:catAx>
        <c:axId val="465451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2200"/>
        <c:crosses val="autoZero"/>
        <c:auto val="1"/>
        <c:lblAlgn val="ctr"/>
        <c:lblOffset val="100"/>
        <c:tickLblSkip val="1"/>
        <c:tickMarkSkip val="1"/>
        <c:noMultiLvlLbl val="0"/>
      </c:catAx>
      <c:valAx>
        <c:axId val="465452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1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11-4262-9219-97CFE6F4672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11-4262-9219-97CFE6F4672F}"/>
            </c:ext>
          </c:extLst>
        </c:ser>
        <c:dLbls>
          <c:showLegendKey val="0"/>
          <c:showVal val="0"/>
          <c:showCatName val="0"/>
          <c:showSerName val="0"/>
          <c:showPercent val="0"/>
          <c:showBubbleSize val="0"/>
        </c:dLbls>
        <c:gapWidth val="150"/>
        <c:overlap val="100"/>
        <c:axId val="465456904"/>
        <c:axId val="465453768"/>
      </c:barChart>
      <c:catAx>
        <c:axId val="465456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3768"/>
        <c:crosses val="autoZero"/>
        <c:auto val="1"/>
        <c:lblAlgn val="ctr"/>
        <c:lblOffset val="100"/>
        <c:tickLblSkip val="1"/>
        <c:tickMarkSkip val="1"/>
        <c:noMultiLvlLbl val="0"/>
      </c:catAx>
      <c:valAx>
        <c:axId val="465453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6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426-483E-8C47-508F76476C8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426-483E-8C47-508F76476C8F}"/>
            </c:ext>
          </c:extLst>
        </c:ser>
        <c:dLbls>
          <c:showLegendKey val="0"/>
          <c:showVal val="0"/>
          <c:showCatName val="0"/>
          <c:showSerName val="0"/>
          <c:showPercent val="0"/>
          <c:showBubbleSize val="0"/>
        </c:dLbls>
        <c:gapWidth val="150"/>
        <c:overlap val="100"/>
        <c:axId val="465458080"/>
        <c:axId val="465458472"/>
      </c:barChart>
      <c:catAx>
        <c:axId val="4654580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58472"/>
        <c:crosses val="autoZero"/>
        <c:auto val="1"/>
        <c:lblAlgn val="ctr"/>
        <c:lblOffset val="100"/>
        <c:tickLblSkip val="1"/>
        <c:tickMarkSkip val="1"/>
        <c:noMultiLvlLbl val="0"/>
      </c:catAx>
      <c:valAx>
        <c:axId val="465458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80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B2-4FD1-8180-3D552C3EC4F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B2-4FD1-8180-3D552C3EC4FB}"/>
            </c:ext>
          </c:extLst>
        </c:ser>
        <c:dLbls>
          <c:showLegendKey val="0"/>
          <c:showVal val="0"/>
          <c:showCatName val="0"/>
          <c:showSerName val="0"/>
          <c:showPercent val="0"/>
          <c:showBubbleSize val="0"/>
        </c:dLbls>
        <c:gapWidth val="150"/>
        <c:overlap val="100"/>
        <c:axId val="465467096"/>
        <c:axId val="465471016"/>
      </c:barChart>
      <c:catAx>
        <c:axId val="465467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1016"/>
        <c:crosses val="autoZero"/>
        <c:auto val="1"/>
        <c:lblAlgn val="ctr"/>
        <c:lblOffset val="100"/>
        <c:tickLblSkip val="1"/>
        <c:tickMarkSkip val="1"/>
        <c:noMultiLvlLbl val="0"/>
      </c:catAx>
      <c:valAx>
        <c:axId val="465471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7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1B-44AB-8891-25EB8E90D7B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1B-44AB-8891-25EB8E90D7B1}"/>
            </c:ext>
          </c:extLst>
        </c:ser>
        <c:dLbls>
          <c:showLegendKey val="0"/>
          <c:showVal val="0"/>
          <c:showCatName val="0"/>
          <c:showSerName val="0"/>
          <c:showPercent val="0"/>
          <c:showBubbleSize val="0"/>
        </c:dLbls>
        <c:gapWidth val="150"/>
        <c:overlap val="100"/>
        <c:axId val="465471408"/>
        <c:axId val="465471800"/>
      </c:barChart>
      <c:catAx>
        <c:axId val="4654714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1800"/>
        <c:crosses val="autoZero"/>
        <c:auto val="1"/>
        <c:lblAlgn val="ctr"/>
        <c:lblOffset val="100"/>
        <c:tickLblSkip val="1"/>
        <c:tickMarkSkip val="1"/>
        <c:noMultiLvlLbl val="0"/>
      </c:catAx>
      <c:valAx>
        <c:axId val="4654718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14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638-4BC1-ADF9-A5368A1AB1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638-4BC1-ADF9-A5368A1AB160}"/>
            </c:ext>
          </c:extLst>
        </c:ser>
        <c:dLbls>
          <c:showLegendKey val="0"/>
          <c:showVal val="0"/>
          <c:showCatName val="0"/>
          <c:showSerName val="0"/>
          <c:showPercent val="0"/>
          <c:showBubbleSize val="0"/>
        </c:dLbls>
        <c:gapWidth val="150"/>
        <c:overlap val="100"/>
        <c:axId val="465470232"/>
        <c:axId val="465466704"/>
      </c:barChart>
      <c:catAx>
        <c:axId val="465470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6704"/>
        <c:crosses val="autoZero"/>
        <c:auto val="1"/>
        <c:lblAlgn val="ctr"/>
        <c:lblOffset val="100"/>
        <c:tickLblSkip val="1"/>
        <c:tickMarkSkip val="1"/>
        <c:noMultiLvlLbl val="0"/>
      </c:catAx>
      <c:valAx>
        <c:axId val="465466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0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A8-4950-A3AE-56420114FA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A8-4950-A3AE-56420114FAEB}"/>
            </c:ext>
          </c:extLst>
        </c:ser>
        <c:dLbls>
          <c:showLegendKey val="0"/>
          <c:showVal val="0"/>
          <c:showCatName val="0"/>
          <c:showSerName val="0"/>
          <c:showPercent val="0"/>
          <c:showBubbleSize val="0"/>
        </c:dLbls>
        <c:gapWidth val="150"/>
        <c:overlap val="100"/>
        <c:axId val="465465920"/>
        <c:axId val="465474936"/>
      </c:barChart>
      <c:catAx>
        <c:axId val="465465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4936"/>
        <c:crosses val="autoZero"/>
        <c:auto val="1"/>
        <c:lblAlgn val="ctr"/>
        <c:lblOffset val="100"/>
        <c:tickLblSkip val="1"/>
        <c:tickMarkSkip val="1"/>
        <c:noMultiLvlLbl val="0"/>
      </c:catAx>
      <c:valAx>
        <c:axId val="465474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59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4-47DC-A54F-4113EFCDDBB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4-47DC-A54F-4113EFCDDBB4}"/>
            </c:ext>
          </c:extLst>
        </c:ser>
        <c:dLbls>
          <c:showLegendKey val="0"/>
          <c:showVal val="0"/>
          <c:showCatName val="0"/>
          <c:showSerName val="0"/>
          <c:showPercent val="0"/>
          <c:showBubbleSize val="0"/>
        </c:dLbls>
        <c:gapWidth val="150"/>
        <c:overlap val="100"/>
        <c:axId val="465470624"/>
        <c:axId val="465474152"/>
      </c:barChart>
      <c:catAx>
        <c:axId val="465470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4152"/>
        <c:crosses val="autoZero"/>
        <c:auto val="1"/>
        <c:lblAlgn val="ctr"/>
        <c:lblOffset val="100"/>
        <c:tickLblSkip val="1"/>
        <c:tickMarkSkip val="1"/>
        <c:noMultiLvlLbl val="0"/>
      </c:catAx>
      <c:valAx>
        <c:axId val="465474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70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DD0-4282-8818-4F77895FED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DD0-4282-8818-4F77895FEDE2}"/>
            </c:ext>
          </c:extLst>
        </c:ser>
        <c:dLbls>
          <c:showLegendKey val="0"/>
          <c:showVal val="0"/>
          <c:showCatName val="0"/>
          <c:showSerName val="0"/>
          <c:showPercent val="0"/>
          <c:showBubbleSize val="0"/>
        </c:dLbls>
        <c:gapWidth val="150"/>
        <c:overlap val="100"/>
        <c:axId val="465464352"/>
        <c:axId val="465465136"/>
      </c:barChart>
      <c:catAx>
        <c:axId val="465464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65136"/>
        <c:crosses val="autoZero"/>
        <c:auto val="1"/>
        <c:lblAlgn val="ctr"/>
        <c:lblOffset val="100"/>
        <c:tickLblSkip val="1"/>
        <c:tickMarkSkip val="1"/>
        <c:noMultiLvlLbl val="0"/>
      </c:catAx>
      <c:valAx>
        <c:axId val="465465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64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094-4BA8-BFD9-D0834C1A40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094-4BA8-BFD9-D0834C1A4062}"/>
            </c:ext>
          </c:extLst>
        </c:ser>
        <c:dLbls>
          <c:showLegendKey val="0"/>
          <c:showVal val="0"/>
          <c:showCatName val="0"/>
          <c:showSerName val="0"/>
          <c:showPercent val="0"/>
          <c:showBubbleSize val="0"/>
        </c:dLbls>
        <c:gapWidth val="150"/>
        <c:overlap val="100"/>
        <c:axId val="465485128"/>
        <c:axId val="465485520"/>
      </c:barChart>
      <c:catAx>
        <c:axId val="465485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5520"/>
        <c:crosses val="autoZero"/>
        <c:auto val="1"/>
        <c:lblAlgn val="ctr"/>
        <c:lblOffset val="100"/>
        <c:tickLblSkip val="1"/>
        <c:tickMarkSkip val="1"/>
        <c:noMultiLvlLbl val="0"/>
      </c:catAx>
      <c:valAx>
        <c:axId val="465485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5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A1-48A3-B23C-5834D1AA0FA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A1-48A3-B23C-5834D1AA0FA0}"/>
            </c:ext>
          </c:extLst>
        </c:ser>
        <c:dLbls>
          <c:showLegendKey val="0"/>
          <c:showVal val="0"/>
          <c:showCatName val="0"/>
          <c:showSerName val="0"/>
          <c:showPercent val="0"/>
          <c:showBubbleSize val="0"/>
        </c:dLbls>
        <c:gapWidth val="150"/>
        <c:overlap val="100"/>
        <c:axId val="465480032"/>
        <c:axId val="465478856"/>
      </c:barChart>
      <c:catAx>
        <c:axId val="465480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8856"/>
        <c:crosses val="autoZero"/>
        <c:auto val="1"/>
        <c:lblAlgn val="ctr"/>
        <c:lblOffset val="100"/>
        <c:tickLblSkip val="1"/>
        <c:tickMarkSkip val="1"/>
        <c:noMultiLvlLbl val="0"/>
      </c:catAx>
      <c:valAx>
        <c:axId val="465478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0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861-406A-B080-A69E4D35585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861-406A-B080-A69E4D355859}"/>
            </c:ext>
          </c:extLst>
        </c:ser>
        <c:dLbls>
          <c:showLegendKey val="0"/>
          <c:showVal val="0"/>
          <c:showCatName val="0"/>
          <c:showSerName val="0"/>
          <c:showPercent val="0"/>
          <c:showBubbleSize val="0"/>
        </c:dLbls>
        <c:gapWidth val="150"/>
        <c:overlap val="100"/>
        <c:axId val="465487480"/>
        <c:axId val="465486304"/>
      </c:barChart>
      <c:catAx>
        <c:axId val="4654874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6304"/>
        <c:crosses val="autoZero"/>
        <c:auto val="1"/>
        <c:lblAlgn val="ctr"/>
        <c:lblOffset val="100"/>
        <c:tickLblSkip val="1"/>
        <c:tickMarkSkip val="1"/>
        <c:noMultiLvlLbl val="0"/>
      </c:catAx>
      <c:valAx>
        <c:axId val="465486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74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33D-4ADE-BF3F-6F6CC649D5F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33D-4ADE-BF3F-6F6CC649D5F2}"/>
            </c:ext>
          </c:extLst>
        </c:ser>
        <c:dLbls>
          <c:showLegendKey val="0"/>
          <c:showVal val="0"/>
          <c:showCatName val="0"/>
          <c:showSerName val="0"/>
          <c:showPercent val="0"/>
          <c:showBubbleSize val="0"/>
        </c:dLbls>
        <c:gapWidth val="150"/>
        <c:overlap val="100"/>
        <c:axId val="465486696"/>
        <c:axId val="465477288"/>
      </c:barChart>
      <c:catAx>
        <c:axId val="4654866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77288"/>
        <c:crosses val="autoZero"/>
        <c:auto val="1"/>
        <c:lblAlgn val="ctr"/>
        <c:lblOffset val="100"/>
        <c:tickLblSkip val="1"/>
        <c:tickMarkSkip val="1"/>
        <c:noMultiLvlLbl val="0"/>
      </c:catAx>
      <c:valAx>
        <c:axId val="465477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66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856-4EB6-A72C-9077A77034F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856-4EB6-A72C-9077A77034FF}"/>
            </c:ext>
          </c:extLst>
        </c:ser>
        <c:dLbls>
          <c:showLegendKey val="0"/>
          <c:showVal val="0"/>
          <c:showCatName val="0"/>
          <c:showSerName val="0"/>
          <c:showPercent val="0"/>
          <c:showBubbleSize val="0"/>
        </c:dLbls>
        <c:gapWidth val="150"/>
        <c:overlap val="100"/>
        <c:axId val="465484344"/>
        <c:axId val="465488656"/>
      </c:barChart>
      <c:catAx>
        <c:axId val="465484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8656"/>
        <c:crosses val="autoZero"/>
        <c:auto val="1"/>
        <c:lblAlgn val="ctr"/>
        <c:lblOffset val="100"/>
        <c:tickLblSkip val="1"/>
        <c:tickMarkSkip val="1"/>
        <c:noMultiLvlLbl val="0"/>
      </c:catAx>
      <c:valAx>
        <c:axId val="465488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43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2E2-4481-BFE0-8EB8843857A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2E2-4481-BFE0-8EB8843857A2}"/>
            </c:ext>
          </c:extLst>
        </c:ser>
        <c:dLbls>
          <c:showLegendKey val="0"/>
          <c:showVal val="0"/>
          <c:showCatName val="0"/>
          <c:showSerName val="0"/>
          <c:showPercent val="0"/>
          <c:showBubbleSize val="0"/>
        </c:dLbls>
        <c:gapWidth val="150"/>
        <c:overlap val="100"/>
        <c:axId val="465480424"/>
        <c:axId val="465480816"/>
      </c:barChart>
      <c:catAx>
        <c:axId val="465480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0816"/>
        <c:crosses val="autoZero"/>
        <c:auto val="1"/>
        <c:lblAlgn val="ctr"/>
        <c:lblOffset val="100"/>
        <c:tickLblSkip val="1"/>
        <c:tickMarkSkip val="1"/>
        <c:noMultiLvlLbl val="0"/>
      </c:catAx>
      <c:valAx>
        <c:axId val="4654808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0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66-4D5C-B60A-E40CAD191CD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66-4D5C-B60A-E40CAD191CDB}"/>
            </c:ext>
          </c:extLst>
        </c:ser>
        <c:dLbls>
          <c:showLegendKey val="0"/>
          <c:showVal val="0"/>
          <c:showCatName val="0"/>
          <c:showSerName val="0"/>
          <c:showPercent val="0"/>
          <c:showBubbleSize val="0"/>
        </c:dLbls>
        <c:gapWidth val="150"/>
        <c:overlap val="100"/>
        <c:axId val="465483952"/>
        <c:axId val="465484736"/>
      </c:barChart>
      <c:catAx>
        <c:axId val="465483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84736"/>
        <c:crosses val="autoZero"/>
        <c:auto val="1"/>
        <c:lblAlgn val="ctr"/>
        <c:lblOffset val="100"/>
        <c:tickLblSkip val="1"/>
        <c:tickMarkSkip val="1"/>
        <c:noMultiLvlLbl val="0"/>
      </c:catAx>
      <c:valAx>
        <c:axId val="465484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3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7F-40B7-A0F1-AF19DF01112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7F-40B7-A0F1-AF19DF01112E}"/>
            </c:ext>
          </c:extLst>
        </c:ser>
        <c:dLbls>
          <c:showLegendKey val="0"/>
          <c:showVal val="0"/>
          <c:showCatName val="0"/>
          <c:showSerName val="0"/>
          <c:showPercent val="0"/>
          <c:showBubbleSize val="0"/>
        </c:dLbls>
        <c:gapWidth val="150"/>
        <c:overlap val="100"/>
        <c:axId val="465498064"/>
        <c:axId val="465500024"/>
      </c:barChart>
      <c:catAx>
        <c:axId val="465498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0024"/>
        <c:crosses val="autoZero"/>
        <c:auto val="1"/>
        <c:lblAlgn val="ctr"/>
        <c:lblOffset val="100"/>
        <c:tickLblSkip val="1"/>
        <c:tickMarkSkip val="1"/>
        <c:noMultiLvlLbl val="0"/>
      </c:catAx>
      <c:valAx>
        <c:axId val="4655000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8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C52-468F-94CD-8DB5F11560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C52-468F-94CD-8DB5F115601E}"/>
            </c:ext>
          </c:extLst>
        </c:ser>
        <c:dLbls>
          <c:showLegendKey val="0"/>
          <c:showVal val="0"/>
          <c:showCatName val="0"/>
          <c:showSerName val="0"/>
          <c:showPercent val="0"/>
          <c:showBubbleSize val="0"/>
        </c:dLbls>
        <c:gapWidth val="150"/>
        <c:overlap val="100"/>
        <c:axId val="465494536"/>
        <c:axId val="465500416"/>
      </c:barChart>
      <c:catAx>
        <c:axId val="465494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0416"/>
        <c:crosses val="autoZero"/>
        <c:auto val="1"/>
        <c:lblAlgn val="ctr"/>
        <c:lblOffset val="100"/>
        <c:tickLblSkip val="1"/>
        <c:tickMarkSkip val="1"/>
        <c:noMultiLvlLbl val="0"/>
      </c:catAx>
      <c:valAx>
        <c:axId val="465500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4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DC-48D5-A54B-CD67E79CEB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DC-48D5-A54B-CD67E79CEB47}"/>
            </c:ext>
          </c:extLst>
        </c:ser>
        <c:dLbls>
          <c:showLegendKey val="0"/>
          <c:showVal val="0"/>
          <c:showCatName val="0"/>
          <c:showSerName val="0"/>
          <c:showPercent val="0"/>
          <c:showBubbleSize val="0"/>
        </c:dLbls>
        <c:gapWidth val="150"/>
        <c:overlap val="100"/>
        <c:axId val="465489440"/>
        <c:axId val="465496496"/>
      </c:barChart>
      <c:catAx>
        <c:axId val="465489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6496"/>
        <c:crosses val="autoZero"/>
        <c:auto val="1"/>
        <c:lblAlgn val="ctr"/>
        <c:lblOffset val="100"/>
        <c:tickLblSkip val="1"/>
        <c:tickMarkSkip val="1"/>
        <c:noMultiLvlLbl val="0"/>
      </c:catAx>
      <c:valAx>
        <c:axId val="465496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94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C37-4A8F-863C-702227C5E4F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C37-4A8F-863C-702227C5E4F8}"/>
            </c:ext>
          </c:extLst>
        </c:ser>
        <c:dLbls>
          <c:showLegendKey val="0"/>
          <c:showVal val="0"/>
          <c:showCatName val="0"/>
          <c:showSerName val="0"/>
          <c:showPercent val="0"/>
          <c:showBubbleSize val="0"/>
        </c:dLbls>
        <c:gapWidth val="150"/>
        <c:overlap val="100"/>
        <c:axId val="465493360"/>
        <c:axId val="465490616"/>
      </c:barChart>
      <c:catAx>
        <c:axId val="465493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0616"/>
        <c:crosses val="autoZero"/>
        <c:auto val="1"/>
        <c:lblAlgn val="ctr"/>
        <c:lblOffset val="100"/>
        <c:tickLblSkip val="1"/>
        <c:tickMarkSkip val="1"/>
        <c:noMultiLvlLbl val="0"/>
      </c:catAx>
      <c:valAx>
        <c:axId val="465490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336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29-44ED-AA4E-D0070E1E6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29-44ED-AA4E-D0070E1E6A43}"/>
            </c:ext>
          </c:extLst>
        </c:ser>
        <c:dLbls>
          <c:showLegendKey val="0"/>
          <c:showVal val="0"/>
          <c:showCatName val="0"/>
          <c:showSerName val="0"/>
          <c:showPercent val="0"/>
          <c:showBubbleSize val="0"/>
        </c:dLbls>
        <c:gapWidth val="150"/>
        <c:overlap val="100"/>
        <c:axId val="465489832"/>
        <c:axId val="465492576"/>
      </c:barChart>
      <c:catAx>
        <c:axId val="465489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2576"/>
        <c:crosses val="autoZero"/>
        <c:auto val="1"/>
        <c:lblAlgn val="ctr"/>
        <c:lblOffset val="100"/>
        <c:tickLblSkip val="1"/>
        <c:tickMarkSkip val="1"/>
        <c:noMultiLvlLbl val="0"/>
      </c:catAx>
      <c:valAx>
        <c:axId val="4654925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89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53-4C34-B00D-1B55E66D668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53-4C34-B00D-1B55E66D6682}"/>
            </c:ext>
          </c:extLst>
        </c:ser>
        <c:dLbls>
          <c:showLegendKey val="0"/>
          <c:showVal val="0"/>
          <c:showCatName val="0"/>
          <c:showSerName val="0"/>
          <c:showPercent val="0"/>
          <c:showBubbleSize val="0"/>
        </c:dLbls>
        <c:gapWidth val="150"/>
        <c:overlap val="100"/>
        <c:axId val="465498456"/>
        <c:axId val="465495712"/>
      </c:barChart>
      <c:catAx>
        <c:axId val="465498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95712"/>
        <c:crosses val="autoZero"/>
        <c:auto val="1"/>
        <c:lblAlgn val="ctr"/>
        <c:lblOffset val="100"/>
        <c:tickLblSkip val="1"/>
        <c:tickMarkSkip val="1"/>
        <c:noMultiLvlLbl val="0"/>
      </c:catAx>
      <c:valAx>
        <c:axId val="465495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98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8CC-4F3E-850E-AE49753E545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8CC-4F3E-850E-AE49753E5458}"/>
            </c:ext>
          </c:extLst>
        </c:ser>
        <c:dLbls>
          <c:showLegendKey val="0"/>
          <c:showVal val="0"/>
          <c:showCatName val="0"/>
          <c:showSerName val="0"/>
          <c:showPercent val="0"/>
          <c:showBubbleSize val="0"/>
        </c:dLbls>
        <c:gapWidth val="150"/>
        <c:overlap val="100"/>
        <c:axId val="465513744"/>
        <c:axId val="465506688"/>
      </c:barChart>
      <c:catAx>
        <c:axId val="465513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6688"/>
        <c:crosses val="autoZero"/>
        <c:auto val="1"/>
        <c:lblAlgn val="ctr"/>
        <c:lblOffset val="100"/>
        <c:tickLblSkip val="1"/>
        <c:tickMarkSkip val="1"/>
        <c:noMultiLvlLbl val="0"/>
      </c:catAx>
      <c:valAx>
        <c:axId val="465506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3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C5C-4833-A67B-8E852D193E4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C5C-4833-A67B-8E852D193E4C}"/>
            </c:ext>
          </c:extLst>
        </c:ser>
        <c:dLbls>
          <c:showLegendKey val="0"/>
          <c:showVal val="0"/>
          <c:showCatName val="0"/>
          <c:showSerName val="0"/>
          <c:showPercent val="0"/>
          <c:showBubbleSize val="0"/>
        </c:dLbls>
        <c:gapWidth val="150"/>
        <c:overlap val="100"/>
        <c:axId val="465507472"/>
        <c:axId val="465505904"/>
      </c:barChart>
      <c:catAx>
        <c:axId val="4655074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5904"/>
        <c:crosses val="autoZero"/>
        <c:auto val="1"/>
        <c:lblAlgn val="ctr"/>
        <c:lblOffset val="100"/>
        <c:tickLblSkip val="1"/>
        <c:tickMarkSkip val="1"/>
        <c:noMultiLvlLbl val="0"/>
      </c:catAx>
      <c:valAx>
        <c:axId val="465505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74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60-4A71-9CB7-475A07BEB3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60-4A71-9CB7-475A07BEB34A}"/>
            </c:ext>
          </c:extLst>
        </c:ser>
        <c:dLbls>
          <c:showLegendKey val="0"/>
          <c:showVal val="0"/>
          <c:showCatName val="0"/>
          <c:showSerName val="0"/>
          <c:showPercent val="0"/>
          <c:showBubbleSize val="0"/>
        </c:dLbls>
        <c:gapWidth val="150"/>
        <c:overlap val="100"/>
        <c:axId val="465509432"/>
        <c:axId val="465511392"/>
      </c:barChart>
      <c:catAx>
        <c:axId val="465509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1392"/>
        <c:crosses val="autoZero"/>
        <c:auto val="1"/>
        <c:lblAlgn val="ctr"/>
        <c:lblOffset val="100"/>
        <c:tickLblSkip val="1"/>
        <c:tickMarkSkip val="1"/>
        <c:noMultiLvlLbl val="0"/>
      </c:catAx>
      <c:valAx>
        <c:axId val="465511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9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6F1-468C-821B-F9E0D5199A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6F1-468C-821B-F9E0D5199A88}"/>
            </c:ext>
          </c:extLst>
        </c:ser>
        <c:dLbls>
          <c:showLegendKey val="0"/>
          <c:showVal val="0"/>
          <c:showCatName val="0"/>
          <c:showSerName val="0"/>
          <c:showPercent val="0"/>
          <c:showBubbleSize val="0"/>
        </c:dLbls>
        <c:gapWidth val="150"/>
        <c:overlap val="100"/>
        <c:axId val="465511784"/>
        <c:axId val="465502376"/>
      </c:barChart>
      <c:catAx>
        <c:axId val="465511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2376"/>
        <c:crosses val="autoZero"/>
        <c:auto val="1"/>
        <c:lblAlgn val="ctr"/>
        <c:lblOffset val="100"/>
        <c:tickLblSkip val="1"/>
        <c:tickMarkSkip val="1"/>
        <c:noMultiLvlLbl val="0"/>
      </c:catAx>
      <c:valAx>
        <c:axId val="4655023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17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F6-4739-B38F-AA66B19559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F6-4739-B38F-AA66B19559F3}"/>
            </c:ext>
          </c:extLst>
        </c:ser>
        <c:dLbls>
          <c:showLegendKey val="0"/>
          <c:showVal val="0"/>
          <c:showCatName val="0"/>
          <c:showSerName val="0"/>
          <c:showPercent val="0"/>
          <c:showBubbleSize val="0"/>
        </c:dLbls>
        <c:gapWidth val="150"/>
        <c:overlap val="100"/>
        <c:axId val="465501984"/>
        <c:axId val="465512960"/>
      </c:barChart>
      <c:catAx>
        <c:axId val="465501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2960"/>
        <c:crosses val="autoZero"/>
        <c:auto val="1"/>
        <c:lblAlgn val="ctr"/>
        <c:lblOffset val="100"/>
        <c:tickLblSkip val="1"/>
        <c:tickMarkSkip val="1"/>
        <c:noMultiLvlLbl val="0"/>
      </c:catAx>
      <c:valAx>
        <c:axId val="465512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1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1C-4828-BC84-926C1B1EE2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1C-4828-BC84-926C1B1EE204}"/>
            </c:ext>
          </c:extLst>
        </c:ser>
        <c:dLbls>
          <c:showLegendKey val="0"/>
          <c:showVal val="0"/>
          <c:showCatName val="0"/>
          <c:showSerName val="0"/>
          <c:showPercent val="0"/>
          <c:showBubbleSize val="0"/>
        </c:dLbls>
        <c:gapWidth val="150"/>
        <c:overlap val="100"/>
        <c:axId val="465503160"/>
        <c:axId val="465503552"/>
      </c:barChart>
      <c:catAx>
        <c:axId val="4655031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03552"/>
        <c:crosses val="autoZero"/>
        <c:auto val="1"/>
        <c:lblAlgn val="ctr"/>
        <c:lblOffset val="100"/>
        <c:tickLblSkip val="1"/>
        <c:tickMarkSkip val="1"/>
        <c:noMultiLvlLbl val="0"/>
      </c:catAx>
      <c:valAx>
        <c:axId val="465503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31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8A3-46C7-A392-C5DF59FFA3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8A3-46C7-A392-C5DF59FFA3E7}"/>
            </c:ext>
          </c:extLst>
        </c:ser>
        <c:dLbls>
          <c:showLegendKey val="0"/>
          <c:showVal val="0"/>
          <c:showCatName val="0"/>
          <c:showSerName val="0"/>
          <c:showPercent val="0"/>
          <c:showBubbleSize val="0"/>
        </c:dLbls>
        <c:gapWidth val="150"/>
        <c:overlap val="100"/>
        <c:axId val="465504728"/>
        <c:axId val="465524720"/>
      </c:barChart>
      <c:catAx>
        <c:axId val="465504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4720"/>
        <c:crosses val="autoZero"/>
        <c:auto val="1"/>
        <c:lblAlgn val="ctr"/>
        <c:lblOffset val="100"/>
        <c:tickLblSkip val="1"/>
        <c:tickMarkSkip val="1"/>
        <c:noMultiLvlLbl val="0"/>
      </c:catAx>
      <c:valAx>
        <c:axId val="465524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04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51D-4DAA-8546-3B3AC96B9F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51D-4DAA-8546-3B3AC96B9FA9}"/>
            </c:ext>
          </c:extLst>
        </c:ser>
        <c:dLbls>
          <c:showLegendKey val="0"/>
          <c:showVal val="0"/>
          <c:showCatName val="0"/>
          <c:showSerName val="0"/>
          <c:showPercent val="0"/>
          <c:showBubbleSize val="0"/>
        </c:dLbls>
        <c:gapWidth val="150"/>
        <c:overlap val="100"/>
        <c:axId val="465516096"/>
        <c:axId val="465514920"/>
      </c:barChart>
      <c:catAx>
        <c:axId val="465516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4920"/>
        <c:crosses val="autoZero"/>
        <c:auto val="1"/>
        <c:lblAlgn val="ctr"/>
        <c:lblOffset val="100"/>
        <c:tickLblSkip val="1"/>
        <c:tickMarkSkip val="1"/>
        <c:noMultiLvlLbl val="0"/>
      </c:catAx>
      <c:valAx>
        <c:axId val="465514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6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71C-4AD6-BE4F-BF45A4D3A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71C-4AD6-BE4F-BF45A4D3A848}"/>
            </c:ext>
          </c:extLst>
        </c:ser>
        <c:dLbls>
          <c:showLegendKey val="0"/>
          <c:showVal val="0"/>
          <c:showCatName val="0"/>
          <c:showSerName val="0"/>
          <c:showPercent val="0"/>
          <c:showBubbleSize val="0"/>
        </c:dLbls>
        <c:gapWidth val="150"/>
        <c:overlap val="100"/>
        <c:axId val="465524328"/>
        <c:axId val="465525504"/>
      </c:barChart>
      <c:catAx>
        <c:axId val="465524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5504"/>
        <c:crosses val="autoZero"/>
        <c:auto val="1"/>
        <c:lblAlgn val="ctr"/>
        <c:lblOffset val="100"/>
        <c:tickLblSkip val="1"/>
        <c:tickMarkSkip val="1"/>
        <c:noMultiLvlLbl val="0"/>
      </c:catAx>
      <c:valAx>
        <c:axId val="465525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4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D91-4AF3-AEE1-00E45327E83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D91-4AF3-AEE1-00E45327E836}"/>
            </c:ext>
          </c:extLst>
        </c:ser>
        <c:dLbls>
          <c:showLegendKey val="0"/>
          <c:showVal val="0"/>
          <c:showCatName val="0"/>
          <c:showSerName val="0"/>
          <c:showPercent val="0"/>
          <c:showBubbleSize val="0"/>
        </c:dLbls>
        <c:gapWidth val="150"/>
        <c:overlap val="100"/>
        <c:axId val="465523936"/>
        <c:axId val="465519624"/>
      </c:barChart>
      <c:catAx>
        <c:axId val="4655239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9624"/>
        <c:crosses val="autoZero"/>
        <c:auto val="1"/>
        <c:lblAlgn val="ctr"/>
        <c:lblOffset val="100"/>
        <c:tickLblSkip val="1"/>
        <c:tickMarkSkip val="1"/>
        <c:noMultiLvlLbl val="0"/>
      </c:catAx>
      <c:valAx>
        <c:axId val="4655196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39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6E-44C7-85CE-FD02717C39A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6E-44C7-85CE-FD02717C39A3}"/>
            </c:ext>
          </c:extLst>
        </c:ser>
        <c:dLbls>
          <c:showLegendKey val="0"/>
          <c:showVal val="0"/>
          <c:showCatName val="0"/>
          <c:showSerName val="0"/>
          <c:showPercent val="0"/>
          <c:showBubbleSize val="0"/>
        </c:dLbls>
        <c:gapWidth val="150"/>
        <c:overlap val="100"/>
        <c:axId val="465525112"/>
        <c:axId val="465517272"/>
      </c:barChart>
      <c:catAx>
        <c:axId val="4655251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17272"/>
        <c:crosses val="autoZero"/>
        <c:auto val="1"/>
        <c:lblAlgn val="ctr"/>
        <c:lblOffset val="100"/>
        <c:tickLblSkip val="1"/>
        <c:tickMarkSkip val="1"/>
        <c:noMultiLvlLbl val="0"/>
      </c:catAx>
      <c:valAx>
        <c:axId val="465517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51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9-456F-99F2-58BA0E8EE38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9-456F-99F2-58BA0E8EE38D}"/>
            </c:ext>
          </c:extLst>
        </c:ser>
        <c:dLbls>
          <c:showLegendKey val="0"/>
          <c:showVal val="0"/>
          <c:showCatName val="0"/>
          <c:showSerName val="0"/>
          <c:showPercent val="0"/>
          <c:showBubbleSize val="0"/>
        </c:dLbls>
        <c:gapWidth val="150"/>
        <c:overlap val="100"/>
        <c:axId val="465515312"/>
        <c:axId val="465526288"/>
      </c:barChart>
      <c:catAx>
        <c:axId val="465515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6288"/>
        <c:crosses val="autoZero"/>
        <c:auto val="1"/>
        <c:lblAlgn val="ctr"/>
        <c:lblOffset val="100"/>
        <c:tickLblSkip val="1"/>
        <c:tickMarkSkip val="1"/>
        <c:noMultiLvlLbl val="0"/>
      </c:catAx>
      <c:valAx>
        <c:axId val="465526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15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44" r="0.75000000000000344" t="0.98425196899999956" header="0.5" footer="0.5"/>
    <c:pageSetup orientation="portrait"/>
  </c:printSettings>
</c:chartSpace>
</file>

<file path=xl/charts/chart5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A5E-499F-8D31-DB0C1FA4B98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A5E-499F-8D31-DB0C1FA4B981}"/>
            </c:ext>
          </c:extLst>
        </c:ser>
        <c:dLbls>
          <c:showLegendKey val="0"/>
          <c:showVal val="0"/>
          <c:showCatName val="0"/>
          <c:showSerName val="0"/>
          <c:showPercent val="0"/>
          <c:showBubbleSize val="0"/>
        </c:dLbls>
        <c:smooth val="0"/>
        <c:axId val="465522368"/>
        <c:axId val="465523152"/>
      </c:lineChart>
      <c:catAx>
        <c:axId val="465522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3152"/>
        <c:crosses val="autoZero"/>
        <c:auto val="1"/>
        <c:lblAlgn val="ctr"/>
        <c:lblOffset val="100"/>
        <c:tickLblSkip val="1"/>
        <c:tickMarkSkip val="1"/>
        <c:noMultiLvlLbl val="0"/>
      </c:catAx>
      <c:valAx>
        <c:axId val="465523152"/>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2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9D-4CB4-A368-C29C62B00EF6}"/>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9D-4CB4-A368-C29C62B00EF6}"/>
            </c:ext>
          </c:extLst>
        </c:ser>
        <c:dLbls>
          <c:showLegendKey val="0"/>
          <c:showVal val="0"/>
          <c:showCatName val="0"/>
          <c:showSerName val="0"/>
          <c:showPercent val="0"/>
          <c:showBubbleSize val="0"/>
        </c:dLbls>
        <c:smooth val="0"/>
        <c:axId val="465529424"/>
        <c:axId val="465530208"/>
      </c:lineChart>
      <c:catAx>
        <c:axId val="4655294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0208"/>
        <c:crosses val="autoZero"/>
        <c:auto val="1"/>
        <c:lblAlgn val="ctr"/>
        <c:lblOffset val="100"/>
        <c:tickLblSkip val="1"/>
        <c:tickMarkSkip val="1"/>
        <c:noMultiLvlLbl val="0"/>
      </c:catAx>
      <c:valAx>
        <c:axId val="4655302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94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D-434E-85EA-4E2357EFF211}"/>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D-434E-85EA-4E2357EFF211}"/>
            </c:ext>
          </c:extLst>
        </c:ser>
        <c:dLbls>
          <c:showLegendKey val="0"/>
          <c:showVal val="0"/>
          <c:showCatName val="0"/>
          <c:showSerName val="0"/>
          <c:showPercent val="0"/>
          <c:showBubbleSize val="0"/>
        </c:dLbls>
        <c:smooth val="0"/>
        <c:axId val="465535696"/>
        <c:axId val="465530992"/>
      </c:lineChart>
      <c:catAx>
        <c:axId val="465535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0992"/>
        <c:crosses val="autoZero"/>
        <c:auto val="1"/>
        <c:lblAlgn val="ctr"/>
        <c:lblOffset val="100"/>
        <c:tickLblSkip val="1"/>
        <c:tickMarkSkip val="1"/>
        <c:noMultiLvlLbl val="0"/>
      </c:catAx>
      <c:valAx>
        <c:axId val="465530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569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2A-49A1-B9C8-19DDD4BEBE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2A-49A1-B9C8-19DDD4BEBE9E}"/>
            </c:ext>
          </c:extLst>
        </c:ser>
        <c:dLbls>
          <c:showLegendKey val="0"/>
          <c:showVal val="0"/>
          <c:showCatName val="0"/>
          <c:showSerName val="0"/>
          <c:showPercent val="0"/>
          <c:showBubbleSize val="0"/>
        </c:dLbls>
        <c:gapWidth val="150"/>
        <c:overlap val="100"/>
        <c:axId val="465535304"/>
        <c:axId val="465528248"/>
      </c:barChart>
      <c:catAx>
        <c:axId val="465535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8248"/>
        <c:crosses val="autoZero"/>
        <c:auto val="1"/>
        <c:lblAlgn val="ctr"/>
        <c:lblOffset val="100"/>
        <c:tickLblSkip val="1"/>
        <c:tickMarkSkip val="1"/>
        <c:noMultiLvlLbl val="0"/>
      </c:catAx>
      <c:valAx>
        <c:axId val="465528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5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5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8-40BE-922C-1D3682E469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8-40BE-922C-1D3682E46956}"/>
            </c:ext>
          </c:extLst>
        </c:ser>
        <c:dLbls>
          <c:showLegendKey val="0"/>
          <c:showVal val="0"/>
          <c:showCatName val="0"/>
          <c:showSerName val="0"/>
          <c:showPercent val="0"/>
          <c:showBubbleSize val="0"/>
        </c:dLbls>
        <c:gapWidth val="150"/>
        <c:overlap val="100"/>
        <c:axId val="465538048"/>
        <c:axId val="465532952"/>
      </c:barChart>
      <c:catAx>
        <c:axId val="465538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32952"/>
        <c:crosses val="autoZero"/>
        <c:auto val="1"/>
        <c:lblAlgn val="ctr"/>
        <c:lblOffset val="100"/>
        <c:tickLblSkip val="1"/>
        <c:tickMarkSkip val="1"/>
        <c:noMultiLvlLbl val="0"/>
      </c:catAx>
      <c:valAx>
        <c:axId val="4655329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8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1F-474C-B2B2-B6D8DF89E59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1F-474C-B2B2-B6D8DF89E591}"/>
            </c:ext>
          </c:extLst>
        </c:ser>
        <c:dLbls>
          <c:showLegendKey val="0"/>
          <c:showVal val="0"/>
          <c:showCatName val="0"/>
          <c:showSerName val="0"/>
          <c:showPercent val="0"/>
          <c:showBubbleSize val="0"/>
        </c:dLbls>
        <c:gapWidth val="150"/>
        <c:overlap val="100"/>
        <c:axId val="465536088"/>
        <c:axId val="465529032"/>
      </c:barChart>
      <c:catAx>
        <c:axId val="465536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9032"/>
        <c:crosses val="autoZero"/>
        <c:auto val="1"/>
        <c:lblAlgn val="ctr"/>
        <c:lblOffset val="100"/>
        <c:tickLblSkip val="1"/>
        <c:tickMarkSkip val="1"/>
        <c:noMultiLvlLbl val="0"/>
      </c:catAx>
      <c:valAx>
        <c:axId val="465529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36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AC2-4ED2-89F8-37CD7924151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AC2-4ED2-89F8-37CD79241518}"/>
            </c:ext>
          </c:extLst>
        </c:ser>
        <c:dLbls>
          <c:showLegendKey val="0"/>
          <c:showVal val="0"/>
          <c:showCatName val="0"/>
          <c:showSerName val="0"/>
          <c:showPercent val="0"/>
          <c:showBubbleSize val="0"/>
        </c:dLbls>
        <c:gapWidth val="150"/>
        <c:overlap val="100"/>
        <c:axId val="465527464"/>
        <c:axId val="465527856"/>
      </c:barChart>
      <c:catAx>
        <c:axId val="4655274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27856"/>
        <c:crosses val="autoZero"/>
        <c:auto val="1"/>
        <c:lblAlgn val="ctr"/>
        <c:lblOffset val="100"/>
        <c:tickLblSkip val="1"/>
        <c:tickMarkSkip val="1"/>
        <c:noMultiLvlLbl val="0"/>
      </c:catAx>
      <c:valAx>
        <c:axId val="465527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274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B1-438A-93B2-01F70373E87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B1-438A-93B2-01F70373E87F}"/>
            </c:ext>
          </c:extLst>
        </c:ser>
        <c:dLbls>
          <c:showLegendKey val="0"/>
          <c:showVal val="0"/>
          <c:showCatName val="0"/>
          <c:showSerName val="0"/>
          <c:showPercent val="0"/>
          <c:showBubbleSize val="0"/>
        </c:dLbls>
        <c:gapWidth val="150"/>
        <c:overlap val="100"/>
        <c:axId val="465550592"/>
        <c:axId val="465547456"/>
      </c:barChart>
      <c:catAx>
        <c:axId val="465550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7456"/>
        <c:crosses val="autoZero"/>
        <c:auto val="1"/>
        <c:lblAlgn val="ctr"/>
        <c:lblOffset val="100"/>
        <c:tickLblSkip val="1"/>
        <c:tickMarkSkip val="1"/>
        <c:noMultiLvlLbl val="0"/>
      </c:catAx>
      <c:valAx>
        <c:axId val="4655474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0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FB7-4267-AA0F-35EE5E7897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FB7-4267-AA0F-35EE5E789724}"/>
            </c:ext>
          </c:extLst>
        </c:ser>
        <c:dLbls>
          <c:showLegendKey val="0"/>
          <c:showVal val="0"/>
          <c:showCatName val="0"/>
          <c:showSerName val="0"/>
          <c:showPercent val="0"/>
          <c:showBubbleSize val="0"/>
        </c:dLbls>
        <c:gapWidth val="150"/>
        <c:overlap val="100"/>
        <c:axId val="465547064"/>
        <c:axId val="465547848"/>
      </c:barChart>
      <c:catAx>
        <c:axId val="465547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7848"/>
        <c:crosses val="autoZero"/>
        <c:auto val="1"/>
        <c:lblAlgn val="ctr"/>
        <c:lblOffset val="100"/>
        <c:tickLblSkip val="1"/>
        <c:tickMarkSkip val="1"/>
        <c:noMultiLvlLbl val="0"/>
      </c:catAx>
      <c:valAx>
        <c:axId val="465547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7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55-4016-8CE9-277F180EA6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55-4016-8CE9-277F180EA680}"/>
            </c:ext>
          </c:extLst>
        </c:ser>
        <c:dLbls>
          <c:showLegendKey val="0"/>
          <c:showVal val="0"/>
          <c:showCatName val="0"/>
          <c:showSerName val="0"/>
          <c:showPercent val="0"/>
          <c:showBubbleSize val="0"/>
        </c:dLbls>
        <c:gapWidth val="150"/>
        <c:overlap val="100"/>
        <c:axId val="465543536"/>
        <c:axId val="465546280"/>
      </c:barChart>
      <c:catAx>
        <c:axId val="465543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6280"/>
        <c:crosses val="autoZero"/>
        <c:auto val="1"/>
        <c:lblAlgn val="ctr"/>
        <c:lblOffset val="100"/>
        <c:tickLblSkip val="1"/>
        <c:tickMarkSkip val="1"/>
        <c:noMultiLvlLbl val="0"/>
      </c:catAx>
      <c:valAx>
        <c:axId val="465546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3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93C-4A10-865A-3F2B3EDB60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93C-4A10-865A-3F2B3EDB60D2}"/>
            </c:ext>
          </c:extLst>
        </c:ser>
        <c:dLbls>
          <c:showLegendKey val="0"/>
          <c:showVal val="0"/>
          <c:showCatName val="0"/>
          <c:showSerName val="0"/>
          <c:showPercent val="0"/>
          <c:showBubbleSize val="0"/>
        </c:dLbls>
        <c:gapWidth val="150"/>
        <c:overlap val="100"/>
        <c:axId val="465548632"/>
        <c:axId val="465550200"/>
      </c:barChart>
      <c:catAx>
        <c:axId val="4655486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0200"/>
        <c:crosses val="autoZero"/>
        <c:auto val="1"/>
        <c:lblAlgn val="ctr"/>
        <c:lblOffset val="100"/>
        <c:tickLblSkip val="1"/>
        <c:tickMarkSkip val="1"/>
        <c:noMultiLvlLbl val="0"/>
      </c:catAx>
      <c:valAx>
        <c:axId val="4655502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86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737-4D6E-865D-090607838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737-4D6E-865D-090607838CBD}"/>
            </c:ext>
          </c:extLst>
        </c:ser>
        <c:dLbls>
          <c:showLegendKey val="0"/>
          <c:showVal val="0"/>
          <c:showCatName val="0"/>
          <c:showSerName val="0"/>
          <c:showPercent val="0"/>
          <c:showBubbleSize val="0"/>
        </c:dLbls>
        <c:gapWidth val="150"/>
        <c:overlap val="100"/>
        <c:axId val="465543928"/>
        <c:axId val="465541968"/>
      </c:barChart>
      <c:catAx>
        <c:axId val="4655439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1968"/>
        <c:crosses val="autoZero"/>
        <c:auto val="1"/>
        <c:lblAlgn val="ctr"/>
        <c:lblOffset val="100"/>
        <c:tickLblSkip val="1"/>
        <c:tickMarkSkip val="1"/>
        <c:noMultiLvlLbl val="0"/>
      </c:catAx>
      <c:valAx>
        <c:axId val="4655419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39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D5-4F65-8A55-EC947A24DA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D5-4F65-8A55-EC947A24DA8C}"/>
            </c:ext>
          </c:extLst>
        </c:ser>
        <c:dLbls>
          <c:showLegendKey val="0"/>
          <c:showVal val="0"/>
          <c:showCatName val="0"/>
          <c:showSerName val="0"/>
          <c:showPercent val="0"/>
          <c:showBubbleSize val="0"/>
        </c:dLbls>
        <c:gapWidth val="150"/>
        <c:overlap val="100"/>
        <c:axId val="465541576"/>
        <c:axId val="465549416"/>
      </c:barChart>
      <c:catAx>
        <c:axId val="465541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9416"/>
        <c:crosses val="autoZero"/>
        <c:auto val="1"/>
        <c:lblAlgn val="ctr"/>
        <c:lblOffset val="100"/>
        <c:tickLblSkip val="1"/>
        <c:tickMarkSkip val="1"/>
        <c:noMultiLvlLbl val="0"/>
      </c:catAx>
      <c:valAx>
        <c:axId val="465549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15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55B-4003-8984-CB67351374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55B-4003-8984-CB67351374CA}"/>
            </c:ext>
          </c:extLst>
        </c:ser>
        <c:dLbls>
          <c:showLegendKey val="0"/>
          <c:showVal val="0"/>
          <c:showCatName val="0"/>
          <c:showSerName val="0"/>
          <c:showPercent val="0"/>
          <c:showBubbleSize val="0"/>
        </c:dLbls>
        <c:gapWidth val="150"/>
        <c:overlap val="100"/>
        <c:axId val="465545888"/>
        <c:axId val="465549808"/>
      </c:barChart>
      <c:catAx>
        <c:axId val="465545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49808"/>
        <c:crosses val="autoZero"/>
        <c:auto val="1"/>
        <c:lblAlgn val="ctr"/>
        <c:lblOffset val="100"/>
        <c:tickLblSkip val="1"/>
        <c:tickMarkSkip val="1"/>
        <c:noMultiLvlLbl val="0"/>
      </c:catAx>
      <c:valAx>
        <c:axId val="465549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45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37-4A01-B1FE-93E5D38FA29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37-4A01-B1FE-93E5D38FA292}"/>
            </c:ext>
          </c:extLst>
        </c:ser>
        <c:dLbls>
          <c:showLegendKey val="0"/>
          <c:showVal val="0"/>
          <c:showCatName val="0"/>
          <c:showSerName val="0"/>
          <c:showPercent val="0"/>
          <c:showBubbleSize val="0"/>
        </c:dLbls>
        <c:gapWidth val="150"/>
        <c:overlap val="100"/>
        <c:axId val="465557256"/>
        <c:axId val="465561568"/>
      </c:barChart>
      <c:catAx>
        <c:axId val="465557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1568"/>
        <c:crosses val="autoZero"/>
        <c:auto val="1"/>
        <c:lblAlgn val="ctr"/>
        <c:lblOffset val="100"/>
        <c:tickLblSkip val="1"/>
        <c:tickMarkSkip val="1"/>
        <c:noMultiLvlLbl val="0"/>
      </c:catAx>
      <c:valAx>
        <c:axId val="4655615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7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0F-4319-98C3-35CB7E181E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0F-4319-98C3-35CB7E181EA9}"/>
            </c:ext>
          </c:extLst>
        </c:ser>
        <c:dLbls>
          <c:showLegendKey val="0"/>
          <c:showVal val="0"/>
          <c:showCatName val="0"/>
          <c:showSerName val="0"/>
          <c:showPercent val="0"/>
          <c:showBubbleSize val="0"/>
        </c:dLbls>
        <c:gapWidth val="150"/>
        <c:overlap val="100"/>
        <c:axId val="465553728"/>
        <c:axId val="465554120"/>
      </c:barChart>
      <c:catAx>
        <c:axId val="465553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4120"/>
        <c:crosses val="autoZero"/>
        <c:auto val="1"/>
        <c:lblAlgn val="ctr"/>
        <c:lblOffset val="100"/>
        <c:tickLblSkip val="1"/>
        <c:tickMarkSkip val="1"/>
        <c:noMultiLvlLbl val="0"/>
      </c:catAx>
      <c:valAx>
        <c:axId val="4655541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37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52-497B-8EDD-DBAC0A367C5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52-497B-8EDD-DBAC0A367C51}"/>
            </c:ext>
          </c:extLst>
        </c:ser>
        <c:dLbls>
          <c:showLegendKey val="0"/>
          <c:showVal val="0"/>
          <c:showCatName val="0"/>
          <c:showSerName val="0"/>
          <c:showPercent val="0"/>
          <c:showBubbleSize val="0"/>
        </c:dLbls>
        <c:gapWidth val="150"/>
        <c:overlap val="100"/>
        <c:axId val="465557648"/>
        <c:axId val="465559608"/>
      </c:barChart>
      <c:catAx>
        <c:axId val="465557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9608"/>
        <c:crosses val="autoZero"/>
        <c:auto val="1"/>
        <c:lblAlgn val="ctr"/>
        <c:lblOffset val="100"/>
        <c:tickLblSkip val="1"/>
        <c:tickMarkSkip val="1"/>
        <c:noMultiLvlLbl val="0"/>
      </c:catAx>
      <c:valAx>
        <c:axId val="465559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7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42-44E9-9D08-88B08BD0AE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42-44E9-9D08-88B08BD0AEC3}"/>
            </c:ext>
          </c:extLst>
        </c:ser>
        <c:dLbls>
          <c:showLegendKey val="0"/>
          <c:showVal val="0"/>
          <c:showCatName val="0"/>
          <c:showSerName val="0"/>
          <c:showPercent val="0"/>
          <c:showBubbleSize val="0"/>
        </c:dLbls>
        <c:gapWidth val="150"/>
        <c:overlap val="100"/>
        <c:axId val="465554512"/>
        <c:axId val="465554904"/>
      </c:barChart>
      <c:catAx>
        <c:axId val="465554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4904"/>
        <c:crosses val="autoZero"/>
        <c:auto val="1"/>
        <c:lblAlgn val="ctr"/>
        <c:lblOffset val="100"/>
        <c:tickLblSkip val="1"/>
        <c:tickMarkSkip val="1"/>
        <c:noMultiLvlLbl val="0"/>
      </c:catAx>
      <c:valAx>
        <c:axId val="4655549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545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BED-4754-ACAF-7963C1EEF3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BED-4754-ACAF-7963C1EEF385}"/>
            </c:ext>
          </c:extLst>
        </c:ser>
        <c:dLbls>
          <c:showLegendKey val="0"/>
          <c:showVal val="0"/>
          <c:showCatName val="0"/>
          <c:showSerName val="0"/>
          <c:showPercent val="0"/>
          <c:showBubbleSize val="0"/>
        </c:dLbls>
        <c:gapWidth val="150"/>
        <c:overlap val="100"/>
        <c:axId val="465560000"/>
        <c:axId val="465559216"/>
      </c:barChart>
      <c:catAx>
        <c:axId val="4655600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9216"/>
        <c:crosses val="autoZero"/>
        <c:auto val="1"/>
        <c:lblAlgn val="ctr"/>
        <c:lblOffset val="100"/>
        <c:tickLblSkip val="1"/>
        <c:tickMarkSkip val="1"/>
        <c:noMultiLvlLbl val="0"/>
      </c:catAx>
      <c:valAx>
        <c:axId val="465559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00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A1-4770-8CE9-3F4A644BD6D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A1-4770-8CE9-3F4A644BD6DA}"/>
            </c:ext>
          </c:extLst>
        </c:ser>
        <c:dLbls>
          <c:showLegendKey val="0"/>
          <c:showVal val="0"/>
          <c:showCatName val="0"/>
          <c:showSerName val="0"/>
          <c:showPercent val="0"/>
          <c:showBubbleSize val="0"/>
        </c:dLbls>
        <c:gapWidth val="150"/>
        <c:overlap val="100"/>
        <c:axId val="465560784"/>
        <c:axId val="465556864"/>
      </c:barChart>
      <c:catAx>
        <c:axId val="4655607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56864"/>
        <c:crosses val="autoZero"/>
        <c:auto val="1"/>
        <c:lblAlgn val="ctr"/>
        <c:lblOffset val="100"/>
        <c:tickLblSkip val="1"/>
        <c:tickMarkSkip val="1"/>
        <c:noMultiLvlLbl val="0"/>
      </c:catAx>
      <c:valAx>
        <c:axId val="4655568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0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223-4E66-A79F-8FC82CD419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223-4E66-A79F-8FC82CD419A7}"/>
            </c:ext>
          </c:extLst>
        </c:ser>
        <c:dLbls>
          <c:showLegendKey val="0"/>
          <c:showVal val="0"/>
          <c:showCatName val="0"/>
          <c:showSerName val="0"/>
          <c:showPercent val="0"/>
          <c:showBubbleSize val="0"/>
        </c:dLbls>
        <c:gapWidth val="150"/>
        <c:overlap val="100"/>
        <c:axId val="465565096"/>
        <c:axId val="465573720"/>
      </c:barChart>
      <c:catAx>
        <c:axId val="4655650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3720"/>
        <c:crosses val="autoZero"/>
        <c:auto val="1"/>
        <c:lblAlgn val="ctr"/>
        <c:lblOffset val="100"/>
        <c:tickLblSkip val="1"/>
        <c:tickMarkSkip val="1"/>
        <c:noMultiLvlLbl val="0"/>
      </c:catAx>
      <c:valAx>
        <c:axId val="46557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50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73-42BB-B9DD-20F4735EFCE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73-42BB-B9DD-20F4735EFCED}"/>
            </c:ext>
          </c:extLst>
        </c:ser>
        <c:dLbls>
          <c:showLegendKey val="0"/>
          <c:showVal val="0"/>
          <c:showCatName val="0"/>
          <c:showSerName val="0"/>
          <c:showPercent val="0"/>
          <c:showBubbleSize val="0"/>
        </c:dLbls>
        <c:gapWidth val="150"/>
        <c:overlap val="100"/>
        <c:axId val="465575288"/>
        <c:axId val="465564704"/>
      </c:barChart>
      <c:catAx>
        <c:axId val="46557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4704"/>
        <c:crosses val="autoZero"/>
        <c:auto val="1"/>
        <c:lblAlgn val="ctr"/>
        <c:lblOffset val="100"/>
        <c:tickLblSkip val="1"/>
        <c:tickMarkSkip val="1"/>
        <c:noMultiLvlLbl val="0"/>
      </c:catAx>
      <c:valAx>
        <c:axId val="465564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52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CBE-4DB3-B223-093A27C937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CBE-4DB3-B223-093A27C937EB}"/>
            </c:ext>
          </c:extLst>
        </c:ser>
        <c:dLbls>
          <c:showLegendKey val="0"/>
          <c:showVal val="0"/>
          <c:showCatName val="0"/>
          <c:showSerName val="0"/>
          <c:showPercent val="0"/>
          <c:showBubbleSize val="0"/>
        </c:dLbls>
        <c:gapWidth val="150"/>
        <c:overlap val="100"/>
        <c:axId val="465574504"/>
        <c:axId val="465574112"/>
      </c:barChart>
      <c:catAx>
        <c:axId val="46557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4112"/>
        <c:crosses val="autoZero"/>
        <c:auto val="1"/>
        <c:lblAlgn val="ctr"/>
        <c:lblOffset val="100"/>
        <c:tickLblSkip val="1"/>
        <c:tickMarkSkip val="1"/>
        <c:noMultiLvlLbl val="0"/>
      </c:catAx>
      <c:valAx>
        <c:axId val="465574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4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90-4C80-B76D-8025FC43C9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90-4C80-B76D-8025FC43C9D0}"/>
            </c:ext>
          </c:extLst>
        </c:ser>
        <c:dLbls>
          <c:showLegendKey val="0"/>
          <c:showVal val="0"/>
          <c:showCatName val="0"/>
          <c:showSerName val="0"/>
          <c:showPercent val="0"/>
          <c:showBubbleSize val="0"/>
        </c:dLbls>
        <c:gapWidth val="150"/>
        <c:overlap val="100"/>
        <c:axId val="465564312"/>
        <c:axId val="465573328"/>
      </c:barChart>
      <c:catAx>
        <c:axId val="465564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3328"/>
        <c:crosses val="autoZero"/>
        <c:auto val="1"/>
        <c:lblAlgn val="ctr"/>
        <c:lblOffset val="100"/>
        <c:tickLblSkip val="1"/>
        <c:tickMarkSkip val="1"/>
        <c:noMultiLvlLbl val="0"/>
      </c:catAx>
      <c:valAx>
        <c:axId val="4655733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4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2A-4384-9A95-A16DF5DE11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2A-4384-9A95-A16DF5DE1137}"/>
            </c:ext>
          </c:extLst>
        </c:ser>
        <c:dLbls>
          <c:showLegendKey val="0"/>
          <c:showVal val="0"/>
          <c:showCatName val="0"/>
          <c:showSerName val="0"/>
          <c:showPercent val="0"/>
          <c:showBubbleSize val="0"/>
        </c:dLbls>
        <c:gapWidth val="150"/>
        <c:overlap val="100"/>
        <c:axId val="465569800"/>
        <c:axId val="465568232"/>
      </c:barChart>
      <c:catAx>
        <c:axId val="465569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8232"/>
        <c:crosses val="autoZero"/>
        <c:auto val="1"/>
        <c:lblAlgn val="ctr"/>
        <c:lblOffset val="100"/>
        <c:tickLblSkip val="1"/>
        <c:tickMarkSkip val="1"/>
        <c:noMultiLvlLbl val="0"/>
      </c:catAx>
      <c:valAx>
        <c:axId val="46556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69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F7-4082-9A7B-97538AC5FC9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F7-4082-9A7B-97538AC5FC97}"/>
            </c:ext>
          </c:extLst>
        </c:ser>
        <c:dLbls>
          <c:showLegendKey val="0"/>
          <c:showVal val="0"/>
          <c:showCatName val="0"/>
          <c:showSerName val="0"/>
          <c:showPercent val="0"/>
          <c:showBubbleSize val="0"/>
        </c:dLbls>
        <c:gapWidth val="150"/>
        <c:overlap val="100"/>
        <c:axId val="465571368"/>
        <c:axId val="465569016"/>
      </c:barChart>
      <c:catAx>
        <c:axId val="4655713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69016"/>
        <c:crosses val="autoZero"/>
        <c:auto val="1"/>
        <c:lblAlgn val="ctr"/>
        <c:lblOffset val="100"/>
        <c:tickLblSkip val="1"/>
        <c:tickMarkSkip val="1"/>
        <c:noMultiLvlLbl val="0"/>
      </c:catAx>
      <c:valAx>
        <c:axId val="465569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13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2F-416D-8274-59C97B519DF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2F-416D-8274-59C97B519DF7}"/>
            </c:ext>
          </c:extLst>
        </c:ser>
        <c:dLbls>
          <c:showLegendKey val="0"/>
          <c:showVal val="0"/>
          <c:showCatName val="0"/>
          <c:showSerName val="0"/>
          <c:showPercent val="0"/>
          <c:showBubbleSize val="0"/>
        </c:dLbls>
        <c:gapWidth val="150"/>
        <c:overlap val="100"/>
        <c:axId val="465570976"/>
        <c:axId val="465585872"/>
      </c:barChart>
      <c:catAx>
        <c:axId val="4655709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5872"/>
        <c:crosses val="autoZero"/>
        <c:auto val="1"/>
        <c:lblAlgn val="ctr"/>
        <c:lblOffset val="100"/>
        <c:tickLblSkip val="1"/>
        <c:tickMarkSkip val="1"/>
        <c:noMultiLvlLbl val="0"/>
      </c:catAx>
      <c:valAx>
        <c:axId val="4655858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09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10-4258-9283-D75971F17AE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10-4258-9283-D75971F17AE2}"/>
            </c:ext>
          </c:extLst>
        </c:ser>
        <c:dLbls>
          <c:showLegendKey val="0"/>
          <c:showVal val="0"/>
          <c:showCatName val="0"/>
          <c:showSerName val="0"/>
          <c:showPercent val="0"/>
          <c:showBubbleSize val="0"/>
        </c:dLbls>
        <c:gapWidth val="150"/>
        <c:overlap val="100"/>
        <c:axId val="465583128"/>
        <c:axId val="465578032"/>
      </c:barChart>
      <c:catAx>
        <c:axId val="465583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8032"/>
        <c:crosses val="autoZero"/>
        <c:auto val="1"/>
        <c:lblAlgn val="ctr"/>
        <c:lblOffset val="100"/>
        <c:tickLblSkip val="1"/>
        <c:tickMarkSkip val="1"/>
        <c:noMultiLvlLbl val="0"/>
      </c:catAx>
      <c:valAx>
        <c:axId val="465578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31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02D-4006-84F8-79B7F8FB45E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02D-4006-84F8-79B7F8FB45EB}"/>
            </c:ext>
          </c:extLst>
        </c:ser>
        <c:dLbls>
          <c:showLegendKey val="0"/>
          <c:showVal val="0"/>
          <c:showCatName val="0"/>
          <c:showSerName val="0"/>
          <c:showPercent val="0"/>
          <c:showBubbleSize val="0"/>
        </c:dLbls>
        <c:gapWidth val="150"/>
        <c:overlap val="100"/>
        <c:axId val="465587832"/>
        <c:axId val="465582344"/>
      </c:barChart>
      <c:catAx>
        <c:axId val="4655878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2344"/>
        <c:crosses val="autoZero"/>
        <c:auto val="1"/>
        <c:lblAlgn val="ctr"/>
        <c:lblOffset val="100"/>
        <c:tickLblSkip val="1"/>
        <c:tickMarkSkip val="1"/>
        <c:noMultiLvlLbl val="0"/>
      </c:catAx>
      <c:valAx>
        <c:axId val="4655823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78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44E-4CD3-A604-21EA9C09222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44E-4CD3-A604-21EA9C09222A}"/>
            </c:ext>
          </c:extLst>
        </c:ser>
        <c:dLbls>
          <c:showLegendKey val="0"/>
          <c:showVal val="0"/>
          <c:showCatName val="0"/>
          <c:showSerName val="0"/>
          <c:showPercent val="0"/>
          <c:showBubbleSize val="0"/>
        </c:dLbls>
        <c:gapWidth val="150"/>
        <c:overlap val="100"/>
        <c:axId val="465586264"/>
        <c:axId val="465579992"/>
      </c:barChart>
      <c:catAx>
        <c:axId val="465586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9992"/>
        <c:crosses val="autoZero"/>
        <c:auto val="1"/>
        <c:lblAlgn val="ctr"/>
        <c:lblOffset val="100"/>
        <c:tickLblSkip val="1"/>
        <c:tickMarkSkip val="1"/>
        <c:noMultiLvlLbl val="0"/>
      </c:catAx>
      <c:valAx>
        <c:axId val="4655799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62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3FB-4FEA-9CCD-8696637A8F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3FB-4FEA-9CCD-8696637A8FD6}"/>
            </c:ext>
          </c:extLst>
        </c:ser>
        <c:dLbls>
          <c:showLegendKey val="0"/>
          <c:showVal val="0"/>
          <c:showCatName val="0"/>
          <c:showSerName val="0"/>
          <c:showPercent val="0"/>
          <c:showBubbleSize val="0"/>
        </c:dLbls>
        <c:gapWidth val="150"/>
        <c:overlap val="100"/>
        <c:axId val="465581168"/>
        <c:axId val="465585480"/>
      </c:barChart>
      <c:catAx>
        <c:axId val="4655811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5480"/>
        <c:crosses val="autoZero"/>
        <c:auto val="1"/>
        <c:lblAlgn val="ctr"/>
        <c:lblOffset val="100"/>
        <c:tickLblSkip val="1"/>
        <c:tickMarkSkip val="1"/>
        <c:noMultiLvlLbl val="0"/>
      </c:catAx>
      <c:valAx>
        <c:axId val="4655854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116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18A-4548-B7E4-6614A910F0F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18A-4548-B7E4-6614A910F0FE}"/>
            </c:ext>
          </c:extLst>
        </c:ser>
        <c:dLbls>
          <c:showLegendKey val="0"/>
          <c:showVal val="0"/>
          <c:showCatName val="0"/>
          <c:showSerName val="0"/>
          <c:showPercent val="0"/>
          <c:showBubbleSize val="0"/>
        </c:dLbls>
        <c:gapWidth val="150"/>
        <c:overlap val="100"/>
        <c:axId val="465581952"/>
        <c:axId val="465583912"/>
      </c:barChart>
      <c:catAx>
        <c:axId val="4655819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83912"/>
        <c:crosses val="autoZero"/>
        <c:auto val="1"/>
        <c:lblAlgn val="ctr"/>
        <c:lblOffset val="100"/>
        <c:tickLblSkip val="1"/>
        <c:tickMarkSkip val="1"/>
        <c:noMultiLvlLbl val="0"/>
      </c:catAx>
      <c:valAx>
        <c:axId val="46558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819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B1-4F4B-AA62-FC2FAA532D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B1-4F4B-AA62-FC2FAA532D73}"/>
            </c:ext>
          </c:extLst>
        </c:ser>
        <c:dLbls>
          <c:showLegendKey val="0"/>
          <c:showVal val="0"/>
          <c:showCatName val="0"/>
          <c:showSerName val="0"/>
          <c:showPercent val="0"/>
          <c:showBubbleSize val="0"/>
        </c:dLbls>
        <c:gapWidth val="150"/>
        <c:overlap val="100"/>
        <c:axId val="465576856"/>
        <c:axId val="465577248"/>
      </c:barChart>
      <c:catAx>
        <c:axId val="4655768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77248"/>
        <c:crosses val="autoZero"/>
        <c:auto val="1"/>
        <c:lblAlgn val="ctr"/>
        <c:lblOffset val="100"/>
        <c:tickLblSkip val="1"/>
        <c:tickMarkSkip val="1"/>
        <c:noMultiLvlLbl val="0"/>
      </c:catAx>
      <c:valAx>
        <c:axId val="465577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768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D2-4B5E-958C-36D928E597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D2-4B5E-958C-36D928E597E3}"/>
            </c:ext>
          </c:extLst>
        </c:ser>
        <c:dLbls>
          <c:showLegendKey val="0"/>
          <c:showVal val="0"/>
          <c:showCatName val="0"/>
          <c:showSerName val="0"/>
          <c:showPercent val="0"/>
          <c:showBubbleSize val="0"/>
        </c:dLbls>
        <c:gapWidth val="150"/>
        <c:overlap val="100"/>
        <c:axId val="465597240"/>
        <c:axId val="465591360"/>
      </c:barChart>
      <c:catAx>
        <c:axId val="4655972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1360"/>
        <c:crosses val="autoZero"/>
        <c:auto val="1"/>
        <c:lblAlgn val="ctr"/>
        <c:lblOffset val="100"/>
        <c:tickLblSkip val="1"/>
        <c:tickMarkSkip val="1"/>
        <c:noMultiLvlLbl val="0"/>
      </c:catAx>
      <c:valAx>
        <c:axId val="465591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72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14E-48D5-9613-556E53EEF8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14E-48D5-9613-556E53EEF848}"/>
            </c:ext>
          </c:extLst>
        </c:ser>
        <c:dLbls>
          <c:showLegendKey val="0"/>
          <c:showVal val="0"/>
          <c:showCatName val="0"/>
          <c:showSerName val="0"/>
          <c:showPercent val="0"/>
          <c:showBubbleSize val="0"/>
        </c:dLbls>
        <c:gapWidth val="150"/>
        <c:overlap val="100"/>
        <c:axId val="465590968"/>
        <c:axId val="465596064"/>
      </c:barChart>
      <c:catAx>
        <c:axId val="465590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6064"/>
        <c:crosses val="autoZero"/>
        <c:auto val="1"/>
        <c:lblAlgn val="ctr"/>
        <c:lblOffset val="100"/>
        <c:tickLblSkip val="1"/>
        <c:tickMarkSkip val="1"/>
        <c:noMultiLvlLbl val="0"/>
      </c:catAx>
      <c:valAx>
        <c:axId val="4655960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0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A76-4322-878E-B5A8BFD2B0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A76-4322-878E-B5A8BFD2B0EC}"/>
            </c:ext>
          </c:extLst>
        </c:ser>
        <c:dLbls>
          <c:showLegendKey val="0"/>
          <c:showVal val="0"/>
          <c:showCatName val="0"/>
          <c:showSerName val="0"/>
          <c:showPercent val="0"/>
          <c:showBubbleSize val="0"/>
        </c:dLbls>
        <c:gapWidth val="150"/>
        <c:overlap val="100"/>
        <c:axId val="465594496"/>
        <c:axId val="465597632"/>
      </c:barChart>
      <c:catAx>
        <c:axId val="465594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7632"/>
        <c:crosses val="autoZero"/>
        <c:auto val="1"/>
        <c:lblAlgn val="ctr"/>
        <c:lblOffset val="100"/>
        <c:tickLblSkip val="1"/>
        <c:tickMarkSkip val="1"/>
        <c:noMultiLvlLbl val="0"/>
      </c:catAx>
      <c:valAx>
        <c:axId val="46559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4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FCD-49A0-B306-E02F830B54E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FCD-49A0-B306-E02F830B54E6}"/>
            </c:ext>
          </c:extLst>
        </c:ser>
        <c:dLbls>
          <c:showLegendKey val="0"/>
          <c:showVal val="0"/>
          <c:showCatName val="0"/>
          <c:showSerName val="0"/>
          <c:showPercent val="0"/>
          <c:showBubbleSize val="0"/>
        </c:dLbls>
        <c:gapWidth val="150"/>
        <c:overlap val="100"/>
        <c:axId val="465599200"/>
        <c:axId val="465593712"/>
      </c:barChart>
      <c:catAx>
        <c:axId val="46559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3712"/>
        <c:crosses val="autoZero"/>
        <c:auto val="1"/>
        <c:lblAlgn val="ctr"/>
        <c:lblOffset val="100"/>
        <c:tickLblSkip val="1"/>
        <c:tickMarkSkip val="1"/>
        <c:noMultiLvlLbl val="0"/>
      </c:catAx>
      <c:valAx>
        <c:axId val="465593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92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763-42D8-BCEC-6E6F161D07E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763-42D8-BCEC-6E6F161D07EA}"/>
            </c:ext>
          </c:extLst>
        </c:ser>
        <c:dLbls>
          <c:showLegendKey val="0"/>
          <c:showVal val="0"/>
          <c:showCatName val="0"/>
          <c:showSerName val="0"/>
          <c:showPercent val="0"/>
          <c:showBubbleSize val="0"/>
        </c:dLbls>
        <c:gapWidth val="150"/>
        <c:overlap val="100"/>
        <c:axId val="465600768"/>
        <c:axId val="465595672"/>
      </c:barChart>
      <c:catAx>
        <c:axId val="46560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595672"/>
        <c:crosses val="autoZero"/>
        <c:auto val="1"/>
        <c:lblAlgn val="ctr"/>
        <c:lblOffset val="100"/>
        <c:tickLblSkip val="1"/>
        <c:tickMarkSkip val="1"/>
        <c:noMultiLvlLbl val="0"/>
      </c:catAx>
      <c:valAx>
        <c:axId val="465595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54E-4B78-8CB7-49728FFB323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54E-4B78-8CB7-49728FFB3235}"/>
            </c:ext>
          </c:extLst>
        </c:ser>
        <c:dLbls>
          <c:showLegendKey val="0"/>
          <c:showVal val="0"/>
          <c:showCatName val="0"/>
          <c:showSerName val="0"/>
          <c:showPercent val="0"/>
          <c:showBubbleSize val="0"/>
        </c:dLbls>
        <c:gapWidth val="150"/>
        <c:overlap val="100"/>
        <c:axId val="465599984"/>
        <c:axId val="465601160"/>
      </c:barChart>
      <c:catAx>
        <c:axId val="4655999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601160"/>
        <c:crosses val="autoZero"/>
        <c:auto val="1"/>
        <c:lblAlgn val="ctr"/>
        <c:lblOffset val="100"/>
        <c:tickLblSkip val="1"/>
        <c:tickMarkSkip val="1"/>
        <c:noMultiLvlLbl val="0"/>
      </c:catAx>
      <c:valAx>
        <c:axId val="46560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5999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C6-45E5-B938-AE962B4E719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C6-45E5-B938-AE962B4E7196}"/>
            </c:ext>
          </c:extLst>
        </c:ser>
        <c:dLbls>
          <c:showLegendKey val="0"/>
          <c:showVal val="0"/>
          <c:showCatName val="0"/>
          <c:showSerName val="0"/>
          <c:showPercent val="0"/>
          <c:showBubbleSize val="0"/>
        </c:dLbls>
        <c:gapWidth val="150"/>
        <c:overlap val="100"/>
        <c:axId val="465603120"/>
        <c:axId val="465603512"/>
      </c:barChart>
      <c:catAx>
        <c:axId val="4656031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603512"/>
        <c:crosses val="autoZero"/>
        <c:auto val="1"/>
        <c:lblAlgn val="ctr"/>
        <c:lblOffset val="100"/>
        <c:tickLblSkip val="1"/>
        <c:tickMarkSkip val="1"/>
        <c:noMultiLvlLbl val="0"/>
      </c:catAx>
      <c:valAx>
        <c:axId val="4656035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31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A5-4B41-A628-B1583217F5C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A5-4B41-A628-B1583217F5C6}"/>
            </c:ext>
          </c:extLst>
        </c:ser>
        <c:dLbls>
          <c:showLegendKey val="0"/>
          <c:showVal val="0"/>
          <c:showCatName val="0"/>
          <c:showSerName val="0"/>
          <c:showPercent val="0"/>
          <c:showBubbleSize val="0"/>
        </c:dLbls>
        <c:gapWidth val="150"/>
        <c:overlap val="100"/>
        <c:axId val="465602728"/>
        <c:axId val="465339304"/>
      </c:barChart>
      <c:catAx>
        <c:axId val="465602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39304"/>
        <c:crosses val="autoZero"/>
        <c:auto val="1"/>
        <c:lblAlgn val="ctr"/>
        <c:lblOffset val="100"/>
        <c:tickLblSkip val="1"/>
        <c:tickMarkSkip val="1"/>
        <c:noMultiLvlLbl val="0"/>
      </c:catAx>
      <c:valAx>
        <c:axId val="4653393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602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3B3-46C2-A67B-AC9B0646A86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3B3-46C2-A67B-AC9B0646A860}"/>
            </c:ext>
          </c:extLst>
        </c:ser>
        <c:dLbls>
          <c:showLegendKey val="0"/>
          <c:showVal val="0"/>
          <c:showCatName val="0"/>
          <c:showSerName val="0"/>
          <c:showPercent val="0"/>
          <c:showBubbleSize val="0"/>
        </c:dLbls>
        <c:gapWidth val="150"/>
        <c:overlap val="100"/>
        <c:axId val="465348712"/>
        <c:axId val="465340088"/>
      </c:barChart>
      <c:catAx>
        <c:axId val="4653487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0088"/>
        <c:crosses val="autoZero"/>
        <c:auto val="1"/>
        <c:lblAlgn val="ctr"/>
        <c:lblOffset val="100"/>
        <c:tickLblSkip val="1"/>
        <c:tickMarkSkip val="1"/>
        <c:noMultiLvlLbl val="0"/>
      </c:catAx>
      <c:valAx>
        <c:axId val="465340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87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082-4AF7-B0F6-4192B3C2A91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082-4AF7-B0F6-4192B3C2A91E}"/>
            </c:ext>
          </c:extLst>
        </c:ser>
        <c:dLbls>
          <c:showLegendKey val="0"/>
          <c:showVal val="0"/>
          <c:showCatName val="0"/>
          <c:showSerName val="0"/>
          <c:showPercent val="0"/>
          <c:showBubbleSize val="0"/>
        </c:dLbls>
        <c:gapWidth val="150"/>
        <c:overlap val="100"/>
        <c:axId val="465347536"/>
        <c:axId val="465347928"/>
      </c:barChart>
      <c:catAx>
        <c:axId val="465347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7928"/>
        <c:crosses val="autoZero"/>
        <c:auto val="1"/>
        <c:lblAlgn val="ctr"/>
        <c:lblOffset val="100"/>
        <c:tickLblSkip val="1"/>
        <c:tickMarkSkip val="1"/>
        <c:noMultiLvlLbl val="0"/>
      </c:catAx>
      <c:valAx>
        <c:axId val="465347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75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E-4B20-B902-214DB92E1AA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E-4B20-B902-214DB92E1AAF}"/>
            </c:ext>
          </c:extLst>
        </c:ser>
        <c:dLbls>
          <c:showLegendKey val="0"/>
          <c:showVal val="0"/>
          <c:showCatName val="0"/>
          <c:showSerName val="0"/>
          <c:showPercent val="0"/>
          <c:showBubbleSize val="0"/>
        </c:dLbls>
        <c:gapWidth val="150"/>
        <c:overlap val="100"/>
        <c:axId val="465345968"/>
        <c:axId val="465346752"/>
      </c:barChart>
      <c:catAx>
        <c:axId val="465345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6752"/>
        <c:crosses val="autoZero"/>
        <c:auto val="1"/>
        <c:lblAlgn val="ctr"/>
        <c:lblOffset val="100"/>
        <c:tickLblSkip val="1"/>
        <c:tickMarkSkip val="1"/>
        <c:noMultiLvlLbl val="0"/>
      </c:catAx>
      <c:valAx>
        <c:axId val="465346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5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195-45F8-BA94-9A7A7296061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195-45F8-BA94-9A7A72960619}"/>
            </c:ext>
          </c:extLst>
        </c:ser>
        <c:dLbls>
          <c:showLegendKey val="0"/>
          <c:showVal val="0"/>
          <c:showCatName val="0"/>
          <c:showSerName val="0"/>
          <c:showPercent val="0"/>
          <c:showBubbleSize val="0"/>
        </c:dLbls>
        <c:gapWidth val="150"/>
        <c:overlap val="100"/>
        <c:axId val="465345576"/>
        <c:axId val="465344008"/>
      </c:barChart>
      <c:catAx>
        <c:axId val="4653455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4008"/>
        <c:crosses val="autoZero"/>
        <c:auto val="1"/>
        <c:lblAlgn val="ctr"/>
        <c:lblOffset val="100"/>
        <c:tickLblSkip val="1"/>
        <c:tickMarkSkip val="1"/>
        <c:noMultiLvlLbl val="0"/>
      </c:catAx>
      <c:valAx>
        <c:axId val="465344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55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DF-4550-B0E9-5B1CA982AEC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DF-4550-B0E9-5B1CA982AEC5}"/>
            </c:ext>
          </c:extLst>
        </c:ser>
        <c:dLbls>
          <c:showLegendKey val="0"/>
          <c:showVal val="0"/>
          <c:showCatName val="0"/>
          <c:showSerName val="0"/>
          <c:showPercent val="0"/>
          <c:showBubbleSize val="0"/>
        </c:dLbls>
        <c:gapWidth val="150"/>
        <c:overlap val="100"/>
        <c:axId val="465338912"/>
        <c:axId val="465347144"/>
      </c:barChart>
      <c:catAx>
        <c:axId val="4653389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7144"/>
        <c:crosses val="autoZero"/>
        <c:auto val="1"/>
        <c:lblAlgn val="ctr"/>
        <c:lblOffset val="100"/>
        <c:tickLblSkip val="1"/>
        <c:tickMarkSkip val="1"/>
        <c:noMultiLvlLbl val="0"/>
      </c:catAx>
      <c:valAx>
        <c:axId val="4653471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389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766-414C-B86E-2F80A82E8B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766-414C-B86E-2F80A82E8B87}"/>
            </c:ext>
          </c:extLst>
        </c:ser>
        <c:dLbls>
          <c:showLegendKey val="0"/>
          <c:showVal val="0"/>
          <c:showCatName val="0"/>
          <c:showSerName val="0"/>
          <c:showPercent val="0"/>
          <c:showBubbleSize val="0"/>
        </c:dLbls>
        <c:gapWidth val="150"/>
        <c:overlap val="100"/>
        <c:axId val="465342048"/>
        <c:axId val="465342832"/>
      </c:barChart>
      <c:catAx>
        <c:axId val="4653420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42832"/>
        <c:crosses val="autoZero"/>
        <c:auto val="1"/>
        <c:lblAlgn val="ctr"/>
        <c:lblOffset val="100"/>
        <c:tickLblSkip val="1"/>
        <c:tickMarkSkip val="1"/>
        <c:noMultiLvlLbl val="0"/>
      </c:catAx>
      <c:valAx>
        <c:axId val="4653428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420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56-4C3B-9D87-8DF5CA33A3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56-4C3B-9D87-8DF5CA33A316}"/>
            </c:ext>
          </c:extLst>
        </c:ser>
        <c:dLbls>
          <c:showLegendKey val="0"/>
          <c:showVal val="0"/>
          <c:showCatName val="0"/>
          <c:showSerName val="0"/>
          <c:showPercent val="0"/>
          <c:showBubbleSize val="0"/>
        </c:dLbls>
        <c:gapWidth val="150"/>
        <c:overlap val="100"/>
        <c:axId val="465357728"/>
        <c:axId val="465352240"/>
      </c:barChart>
      <c:catAx>
        <c:axId val="4653577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2240"/>
        <c:crosses val="autoZero"/>
        <c:auto val="1"/>
        <c:lblAlgn val="ctr"/>
        <c:lblOffset val="100"/>
        <c:tickLblSkip val="1"/>
        <c:tickMarkSkip val="1"/>
        <c:noMultiLvlLbl val="0"/>
      </c:catAx>
      <c:valAx>
        <c:axId val="465352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77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7B-40D2-8114-19DED7F253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7B-40D2-8114-19DED7F253C4}"/>
            </c:ext>
          </c:extLst>
        </c:ser>
        <c:dLbls>
          <c:showLegendKey val="0"/>
          <c:showVal val="0"/>
          <c:showCatName val="0"/>
          <c:showSerName val="0"/>
          <c:showPercent val="0"/>
          <c:showBubbleSize val="0"/>
        </c:dLbls>
        <c:gapWidth val="150"/>
        <c:overlap val="100"/>
        <c:axId val="465363216"/>
        <c:axId val="465360080"/>
      </c:barChart>
      <c:catAx>
        <c:axId val="465363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0080"/>
        <c:crosses val="autoZero"/>
        <c:auto val="1"/>
        <c:lblAlgn val="ctr"/>
        <c:lblOffset val="100"/>
        <c:tickLblSkip val="1"/>
        <c:tickMarkSkip val="1"/>
        <c:noMultiLvlLbl val="0"/>
      </c:catAx>
      <c:valAx>
        <c:axId val="465360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32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B6-435E-A581-EBB79DB62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B6-435E-A581-EBB79DB62CD6}"/>
            </c:ext>
          </c:extLst>
        </c:ser>
        <c:dLbls>
          <c:showLegendKey val="0"/>
          <c:showVal val="0"/>
          <c:showCatName val="0"/>
          <c:showSerName val="0"/>
          <c:showPercent val="0"/>
          <c:showBubbleSize val="0"/>
        </c:dLbls>
        <c:gapWidth val="150"/>
        <c:overlap val="100"/>
        <c:axId val="465359688"/>
        <c:axId val="465361256"/>
      </c:barChart>
      <c:catAx>
        <c:axId val="465359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1256"/>
        <c:crosses val="autoZero"/>
        <c:auto val="1"/>
        <c:lblAlgn val="ctr"/>
        <c:lblOffset val="100"/>
        <c:tickLblSkip val="1"/>
        <c:tickMarkSkip val="1"/>
        <c:noMultiLvlLbl val="0"/>
      </c:catAx>
      <c:valAx>
        <c:axId val="4653612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9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FFE-45A2-8269-10B06905FC4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FFE-45A2-8269-10B06905FC47}"/>
            </c:ext>
          </c:extLst>
        </c:ser>
        <c:dLbls>
          <c:showLegendKey val="0"/>
          <c:showVal val="0"/>
          <c:showCatName val="0"/>
          <c:showSerName val="0"/>
          <c:showPercent val="0"/>
          <c:showBubbleSize val="0"/>
        </c:dLbls>
        <c:gapWidth val="150"/>
        <c:overlap val="100"/>
        <c:axId val="465362432"/>
        <c:axId val="465355768"/>
      </c:barChart>
      <c:catAx>
        <c:axId val="4653624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5768"/>
        <c:crosses val="autoZero"/>
        <c:auto val="1"/>
        <c:lblAlgn val="ctr"/>
        <c:lblOffset val="100"/>
        <c:tickLblSkip val="1"/>
        <c:tickMarkSkip val="1"/>
        <c:noMultiLvlLbl val="0"/>
      </c:catAx>
      <c:valAx>
        <c:axId val="465355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24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8A4-4967-83C9-26D8A2BE20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8A4-4967-83C9-26D8A2BE2009}"/>
            </c:ext>
          </c:extLst>
        </c:ser>
        <c:dLbls>
          <c:showLegendKey val="0"/>
          <c:showVal val="0"/>
          <c:showCatName val="0"/>
          <c:showSerName val="0"/>
          <c:showPercent val="0"/>
          <c:showBubbleSize val="0"/>
        </c:dLbls>
        <c:gapWidth val="150"/>
        <c:overlap val="100"/>
        <c:axId val="465351456"/>
        <c:axId val="465351848"/>
      </c:barChart>
      <c:catAx>
        <c:axId val="465351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1848"/>
        <c:crosses val="autoZero"/>
        <c:auto val="1"/>
        <c:lblAlgn val="ctr"/>
        <c:lblOffset val="100"/>
        <c:tickLblSkip val="1"/>
        <c:tickMarkSkip val="1"/>
        <c:noMultiLvlLbl val="0"/>
      </c:catAx>
      <c:valAx>
        <c:axId val="4653518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1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FC-4D1F-A125-3CECDC0E36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FC-4D1F-A125-3CECDC0E36C8}"/>
            </c:ext>
          </c:extLst>
        </c:ser>
        <c:dLbls>
          <c:showLegendKey val="0"/>
          <c:showVal val="0"/>
          <c:showCatName val="0"/>
          <c:showSerName val="0"/>
          <c:showPercent val="0"/>
          <c:showBubbleSize val="0"/>
        </c:dLbls>
        <c:gapWidth val="150"/>
        <c:overlap val="100"/>
        <c:axId val="465354592"/>
        <c:axId val="465356552"/>
      </c:barChart>
      <c:catAx>
        <c:axId val="4653545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56552"/>
        <c:crosses val="autoZero"/>
        <c:auto val="1"/>
        <c:lblAlgn val="ctr"/>
        <c:lblOffset val="100"/>
        <c:tickLblSkip val="1"/>
        <c:tickMarkSkip val="1"/>
        <c:noMultiLvlLbl val="0"/>
      </c:catAx>
      <c:valAx>
        <c:axId val="465356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545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006-4109-B990-06F8A5FF7F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006-4109-B990-06F8A5FF7F8C}"/>
            </c:ext>
          </c:extLst>
        </c:ser>
        <c:dLbls>
          <c:showLegendKey val="0"/>
          <c:showVal val="0"/>
          <c:showCatName val="0"/>
          <c:showSerName val="0"/>
          <c:showPercent val="0"/>
          <c:showBubbleSize val="0"/>
        </c:dLbls>
        <c:gapWidth val="150"/>
        <c:overlap val="100"/>
        <c:axId val="465372624"/>
        <c:axId val="465367136"/>
      </c:barChart>
      <c:catAx>
        <c:axId val="465372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7136"/>
        <c:crosses val="autoZero"/>
        <c:auto val="1"/>
        <c:lblAlgn val="ctr"/>
        <c:lblOffset val="100"/>
        <c:tickLblSkip val="1"/>
        <c:tickMarkSkip val="1"/>
        <c:noMultiLvlLbl val="0"/>
      </c:catAx>
      <c:valAx>
        <c:axId val="4653671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2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325-47D8-874F-5E516CEAA9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325-47D8-874F-5E516CEAA942}"/>
            </c:ext>
          </c:extLst>
        </c:ser>
        <c:dLbls>
          <c:showLegendKey val="0"/>
          <c:showVal val="0"/>
          <c:showCatName val="0"/>
          <c:showSerName val="0"/>
          <c:showPercent val="0"/>
          <c:showBubbleSize val="0"/>
        </c:dLbls>
        <c:gapWidth val="150"/>
        <c:overlap val="100"/>
        <c:axId val="465366744"/>
        <c:axId val="465369096"/>
      </c:barChart>
      <c:catAx>
        <c:axId val="465366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9096"/>
        <c:crosses val="autoZero"/>
        <c:auto val="1"/>
        <c:lblAlgn val="ctr"/>
        <c:lblOffset val="100"/>
        <c:tickLblSkip val="1"/>
        <c:tickMarkSkip val="1"/>
        <c:noMultiLvlLbl val="0"/>
      </c:catAx>
      <c:valAx>
        <c:axId val="4653690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67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883-4D9D-BD0D-C31D1D34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883-4D9D-BD0D-C31D1D341A46}"/>
            </c:ext>
          </c:extLst>
        </c:ser>
        <c:dLbls>
          <c:showLegendKey val="0"/>
          <c:showVal val="0"/>
          <c:showCatName val="0"/>
          <c:showSerName val="0"/>
          <c:showPercent val="0"/>
          <c:showBubbleSize val="0"/>
        </c:dLbls>
        <c:gapWidth val="150"/>
        <c:overlap val="100"/>
        <c:axId val="465365568"/>
        <c:axId val="465369488"/>
      </c:barChart>
      <c:catAx>
        <c:axId val="465365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9488"/>
        <c:crosses val="autoZero"/>
        <c:auto val="1"/>
        <c:lblAlgn val="ctr"/>
        <c:lblOffset val="100"/>
        <c:tickLblSkip val="1"/>
        <c:tickMarkSkip val="1"/>
        <c:noMultiLvlLbl val="0"/>
      </c:catAx>
      <c:valAx>
        <c:axId val="465369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5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C-489E-8934-91A7432B86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C-489E-8934-91A7432B86E9}"/>
            </c:ext>
          </c:extLst>
        </c:ser>
        <c:dLbls>
          <c:showLegendKey val="0"/>
          <c:showVal val="0"/>
          <c:showCatName val="0"/>
          <c:showSerName val="0"/>
          <c:showPercent val="0"/>
          <c:showBubbleSize val="0"/>
        </c:dLbls>
        <c:gapWidth val="150"/>
        <c:overlap val="100"/>
        <c:axId val="465363608"/>
        <c:axId val="465370664"/>
      </c:barChart>
      <c:catAx>
        <c:axId val="465363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0664"/>
        <c:crosses val="autoZero"/>
        <c:auto val="1"/>
        <c:lblAlgn val="ctr"/>
        <c:lblOffset val="100"/>
        <c:tickLblSkip val="1"/>
        <c:tickMarkSkip val="1"/>
        <c:noMultiLvlLbl val="0"/>
      </c:catAx>
      <c:valAx>
        <c:axId val="4653706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36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DC-489A-98A9-586BC81D09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DC-489A-98A9-586BC81D0937}"/>
            </c:ext>
          </c:extLst>
        </c:ser>
        <c:dLbls>
          <c:showLegendKey val="0"/>
          <c:showVal val="0"/>
          <c:showCatName val="0"/>
          <c:showSerName val="0"/>
          <c:showPercent val="0"/>
          <c:showBubbleSize val="0"/>
        </c:dLbls>
        <c:gapWidth val="150"/>
        <c:overlap val="100"/>
        <c:axId val="465370272"/>
        <c:axId val="465375760"/>
      </c:barChart>
      <c:catAx>
        <c:axId val="465370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5760"/>
        <c:crosses val="autoZero"/>
        <c:auto val="1"/>
        <c:lblAlgn val="ctr"/>
        <c:lblOffset val="100"/>
        <c:tickLblSkip val="1"/>
        <c:tickMarkSkip val="1"/>
        <c:noMultiLvlLbl val="0"/>
      </c:catAx>
      <c:valAx>
        <c:axId val="465375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027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BDA-4C6D-BA59-A5E45587D36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BDA-4C6D-BA59-A5E45587D368}"/>
            </c:ext>
          </c:extLst>
        </c:ser>
        <c:dLbls>
          <c:showLegendKey val="0"/>
          <c:showVal val="0"/>
          <c:showCatName val="0"/>
          <c:showSerName val="0"/>
          <c:showPercent val="0"/>
          <c:showBubbleSize val="0"/>
        </c:dLbls>
        <c:gapWidth val="150"/>
        <c:overlap val="100"/>
        <c:axId val="465373800"/>
        <c:axId val="465374192"/>
      </c:barChart>
      <c:catAx>
        <c:axId val="465373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4192"/>
        <c:crosses val="autoZero"/>
        <c:auto val="1"/>
        <c:lblAlgn val="ctr"/>
        <c:lblOffset val="100"/>
        <c:tickLblSkip val="1"/>
        <c:tickMarkSkip val="1"/>
        <c:noMultiLvlLbl val="0"/>
      </c:catAx>
      <c:valAx>
        <c:axId val="465374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38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CA6-4C2F-9485-76A202A437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CA6-4C2F-9485-76A202A43713}"/>
            </c:ext>
          </c:extLst>
        </c:ser>
        <c:dLbls>
          <c:showLegendKey val="0"/>
          <c:showVal val="0"/>
          <c:showCatName val="0"/>
          <c:showSerName val="0"/>
          <c:showPercent val="0"/>
          <c:showBubbleSize val="0"/>
        </c:dLbls>
        <c:gapWidth val="150"/>
        <c:overlap val="100"/>
        <c:axId val="465368312"/>
        <c:axId val="465368704"/>
      </c:barChart>
      <c:catAx>
        <c:axId val="4653683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68704"/>
        <c:crosses val="autoZero"/>
        <c:auto val="1"/>
        <c:lblAlgn val="ctr"/>
        <c:lblOffset val="100"/>
        <c:tickLblSkip val="1"/>
        <c:tickMarkSkip val="1"/>
        <c:noMultiLvlLbl val="0"/>
      </c:catAx>
      <c:valAx>
        <c:axId val="465368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68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6D3-473A-92D1-EA21711ABE7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6D3-473A-92D1-EA21711ABE75}"/>
            </c:ext>
          </c:extLst>
        </c:ser>
        <c:dLbls>
          <c:showLegendKey val="0"/>
          <c:showVal val="0"/>
          <c:showCatName val="0"/>
          <c:showSerName val="0"/>
          <c:showPercent val="0"/>
          <c:showBubbleSize val="0"/>
        </c:dLbls>
        <c:gapWidth val="150"/>
        <c:overlap val="100"/>
        <c:axId val="465388304"/>
        <c:axId val="465376152"/>
      </c:barChart>
      <c:catAx>
        <c:axId val="465388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6152"/>
        <c:crosses val="autoZero"/>
        <c:auto val="1"/>
        <c:lblAlgn val="ctr"/>
        <c:lblOffset val="100"/>
        <c:tickLblSkip val="1"/>
        <c:tickMarkSkip val="1"/>
        <c:noMultiLvlLbl val="0"/>
      </c:catAx>
      <c:valAx>
        <c:axId val="4653761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83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915-4AC4-9D27-15C7DB97CE1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915-4AC4-9D27-15C7DB97CE16}"/>
            </c:ext>
          </c:extLst>
        </c:ser>
        <c:dLbls>
          <c:showLegendKey val="0"/>
          <c:showVal val="0"/>
          <c:showCatName val="0"/>
          <c:showSerName val="0"/>
          <c:showPercent val="0"/>
          <c:showBubbleSize val="0"/>
        </c:dLbls>
        <c:gapWidth val="150"/>
        <c:overlap val="100"/>
        <c:axId val="465387520"/>
        <c:axId val="465376936"/>
      </c:barChart>
      <c:catAx>
        <c:axId val="465387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6936"/>
        <c:crosses val="autoZero"/>
        <c:auto val="1"/>
        <c:lblAlgn val="ctr"/>
        <c:lblOffset val="100"/>
        <c:tickLblSkip val="1"/>
        <c:tickMarkSkip val="1"/>
        <c:noMultiLvlLbl val="0"/>
      </c:catAx>
      <c:valAx>
        <c:axId val="465376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7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83-46A6-8170-42B85602F6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83-46A6-8170-42B85602F638}"/>
            </c:ext>
          </c:extLst>
        </c:ser>
        <c:dLbls>
          <c:showLegendKey val="0"/>
          <c:showVal val="0"/>
          <c:showCatName val="0"/>
          <c:showSerName val="0"/>
          <c:showPercent val="0"/>
          <c:showBubbleSize val="0"/>
        </c:dLbls>
        <c:gapWidth val="150"/>
        <c:overlap val="100"/>
        <c:axId val="465377720"/>
        <c:axId val="465387912"/>
      </c:barChart>
      <c:catAx>
        <c:axId val="465377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7912"/>
        <c:crosses val="autoZero"/>
        <c:auto val="1"/>
        <c:lblAlgn val="ctr"/>
        <c:lblOffset val="100"/>
        <c:tickLblSkip val="1"/>
        <c:tickMarkSkip val="1"/>
        <c:noMultiLvlLbl val="0"/>
      </c:catAx>
      <c:valAx>
        <c:axId val="465387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77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66" r="0.75000000000000366" t="0.98425196899999956" header="0.5" footer="0.5"/>
    <c:pageSetup orientation="portrait"/>
  </c:printSettings>
</c:chartSpace>
</file>

<file path=xl/charts/chart6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B9-41B0-85FF-8B293F1884F5}"/>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B9-41B0-85FF-8B293F1884F5}"/>
            </c:ext>
          </c:extLst>
        </c:ser>
        <c:dLbls>
          <c:showLegendKey val="0"/>
          <c:showVal val="0"/>
          <c:showCatName val="0"/>
          <c:showSerName val="0"/>
          <c:showPercent val="0"/>
          <c:showBubbleSize val="0"/>
        </c:dLbls>
        <c:smooth val="0"/>
        <c:axId val="465384384"/>
        <c:axId val="465378896"/>
      </c:lineChart>
      <c:catAx>
        <c:axId val="465384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78896"/>
        <c:crosses val="autoZero"/>
        <c:auto val="1"/>
        <c:lblAlgn val="ctr"/>
        <c:lblOffset val="100"/>
        <c:tickLblSkip val="1"/>
        <c:tickMarkSkip val="1"/>
        <c:noMultiLvlLbl val="0"/>
      </c:catAx>
      <c:valAx>
        <c:axId val="465378896"/>
        <c:scaling>
          <c:orientation val="minMax"/>
          <c:max val="25"/>
          <c:min val="-25"/>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43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45A-443B-AD46-2A69ABDC4818}"/>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45A-443B-AD46-2A69ABDC4818}"/>
            </c:ext>
          </c:extLst>
        </c:ser>
        <c:dLbls>
          <c:showLegendKey val="0"/>
          <c:showVal val="0"/>
          <c:showCatName val="0"/>
          <c:showSerName val="0"/>
          <c:showPercent val="0"/>
          <c:showBubbleSize val="0"/>
        </c:dLbls>
        <c:smooth val="0"/>
        <c:axId val="465385952"/>
        <c:axId val="465382816"/>
      </c:lineChart>
      <c:catAx>
        <c:axId val="4653859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2816"/>
        <c:crosses val="autoZero"/>
        <c:auto val="1"/>
        <c:lblAlgn val="ctr"/>
        <c:lblOffset val="100"/>
        <c:tickLblSkip val="1"/>
        <c:tickMarkSkip val="1"/>
        <c:noMultiLvlLbl val="0"/>
      </c:catAx>
      <c:valAx>
        <c:axId val="4653828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595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92E-48BA-8CEA-D188A6E7E40A}"/>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92E-48BA-8CEA-D188A6E7E40A}"/>
            </c:ext>
          </c:extLst>
        </c:ser>
        <c:dLbls>
          <c:showLegendKey val="0"/>
          <c:showVal val="0"/>
          <c:showCatName val="0"/>
          <c:showSerName val="0"/>
          <c:showPercent val="0"/>
          <c:showBubbleSize val="0"/>
        </c:dLbls>
        <c:smooth val="0"/>
        <c:axId val="465384776"/>
        <c:axId val="465385560"/>
      </c:lineChart>
      <c:catAx>
        <c:axId val="465384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85560"/>
        <c:crosses val="autoZero"/>
        <c:auto val="1"/>
        <c:lblAlgn val="ctr"/>
        <c:lblOffset val="100"/>
        <c:tickLblSkip val="1"/>
        <c:tickMarkSkip val="1"/>
        <c:noMultiLvlLbl val="0"/>
      </c:catAx>
      <c:valAx>
        <c:axId val="46538556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847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F-44E3-9429-449312EBDC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F-44E3-9429-449312EBDCC3}"/>
            </c:ext>
          </c:extLst>
        </c:ser>
        <c:dLbls>
          <c:showLegendKey val="0"/>
          <c:showVal val="0"/>
          <c:showCatName val="0"/>
          <c:showSerName val="0"/>
          <c:showPercent val="0"/>
          <c:showBubbleSize val="0"/>
        </c:dLbls>
        <c:gapWidth val="150"/>
        <c:overlap val="100"/>
        <c:axId val="465391440"/>
        <c:axId val="465397320"/>
      </c:barChart>
      <c:catAx>
        <c:axId val="4653914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7320"/>
        <c:crosses val="autoZero"/>
        <c:auto val="1"/>
        <c:lblAlgn val="ctr"/>
        <c:lblOffset val="100"/>
        <c:tickLblSkip val="1"/>
        <c:tickMarkSkip val="1"/>
        <c:noMultiLvlLbl val="0"/>
      </c:catAx>
      <c:valAx>
        <c:axId val="465397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144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05A-4EA9-88BE-85E2DA9818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05A-4EA9-88BE-85E2DA9818C7}"/>
            </c:ext>
          </c:extLst>
        </c:ser>
        <c:dLbls>
          <c:showLegendKey val="0"/>
          <c:showVal val="0"/>
          <c:showCatName val="0"/>
          <c:showSerName val="0"/>
          <c:showPercent val="0"/>
          <c:showBubbleSize val="0"/>
        </c:dLbls>
        <c:gapWidth val="150"/>
        <c:overlap val="100"/>
        <c:axId val="465400064"/>
        <c:axId val="465397712"/>
      </c:barChart>
      <c:catAx>
        <c:axId val="465400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7712"/>
        <c:crosses val="autoZero"/>
        <c:auto val="1"/>
        <c:lblAlgn val="ctr"/>
        <c:lblOffset val="100"/>
        <c:tickLblSkip val="1"/>
        <c:tickMarkSkip val="1"/>
        <c:noMultiLvlLbl val="0"/>
      </c:catAx>
      <c:valAx>
        <c:axId val="465397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0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8E3-4DA4-9726-8C20752A40A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8E3-4DA4-9726-8C20752A40AB}"/>
            </c:ext>
          </c:extLst>
        </c:ser>
        <c:dLbls>
          <c:showLegendKey val="0"/>
          <c:showVal val="0"/>
          <c:showCatName val="0"/>
          <c:showSerName val="0"/>
          <c:showPercent val="0"/>
          <c:showBubbleSize val="0"/>
        </c:dLbls>
        <c:gapWidth val="150"/>
        <c:overlap val="100"/>
        <c:axId val="465390656"/>
        <c:axId val="465395360"/>
      </c:barChart>
      <c:catAx>
        <c:axId val="465390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5360"/>
        <c:crosses val="autoZero"/>
        <c:auto val="1"/>
        <c:lblAlgn val="ctr"/>
        <c:lblOffset val="100"/>
        <c:tickLblSkip val="1"/>
        <c:tickMarkSkip val="1"/>
        <c:noMultiLvlLbl val="0"/>
      </c:catAx>
      <c:valAx>
        <c:axId val="4653953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06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13E-4BA8-BD1D-24C92BC5A4A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13E-4BA8-BD1D-24C92BC5A4A5}"/>
            </c:ext>
          </c:extLst>
        </c:ser>
        <c:dLbls>
          <c:showLegendKey val="0"/>
          <c:showVal val="0"/>
          <c:showCatName val="0"/>
          <c:showSerName val="0"/>
          <c:showPercent val="0"/>
          <c:showBubbleSize val="0"/>
        </c:dLbls>
        <c:gapWidth val="150"/>
        <c:overlap val="100"/>
        <c:axId val="465398104"/>
        <c:axId val="465392616"/>
      </c:barChart>
      <c:catAx>
        <c:axId val="465398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2616"/>
        <c:crosses val="autoZero"/>
        <c:auto val="1"/>
        <c:lblAlgn val="ctr"/>
        <c:lblOffset val="100"/>
        <c:tickLblSkip val="1"/>
        <c:tickMarkSkip val="1"/>
        <c:noMultiLvlLbl val="0"/>
      </c:catAx>
      <c:valAx>
        <c:axId val="4653926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81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904-4DB4-AC79-6FA0FE4BD5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904-4DB4-AC79-6FA0FE4BD50E}"/>
            </c:ext>
          </c:extLst>
        </c:ser>
        <c:dLbls>
          <c:showLegendKey val="0"/>
          <c:showVal val="0"/>
          <c:showCatName val="0"/>
          <c:showSerName val="0"/>
          <c:showPercent val="0"/>
          <c:showBubbleSize val="0"/>
        </c:dLbls>
        <c:gapWidth val="150"/>
        <c:overlap val="100"/>
        <c:axId val="465393008"/>
        <c:axId val="465393400"/>
      </c:barChart>
      <c:catAx>
        <c:axId val="465393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3400"/>
        <c:crosses val="autoZero"/>
        <c:auto val="1"/>
        <c:lblAlgn val="ctr"/>
        <c:lblOffset val="100"/>
        <c:tickLblSkip val="1"/>
        <c:tickMarkSkip val="1"/>
        <c:noMultiLvlLbl val="0"/>
      </c:catAx>
      <c:valAx>
        <c:axId val="465393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3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BE1-4CAB-8846-810467CD7F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BE1-4CAB-8846-810467CD7F1C}"/>
            </c:ext>
          </c:extLst>
        </c:ser>
        <c:dLbls>
          <c:showLegendKey val="0"/>
          <c:showVal val="0"/>
          <c:showCatName val="0"/>
          <c:showSerName val="0"/>
          <c:showPercent val="0"/>
          <c:showBubbleSize val="0"/>
        </c:dLbls>
        <c:gapWidth val="150"/>
        <c:overlap val="100"/>
        <c:axId val="465396536"/>
        <c:axId val="465399672"/>
      </c:barChart>
      <c:catAx>
        <c:axId val="4653965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399672"/>
        <c:crosses val="autoZero"/>
        <c:auto val="1"/>
        <c:lblAlgn val="ctr"/>
        <c:lblOffset val="100"/>
        <c:tickLblSkip val="1"/>
        <c:tickMarkSkip val="1"/>
        <c:noMultiLvlLbl val="0"/>
      </c:catAx>
      <c:valAx>
        <c:axId val="465399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3965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E34-48ED-BDBD-ACE95B5932F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E34-48ED-BDBD-ACE95B5932F9}"/>
            </c:ext>
          </c:extLst>
        </c:ser>
        <c:dLbls>
          <c:showLegendKey val="0"/>
          <c:showVal val="0"/>
          <c:showCatName val="0"/>
          <c:showSerName val="0"/>
          <c:showPercent val="0"/>
          <c:showBubbleSize val="0"/>
        </c:dLbls>
        <c:gapWidth val="150"/>
        <c:overlap val="100"/>
        <c:axId val="465400456"/>
        <c:axId val="465402808"/>
      </c:barChart>
      <c:catAx>
        <c:axId val="465400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2808"/>
        <c:crosses val="autoZero"/>
        <c:auto val="1"/>
        <c:lblAlgn val="ctr"/>
        <c:lblOffset val="100"/>
        <c:tickLblSkip val="1"/>
        <c:tickMarkSkip val="1"/>
        <c:noMultiLvlLbl val="0"/>
      </c:catAx>
      <c:valAx>
        <c:axId val="4654028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0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BA1-4E75-8514-9742CF28F37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BA1-4E75-8514-9742CF28F373}"/>
            </c:ext>
          </c:extLst>
        </c:ser>
        <c:dLbls>
          <c:showLegendKey val="0"/>
          <c:showVal val="0"/>
          <c:showCatName val="0"/>
          <c:showSerName val="0"/>
          <c:showPercent val="0"/>
          <c:showBubbleSize val="0"/>
        </c:dLbls>
        <c:gapWidth val="150"/>
        <c:overlap val="100"/>
        <c:axId val="465404768"/>
        <c:axId val="465406728"/>
      </c:barChart>
      <c:catAx>
        <c:axId val="465404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6728"/>
        <c:crosses val="autoZero"/>
        <c:auto val="1"/>
        <c:lblAlgn val="ctr"/>
        <c:lblOffset val="100"/>
        <c:tickLblSkip val="1"/>
        <c:tickMarkSkip val="1"/>
        <c:noMultiLvlLbl val="0"/>
      </c:catAx>
      <c:valAx>
        <c:axId val="4654067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4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E02-43BB-BA64-2CDC61FC677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E02-43BB-BA64-2CDC61FC6776}"/>
            </c:ext>
          </c:extLst>
        </c:ser>
        <c:dLbls>
          <c:showLegendKey val="0"/>
          <c:showVal val="0"/>
          <c:showCatName val="0"/>
          <c:showSerName val="0"/>
          <c:showPercent val="0"/>
          <c:showBubbleSize val="0"/>
        </c:dLbls>
        <c:gapWidth val="150"/>
        <c:overlap val="100"/>
        <c:axId val="465410648"/>
        <c:axId val="465408296"/>
      </c:barChart>
      <c:catAx>
        <c:axId val="465410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8296"/>
        <c:crosses val="autoZero"/>
        <c:auto val="1"/>
        <c:lblAlgn val="ctr"/>
        <c:lblOffset val="100"/>
        <c:tickLblSkip val="1"/>
        <c:tickMarkSkip val="1"/>
        <c:noMultiLvlLbl val="0"/>
      </c:catAx>
      <c:valAx>
        <c:axId val="465408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06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9-4D90-A3FF-9498C4350C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9-4D90-A3FF-9498C4350C3F}"/>
            </c:ext>
          </c:extLst>
        </c:ser>
        <c:dLbls>
          <c:showLegendKey val="0"/>
          <c:showVal val="0"/>
          <c:showCatName val="0"/>
          <c:showSerName val="0"/>
          <c:showPercent val="0"/>
          <c:showBubbleSize val="0"/>
        </c:dLbls>
        <c:gapWidth val="150"/>
        <c:overlap val="100"/>
        <c:axId val="465407512"/>
        <c:axId val="465401632"/>
      </c:barChart>
      <c:catAx>
        <c:axId val="46540751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1632"/>
        <c:crosses val="autoZero"/>
        <c:auto val="1"/>
        <c:lblAlgn val="ctr"/>
        <c:lblOffset val="100"/>
        <c:tickLblSkip val="1"/>
        <c:tickMarkSkip val="1"/>
        <c:noMultiLvlLbl val="0"/>
      </c:catAx>
      <c:valAx>
        <c:axId val="465401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751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59-4EA9-81AE-EB1ECE8C583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59-4EA9-81AE-EB1ECE8C583C}"/>
            </c:ext>
          </c:extLst>
        </c:ser>
        <c:dLbls>
          <c:showLegendKey val="0"/>
          <c:showVal val="0"/>
          <c:showCatName val="0"/>
          <c:showSerName val="0"/>
          <c:showPercent val="0"/>
          <c:showBubbleSize val="0"/>
        </c:dLbls>
        <c:gapWidth val="150"/>
        <c:overlap val="100"/>
        <c:axId val="465403200"/>
        <c:axId val="465405160"/>
      </c:barChart>
      <c:catAx>
        <c:axId val="465403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5160"/>
        <c:crosses val="autoZero"/>
        <c:auto val="1"/>
        <c:lblAlgn val="ctr"/>
        <c:lblOffset val="100"/>
        <c:tickLblSkip val="1"/>
        <c:tickMarkSkip val="1"/>
        <c:noMultiLvlLbl val="0"/>
      </c:catAx>
      <c:valAx>
        <c:axId val="465405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3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500-4719-B5C5-7F32FD1AAD4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500-4719-B5C5-7F32FD1AAD42}"/>
            </c:ext>
          </c:extLst>
        </c:ser>
        <c:dLbls>
          <c:showLegendKey val="0"/>
          <c:showVal val="0"/>
          <c:showCatName val="0"/>
          <c:showSerName val="0"/>
          <c:showPercent val="0"/>
          <c:showBubbleSize val="0"/>
        </c:dLbls>
        <c:gapWidth val="150"/>
        <c:overlap val="100"/>
        <c:axId val="465404376"/>
        <c:axId val="465405552"/>
      </c:barChart>
      <c:catAx>
        <c:axId val="4654043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05552"/>
        <c:crosses val="autoZero"/>
        <c:auto val="1"/>
        <c:lblAlgn val="ctr"/>
        <c:lblOffset val="100"/>
        <c:tickLblSkip val="1"/>
        <c:tickMarkSkip val="1"/>
        <c:noMultiLvlLbl val="0"/>
      </c:catAx>
      <c:valAx>
        <c:axId val="465405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0437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58B-43F1-BE71-5E3AB14BB40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58B-43F1-BE71-5E3AB14BB409}"/>
            </c:ext>
          </c:extLst>
        </c:ser>
        <c:dLbls>
          <c:showLegendKey val="0"/>
          <c:showVal val="0"/>
          <c:showCatName val="0"/>
          <c:showSerName val="0"/>
          <c:showPercent val="0"/>
          <c:showBubbleSize val="0"/>
        </c:dLbls>
        <c:gapWidth val="150"/>
        <c:overlap val="100"/>
        <c:axId val="465412608"/>
        <c:axId val="465413392"/>
      </c:barChart>
      <c:catAx>
        <c:axId val="4654126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3392"/>
        <c:crosses val="autoZero"/>
        <c:auto val="1"/>
        <c:lblAlgn val="ctr"/>
        <c:lblOffset val="100"/>
        <c:tickLblSkip val="1"/>
        <c:tickMarkSkip val="1"/>
        <c:noMultiLvlLbl val="0"/>
      </c:catAx>
      <c:valAx>
        <c:axId val="465413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26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0E9-4789-BAF8-69B92680C20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0E9-4789-BAF8-69B92680C20A}"/>
            </c:ext>
          </c:extLst>
        </c:ser>
        <c:dLbls>
          <c:showLegendKey val="0"/>
          <c:showVal val="0"/>
          <c:showCatName val="0"/>
          <c:showSerName val="0"/>
          <c:showPercent val="0"/>
          <c:showBubbleSize val="0"/>
        </c:dLbls>
        <c:gapWidth val="150"/>
        <c:overlap val="100"/>
        <c:axId val="465418880"/>
        <c:axId val="465422016"/>
      </c:barChart>
      <c:catAx>
        <c:axId val="465418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2016"/>
        <c:crosses val="autoZero"/>
        <c:auto val="1"/>
        <c:lblAlgn val="ctr"/>
        <c:lblOffset val="100"/>
        <c:tickLblSkip val="1"/>
        <c:tickMarkSkip val="1"/>
        <c:noMultiLvlLbl val="0"/>
      </c:catAx>
      <c:valAx>
        <c:axId val="465422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88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AF-4730-B6BF-1F6F3ABE33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AF-4730-B6BF-1F6F3ABE33D5}"/>
            </c:ext>
          </c:extLst>
        </c:ser>
        <c:dLbls>
          <c:showLegendKey val="0"/>
          <c:showVal val="0"/>
          <c:showCatName val="0"/>
          <c:showSerName val="0"/>
          <c:showPercent val="0"/>
          <c:showBubbleSize val="0"/>
        </c:dLbls>
        <c:gapWidth val="150"/>
        <c:overlap val="100"/>
        <c:axId val="465415744"/>
        <c:axId val="465419272"/>
      </c:barChart>
      <c:catAx>
        <c:axId val="465415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9272"/>
        <c:crosses val="autoZero"/>
        <c:auto val="1"/>
        <c:lblAlgn val="ctr"/>
        <c:lblOffset val="100"/>
        <c:tickLblSkip val="1"/>
        <c:tickMarkSkip val="1"/>
        <c:noMultiLvlLbl val="0"/>
      </c:catAx>
      <c:valAx>
        <c:axId val="465419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5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992-45BD-874B-58F6704CE3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992-45BD-874B-58F6704CE30E}"/>
            </c:ext>
          </c:extLst>
        </c:ser>
        <c:dLbls>
          <c:showLegendKey val="0"/>
          <c:showVal val="0"/>
          <c:showCatName val="0"/>
          <c:showSerName val="0"/>
          <c:showPercent val="0"/>
          <c:showBubbleSize val="0"/>
        </c:dLbls>
        <c:gapWidth val="150"/>
        <c:overlap val="100"/>
        <c:axId val="465419664"/>
        <c:axId val="465418488"/>
      </c:barChart>
      <c:catAx>
        <c:axId val="465419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8488"/>
        <c:crosses val="autoZero"/>
        <c:auto val="1"/>
        <c:lblAlgn val="ctr"/>
        <c:lblOffset val="100"/>
        <c:tickLblSkip val="1"/>
        <c:tickMarkSkip val="1"/>
        <c:noMultiLvlLbl val="0"/>
      </c:catAx>
      <c:valAx>
        <c:axId val="4654184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9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4B-41D3-A11E-AA49FB59ECB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4B-41D3-A11E-AA49FB59ECBD}"/>
            </c:ext>
          </c:extLst>
        </c:ser>
        <c:dLbls>
          <c:showLegendKey val="0"/>
          <c:showVal val="0"/>
          <c:showCatName val="0"/>
          <c:showSerName val="0"/>
          <c:showPercent val="0"/>
          <c:showBubbleSize val="0"/>
        </c:dLbls>
        <c:gapWidth val="150"/>
        <c:overlap val="100"/>
        <c:axId val="465414568"/>
        <c:axId val="465421232"/>
      </c:barChart>
      <c:catAx>
        <c:axId val="465414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1232"/>
        <c:crosses val="autoZero"/>
        <c:auto val="1"/>
        <c:lblAlgn val="ctr"/>
        <c:lblOffset val="100"/>
        <c:tickLblSkip val="1"/>
        <c:tickMarkSkip val="1"/>
        <c:noMultiLvlLbl val="0"/>
      </c:catAx>
      <c:valAx>
        <c:axId val="465421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4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D0B-4ED8-B41A-93C62534CE2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D0B-4ED8-B41A-93C62534CE2C}"/>
            </c:ext>
          </c:extLst>
        </c:ser>
        <c:dLbls>
          <c:showLegendKey val="0"/>
          <c:showVal val="0"/>
          <c:showCatName val="0"/>
          <c:showSerName val="0"/>
          <c:showPercent val="0"/>
          <c:showBubbleSize val="0"/>
        </c:dLbls>
        <c:gapWidth val="150"/>
        <c:overlap val="100"/>
        <c:axId val="465417704"/>
        <c:axId val="465422408"/>
      </c:barChart>
      <c:catAx>
        <c:axId val="465417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2408"/>
        <c:crosses val="autoZero"/>
        <c:auto val="1"/>
        <c:lblAlgn val="ctr"/>
        <c:lblOffset val="100"/>
        <c:tickLblSkip val="1"/>
        <c:tickMarkSkip val="1"/>
        <c:noMultiLvlLbl val="0"/>
      </c:catAx>
      <c:valAx>
        <c:axId val="465422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7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6D9-41F4-AE96-CCFEFF1F62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6D9-41F4-AE96-CCFEFF1F6281}"/>
            </c:ext>
          </c:extLst>
        </c:ser>
        <c:dLbls>
          <c:showLegendKey val="0"/>
          <c:showVal val="0"/>
          <c:showCatName val="0"/>
          <c:showSerName val="0"/>
          <c:showPercent val="0"/>
          <c:showBubbleSize val="0"/>
        </c:dLbls>
        <c:gapWidth val="150"/>
        <c:overlap val="100"/>
        <c:axId val="465416528"/>
        <c:axId val="465416920"/>
      </c:barChart>
      <c:catAx>
        <c:axId val="465416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16920"/>
        <c:crosses val="autoZero"/>
        <c:auto val="1"/>
        <c:lblAlgn val="ctr"/>
        <c:lblOffset val="100"/>
        <c:tickLblSkip val="1"/>
        <c:tickMarkSkip val="1"/>
        <c:noMultiLvlLbl val="0"/>
      </c:catAx>
      <c:valAx>
        <c:axId val="4654169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16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CB-4D9C-AD8D-479F39D850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CB-4D9C-AD8D-479F39D850A7}"/>
            </c:ext>
          </c:extLst>
        </c:ser>
        <c:dLbls>
          <c:showLegendKey val="0"/>
          <c:showVal val="0"/>
          <c:showCatName val="0"/>
          <c:showSerName val="0"/>
          <c:showPercent val="0"/>
          <c:showBubbleSize val="0"/>
        </c:dLbls>
        <c:gapWidth val="150"/>
        <c:overlap val="100"/>
        <c:axId val="465431424"/>
        <c:axId val="465428288"/>
      </c:barChart>
      <c:catAx>
        <c:axId val="4654314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8288"/>
        <c:crosses val="autoZero"/>
        <c:auto val="1"/>
        <c:lblAlgn val="ctr"/>
        <c:lblOffset val="100"/>
        <c:tickLblSkip val="1"/>
        <c:tickMarkSkip val="1"/>
        <c:noMultiLvlLbl val="0"/>
      </c:catAx>
      <c:valAx>
        <c:axId val="465428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14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5AA-46C7-88BF-5FA7EF0B40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5AA-46C7-88BF-5FA7EF0B40E9}"/>
            </c:ext>
          </c:extLst>
        </c:ser>
        <c:dLbls>
          <c:showLegendKey val="0"/>
          <c:showVal val="0"/>
          <c:showCatName val="0"/>
          <c:showSerName val="0"/>
          <c:showPercent val="0"/>
          <c:showBubbleSize val="0"/>
        </c:dLbls>
        <c:gapWidth val="150"/>
        <c:overlap val="100"/>
        <c:axId val="465436520"/>
        <c:axId val="465430248"/>
      </c:barChart>
      <c:catAx>
        <c:axId val="465436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0248"/>
        <c:crosses val="autoZero"/>
        <c:auto val="1"/>
        <c:lblAlgn val="ctr"/>
        <c:lblOffset val="100"/>
        <c:tickLblSkip val="1"/>
        <c:tickMarkSkip val="1"/>
        <c:noMultiLvlLbl val="0"/>
      </c:catAx>
      <c:valAx>
        <c:axId val="465430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6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C99-4B90-8DD7-876EAE4B3FA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C99-4B90-8DD7-876EAE4B3FA7}"/>
            </c:ext>
          </c:extLst>
        </c:ser>
        <c:dLbls>
          <c:showLegendKey val="0"/>
          <c:showVal val="0"/>
          <c:showCatName val="0"/>
          <c:showSerName val="0"/>
          <c:showPercent val="0"/>
          <c:showBubbleSize val="0"/>
        </c:dLbls>
        <c:gapWidth val="150"/>
        <c:overlap val="100"/>
        <c:axId val="465433776"/>
        <c:axId val="465428680"/>
      </c:barChart>
      <c:catAx>
        <c:axId val="46543377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28680"/>
        <c:crosses val="autoZero"/>
        <c:auto val="1"/>
        <c:lblAlgn val="ctr"/>
        <c:lblOffset val="100"/>
        <c:tickLblSkip val="1"/>
        <c:tickMarkSkip val="1"/>
        <c:noMultiLvlLbl val="0"/>
      </c:catAx>
      <c:valAx>
        <c:axId val="465428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377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09C-4AE5-A8B4-E0F75EAF8DD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09C-4AE5-A8B4-E0F75EAF8DDF}"/>
            </c:ext>
          </c:extLst>
        </c:ser>
        <c:dLbls>
          <c:showLegendKey val="0"/>
          <c:showVal val="0"/>
          <c:showCatName val="0"/>
          <c:showSerName val="0"/>
          <c:showPercent val="0"/>
          <c:showBubbleSize val="0"/>
        </c:dLbls>
        <c:gapWidth val="150"/>
        <c:overlap val="100"/>
        <c:axId val="465438088"/>
        <c:axId val="465436128"/>
      </c:barChart>
      <c:catAx>
        <c:axId val="465438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6128"/>
        <c:crosses val="autoZero"/>
        <c:auto val="1"/>
        <c:lblAlgn val="ctr"/>
        <c:lblOffset val="100"/>
        <c:tickLblSkip val="1"/>
        <c:tickMarkSkip val="1"/>
        <c:noMultiLvlLbl val="0"/>
      </c:catAx>
      <c:valAx>
        <c:axId val="4654361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80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1E-402C-98F7-FD8D1474B2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1E-402C-98F7-FD8D1474B228}"/>
            </c:ext>
          </c:extLst>
        </c:ser>
        <c:dLbls>
          <c:showLegendKey val="0"/>
          <c:showVal val="0"/>
          <c:showCatName val="0"/>
          <c:showSerName val="0"/>
          <c:showPercent val="0"/>
          <c:showBubbleSize val="0"/>
        </c:dLbls>
        <c:gapWidth val="150"/>
        <c:overlap val="100"/>
        <c:axId val="465427896"/>
        <c:axId val="465430640"/>
      </c:barChart>
      <c:catAx>
        <c:axId val="465427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0640"/>
        <c:crosses val="autoZero"/>
        <c:auto val="1"/>
        <c:lblAlgn val="ctr"/>
        <c:lblOffset val="100"/>
        <c:tickLblSkip val="1"/>
        <c:tickMarkSkip val="1"/>
        <c:noMultiLvlLbl val="0"/>
      </c:catAx>
      <c:valAx>
        <c:axId val="465430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27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977-4A03-898F-92E16BDE58E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977-4A03-898F-92E16BDE58E0}"/>
            </c:ext>
          </c:extLst>
        </c:ser>
        <c:dLbls>
          <c:showLegendKey val="0"/>
          <c:showVal val="0"/>
          <c:showCatName val="0"/>
          <c:showSerName val="0"/>
          <c:showPercent val="0"/>
          <c:showBubbleSize val="0"/>
        </c:dLbls>
        <c:gapWidth val="150"/>
        <c:overlap val="100"/>
        <c:axId val="465426720"/>
        <c:axId val="465432600"/>
      </c:barChart>
      <c:catAx>
        <c:axId val="465426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2600"/>
        <c:crosses val="autoZero"/>
        <c:auto val="1"/>
        <c:lblAlgn val="ctr"/>
        <c:lblOffset val="100"/>
        <c:tickLblSkip val="1"/>
        <c:tickMarkSkip val="1"/>
        <c:noMultiLvlLbl val="0"/>
      </c:catAx>
      <c:valAx>
        <c:axId val="465432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267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631-45AD-B0CA-917401EA74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631-45AD-B0CA-917401EA74A9}"/>
            </c:ext>
          </c:extLst>
        </c:ser>
        <c:dLbls>
          <c:showLegendKey val="0"/>
          <c:showVal val="0"/>
          <c:showCatName val="0"/>
          <c:showSerName val="0"/>
          <c:showPercent val="0"/>
          <c:showBubbleSize val="0"/>
        </c:dLbls>
        <c:gapWidth val="150"/>
        <c:overlap val="100"/>
        <c:axId val="465435344"/>
        <c:axId val="465437696"/>
      </c:barChart>
      <c:catAx>
        <c:axId val="465435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37696"/>
        <c:crosses val="autoZero"/>
        <c:auto val="1"/>
        <c:lblAlgn val="ctr"/>
        <c:lblOffset val="100"/>
        <c:tickLblSkip val="1"/>
        <c:tickMarkSkip val="1"/>
        <c:noMultiLvlLbl val="0"/>
      </c:catAx>
      <c:valAx>
        <c:axId val="4654376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5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F8A-48EC-995B-A5D1CD2E3F1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F8A-48EC-995B-A5D1CD2E3F1D}"/>
            </c:ext>
          </c:extLst>
        </c:ser>
        <c:dLbls>
          <c:showLegendKey val="0"/>
          <c:showVal val="0"/>
          <c:showCatName val="0"/>
          <c:showSerName val="0"/>
          <c:showPercent val="0"/>
          <c:showBubbleSize val="0"/>
        </c:dLbls>
        <c:gapWidth val="150"/>
        <c:overlap val="100"/>
        <c:axId val="465449064"/>
        <c:axId val="465446320"/>
      </c:barChart>
      <c:catAx>
        <c:axId val="465449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6320"/>
        <c:crosses val="autoZero"/>
        <c:auto val="1"/>
        <c:lblAlgn val="ctr"/>
        <c:lblOffset val="100"/>
        <c:tickLblSkip val="1"/>
        <c:tickMarkSkip val="1"/>
        <c:noMultiLvlLbl val="0"/>
      </c:catAx>
      <c:valAx>
        <c:axId val="465446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9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A19-4417-875A-2874C6D9F01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A19-4417-875A-2874C6D9F01A}"/>
            </c:ext>
          </c:extLst>
        </c:ser>
        <c:dLbls>
          <c:showLegendKey val="0"/>
          <c:showVal val="0"/>
          <c:showCatName val="0"/>
          <c:showSerName val="0"/>
          <c:showPercent val="0"/>
          <c:showBubbleSize val="0"/>
        </c:dLbls>
        <c:gapWidth val="150"/>
        <c:overlap val="100"/>
        <c:axId val="465439264"/>
        <c:axId val="465444752"/>
      </c:barChart>
      <c:catAx>
        <c:axId val="4654392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4752"/>
        <c:crosses val="autoZero"/>
        <c:auto val="1"/>
        <c:lblAlgn val="ctr"/>
        <c:lblOffset val="100"/>
        <c:tickLblSkip val="1"/>
        <c:tickMarkSkip val="1"/>
        <c:noMultiLvlLbl val="0"/>
      </c:catAx>
      <c:valAx>
        <c:axId val="4654447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392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E-4CB8-9F09-E467F8BBD2E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E-4CB8-9F09-E467F8BBD2E9}"/>
            </c:ext>
          </c:extLst>
        </c:ser>
        <c:dLbls>
          <c:showLegendKey val="0"/>
          <c:showVal val="0"/>
          <c:showCatName val="0"/>
          <c:showSerName val="0"/>
          <c:showPercent val="0"/>
          <c:showBubbleSize val="0"/>
        </c:dLbls>
        <c:gapWidth val="150"/>
        <c:overlap val="100"/>
        <c:axId val="465451024"/>
        <c:axId val="465441224"/>
      </c:barChart>
      <c:catAx>
        <c:axId val="465451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1224"/>
        <c:crosses val="autoZero"/>
        <c:auto val="1"/>
        <c:lblAlgn val="ctr"/>
        <c:lblOffset val="100"/>
        <c:tickLblSkip val="1"/>
        <c:tickMarkSkip val="1"/>
        <c:noMultiLvlLbl val="0"/>
      </c:catAx>
      <c:valAx>
        <c:axId val="4654412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51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D29-42CE-8D45-92F42F19BC3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D29-42CE-8D45-92F42F19BC31}"/>
            </c:ext>
          </c:extLst>
        </c:ser>
        <c:dLbls>
          <c:showLegendKey val="0"/>
          <c:showVal val="0"/>
          <c:showCatName val="0"/>
          <c:showSerName val="0"/>
          <c:showPercent val="0"/>
          <c:showBubbleSize val="0"/>
        </c:dLbls>
        <c:gapWidth val="150"/>
        <c:overlap val="100"/>
        <c:axId val="465442008"/>
        <c:axId val="465446712"/>
      </c:barChart>
      <c:catAx>
        <c:axId val="4654420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6712"/>
        <c:crosses val="autoZero"/>
        <c:auto val="1"/>
        <c:lblAlgn val="ctr"/>
        <c:lblOffset val="100"/>
        <c:tickLblSkip val="1"/>
        <c:tickMarkSkip val="1"/>
        <c:noMultiLvlLbl val="0"/>
      </c:catAx>
      <c:valAx>
        <c:axId val="465446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20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835-42DF-9199-236B4B2891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835-42DF-9199-236B4B28913A}"/>
            </c:ext>
          </c:extLst>
        </c:ser>
        <c:dLbls>
          <c:showLegendKey val="0"/>
          <c:showVal val="0"/>
          <c:showCatName val="0"/>
          <c:showSerName val="0"/>
          <c:showPercent val="0"/>
          <c:showBubbleSize val="0"/>
        </c:dLbls>
        <c:gapWidth val="150"/>
        <c:overlap val="100"/>
        <c:axId val="465447496"/>
        <c:axId val="465443184"/>
      </c:barChart>
      <c:catAx>
        <c:axId val="465447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3184"/>
        <c:crosses val="autoZero"/>
        <c:auto val="1"/>
        <c:lblAlgn val="ctr"/>
        <c:lblOffset val="100"/>
        <c:tickLblSkip val="1"/>
        <c:tickMarkSkip val="1"/>
        <c:noMultiLvlLbl val="0"/>
      </c:catAx>
      <c:valAx>
        <c:axId val="4654431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749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D-42A0-B5D0-6EBFCB4479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D-42A0-B5D0-6EBFCB4479A9}"/>
            </c:ext>
          </c:extLst>
        </c:ser>
        <c:dLbls>
          <c:showLegendKey val="0"/>
          <c:showVal val="0"/>
          <c:showCatName val="0"/>
          <c:showSerName val="0"/>
          <c:showPercent val="0"/>
          <c:showBubbleSize val="0"/>
        </c:dLbls>
        <c:gapWidth val="150"/>
        <c:overlap val="100"/>
        <c:axId val="465447888"/>
        <c:axId val="465448280"/>
      </c:barChart>
      <c:catAx>
        <c:axId val="4654478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65448280"/>
        <c:crosses val="autoZero"/>
        <c:auto val="1"/>
        <c:lblAlgn val="ctr"/>
        <c:lblOffset val="100"/>
        <c:tickLblSkip val="1"/>
        <c:tickMarkSkip val="1"/>
        <c:noMultiLvlLbl val="0"/>
      </c:catAx>
      <c:valAx>
        <c:axId val="465448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654478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C0-4C10-A82B-14BE4DFBFCD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C0-4C10-A82B-14BE4DFBFCD5}"/>
            </c:ext>
          </c:extLst>
        </c:ser>
        <c:dLbls>
          <c:showLegendKey val="0"/>
          <c:showVal val="0"/>
          <c:showCatName val="0"/>
          <c:showSerName val="0"/>
          <c:showPercent val="0"/>
          <c:showBubbleSize val="0"/>
        </c:dLbls>
        <c:gapWidth val="150"/>
        <c:overlap val="100"/>
        <c:axId val="475599336"/>
        <c:axId val="475604040"/>
      </c:barChart>
      <c:catAx>
        <c:axId val="4755993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4040"/>
        <c:crosses val="autoZero"/>
        <c:auto val="1"/>
        <c:lblAlgn val="ctr"/>
        <c:lblOffset val="100"/>
        <c:tickLblSkip val="1"/>
        <c:tickMarkSkip val="1"/>
        <c:noMultiLvlLbl val="0"/>
      </c:catAx>
      <c:valAx>
        <c:axId val="475604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93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56-41DB-AE58-23FF33B814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56-41DB-AE58-23FF33B81462}"/>
            </c:ext>
          </c:extLst>
        </c:ser>
        <c:dLbls>
          <c:showLegendKey val="0"/>
          <c:showVal val="0"/>
          <c:showCatName val="0"/>
          <c:showSerName val="0"/>
          <c:showPercent val="0"/>
          <c:showBubbleSize val="0"/>
        </c:dLbls>
        <c:gapWidth val="150"/>
        <c:overlap val="100"/>
        <c:axId val="475602864"/>
        <c:axId val="475602472"/>
      </c:barChart>
      <c:catAx>
        <c:axId val="475602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2472"/>
        <c:crosses val="autoZero"/>
        <c:auto val="1"/>
        <c:lblAlgn val="ctr"/>
        <c:lblOffset val="100"/>
        <c:tickLblSkip val="1"/>
        <c:tickMarkSkip val="1"/>
        <c:noMultiLvlLbl val="0"/>
      </c:catAx>
      <c:valAx>
        <c:axId val="475602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28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C2-4A8A-AB09-548EC85432E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C2-4A8A-AB09-548EC85432E7}"/>
            </c:ext>
          </c:extLst>
        </c:ser>
        <c:dLbls>
          <c:showLegendKey val="0"/>
          <c:showVal val="0"/>
          <c:showCatName val="0"/>
          <c:showSerName val="0"/>
          <c:showPercent val="0"/>
          <c:showBubbleSize val="0"/>
        </c:dLbls>
        <c:gapWidth val="150"/>
        <c:overlap val="100"/>
        <c:axId val="475603256"/>
        <c:axId val="475598552"/>
      </c:barChart>
      <c:catAx>
        <c:axId val="475603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8552"/>
        <c:crosses val="autoZero"/>
        <c:auto val="1"/>
        <c:lblAlgn val="ctr"/>
        <c:lblOffset val="100"/>
        <c:tickLblSkip val="1"/>
        <c:tickMarkSkip val="1"/>
        <c:noMultiLvlLbl val="0"/>
      </c:catAx>
      <c:valAx>
        <c:axId val="47559855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3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204-444B-868E-195318025F4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204-444B-868E-195318025F48}"/>
            </c:ext>
          </c:extLst>
        </c:ser>
        <c:dLbls>
          <c:showLegendKey val="0"/>
          <c:showVal val="0"/>
          <c:showCatName val="0"/>
          <c:showSerName val="0"/>
          <c:showPercent val="0"/>
          <c:showBubbleSize val="0"/>
        </c:dLbls>
        <c:gapWidth val="150"/>
        <c:overlap val="100"/>
        <c:axId val="475595024"/>
        <c:axId val="475604432"/>
      </c:barChart>
      <c:catAx>
        <c:axId val="4755950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4432"/>
        <c:crosses val="autoZero"/>
        <c:auto val="1"/>
        <c:lblAlgn val="ctr"/>
        <c:lblOffset val="100"/>
        <c:tickLblSkip val="1"/>
        <c:tickMarkSkip val="1"/>
        <c:noMultiLvlLbl val="0"/>
      </c:catAx>
      <c:valAx>
        <c:axId val="4756044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50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71E-450D-9423-62CD24B1802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71E-450D-9423-62CD24B18028}"/>
            </c:ext>
          </c:extLst>
        </c:ser>
        <c:dLbls>
          <c:showLegendKey val="0"/>
          <c:showVal val="0"/>
          <c:showCatName val="0"/>
          <c:showSerName val="0"/>
          <c:showPercent val="0"/>
          <c:showBubbleSize val="0"/>
        </c:dLbls>
        <c:gapWidth val="150"/>
        <c:overlap val="100"/>
        <c:axId val="475603648"/>
        <c:axId val="475595416"/>
      </c:barChart>
      <c:catAx>
        <c:axId val="475603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5416"/>
        <c:crosses val="autoZero"/>
        <c:auto val="1"/>
        <c:lblAlgn val="ctr"/>
        <c:lblOffset val="100"/>
        <c:tickLblSkip val="1"/>
        <c:tickMarkSkip val="1"/>
        <c:noMultiLvlLbl val="0"/>
      </c:catAx>
      <c:valAx>
        <c:axId val="4755954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3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46F-48B5-9FD1-0C414A6D984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46F-48B5-9FD1-0C414A6D9845}"/>
            </c:ext>
          </c:extLst>
        </c:ser>
        <c:dLbls>
          <c:showLegendKey val="0"/>
          <c:showVal val="0"/>
          <c:showCatName val="0"/>
          <c:showSerName val="0"/>
          <c:showPercent val="0"/>
          <c:showBubbleSize val="0"/>
        </c:dLbls>
        <c:gapWidth val="150"/>
        <c:overlap val="100"/>
        <c:axId val="475595808"/>
        <c:axId val="475601296"/>
      </c:barChart>
      <c:catAx>
        <c:axId val="475595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01296"/>
        <c:crosses val="autoZero"/>
        <c:auto val="1"/>
        <c:lblAlgn val="ctr"/>
        <c:lblOffset val="100"/>
        <c:tickLblSkip val="1"/>
        <c:tickMarkSkip val="1"/>
        <c:noMultiLvlLbl val="0"/>
      </c:catAx>
      <c:valAx>
        <c:axId val="475601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95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6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F49-4DAB-8A64-82B86DF969E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F49-4DAB-8A64-82B86DF969E3}"/>
            </c:ext>
          </c:extLst>
        </c:ser>
        <c:dLbls>
          <c:showLegendKey val="0"/>
          <c:showVal val="0"/>
          <c:showCatName val="0"/>
          <c:showSerName val="0"/>
          <c:showPercent val="0"/>
          <c:showBubbleSize val="0"/>
        </c:dLbls>
        <c:gapWidth val="150"/>
        <c:overlap val="100"/>
        <c:axId val="475601688"/>
        <c:axId val="475617760"/>
      </c:barChart>
      <c:catAx>
        <c:axId val="4756016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7760"/>
        <c:crosses val="autoZero"/>
        <c:auto val="1"/>
        <c:lblAlgn val="ctr"/>
        <c:lblOffset val="100"/>
        <c:tickLblSkip val="1"/>
        <c:tickMarkSkip val="1"/>
        <c:noMultiLvlLbl val="0"/>
      </c:catAx>
      <c:valAx>
        <c:axId val="475617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16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D0A-4C5D-A8BA-9FBA55CA867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D0A-4C5D-A8BA-9FBA55CA8671}"/>
            </c:ext>
          </c:extLst>
        </c:ser>
        <c:dLbls>
          <c:showLegendKey val="0"/>
          <c:showVal val="0"/>
          <c:showCatName val="0"/>
          <c:showSerName val="0"/>
          <c:showPercent val="0"/>
          <c:showBubbleSize val="0"/>
        </c:dLbls>
        <c:gapWidth val="150"/>
        <c:overlap val="100"/>
        <c:axId val="475609528"/>
        <c:axId val="475618544"/>
      </c:barChart>
      <c:catAx>
        <c:axId val="475609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8544"/>
        <c:crosses val="autoZero"/>
        <c:auto val="1"/>
        <c:lblAlgn val="ctr"/>
        <c:lblOffset val="100"/>
        <c:tickLblSkip val="1"/>
        <c:tickMarkSkip val="1"/>
        <c:noMultiLvlLbl val="0"/>
      </c:catAx>
      <c:valAx>
        <c:axId val="475618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952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6A-4FD4-A56D-1127AD779CD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6A-4FD4-A56D-1127AD779CD6}"/>
            </c:ext>
          </c:extLst>
        </c:ser>
        <c:dLbls>
          <c:showLegendKey val="0"/>
          <c:showVal val="0"/>
          <c:showCatName val="0"/>
          <c:showSerName val="0"/>
          <c:showPercent val="0"/>
          <c:showBubbleSize val="0"/>
        </c:dLbls>
        <c:gapWidth val="150"/>
        <c:overlap val="100"/>
        <c:axId val="475619328"/>
        <c:axId val="475613056"/>
      </c:barChart>
      <c:catAx>
        <c:axId val="4756193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3056"/>
        <c:crosses val="autoZero"/>
        <c:auto val="1"/>
        <c:lblAlgn val="ctr"/>
        <c:lblOffset val="100"/>
        <c:tickLblSkip val="1"/>
        <c:tickMarkSkip val="1"/>
        <c:noMultiLvlLbl val="0"/>
      </c:catAx>
      <c:valAx>
        <c:axId val="475613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93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6E-4F34-A510-BEF04DF6FEA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6E-4F34-A510-BEF04DF6FEAD}"/>
            </c:ext>
          </c:extLst>
        </c:ser>
        <c:dLbls>
          <c:showLegendKey val="0"/>
          <c:showVal val="0"/>
          <c:showCatName val="0"/>
          <c:showSerName val="0"/>
          <c:showPercent val="0"/>
          <c:showBubbleSize val="0"/>
        </c:dLbls>
        <c:gapWidth val="150"/>
        <c:overlap val="100"/>
        <c:axId val="475607568"/>
        <c:axId val="475618936"/>
      </c:barChart>
      <c:catAx>
        <c:axId val="4756075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8936"/>
        <c:crosses val="autoZero"/>
        <c:auto val="1"/>
        <c:lblAlgn val="ctr"/>
        <c:lblOffset val="100"/>
        <c:tickLblSkip val="1"/>
        <c:tickMarkSkip val="1"/>
        <c:noMultiLvlLbl val="0"/>
      </c:catAx>
      <c:valAx>
        <c:axId val="4756189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075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DDE-4A69-93A2-CA23DFD54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DDE-4A69-93A2-CA23DFD54F84}"/>
            </c:ext>
          </c:extLst>
        </c:ser>
        <c:dLbls>
          <c:showLegendKey val="0"/>
          <c:showVal val="0"/>
          <c:showCatName val="0"/>
          <c:showSerName val="0"/>
          <c:showPercent val="0"/>
          <c:showBubbleSize val="0"/>
        </c:dLbls>
        <c:gapWidth val="150"/>
        <c:overlap val="100"/>
        <c:axId val="475611880"/>
        <c:axId val="475614232"/>
      </c:barChart>
      <c:catAx>
        <c:axId val="4756118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4232"/>
        <c:crosses val="autoZero"/>
        <c:auto val="1"/>
        <c:lblAlgn val="ctr"/>
        <c:lblOffset val="100"/>
        <c:tickLblSkip val="1"/>
        <c:tickMarkSkip val="1"/>
        <c:noMultiLvlLbl val="0"/>
      </c:catAx>
      <c:valAx>
        <c:axId val="475614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18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BE7-4582-9E62-89044DD77F8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BE7-4582-9E62-89044DD77F83}"/>
            </c:ext>
          </c:extLst>
        </c:ser>
        <c:dLbls>
          <c:showLegendKey val="0"/>
          <c:showVal val="0"/>
          <c:showCatName val="0"/>
          <c:showSerName val="0"/>
          <c:showPercent val="0"/>
          <c:showBubbleSize val="0"/>
        </c:dLbls>
        <c:gapWidth val="150"/>
        <c:overlap val="100"/>
        <c:axId val="475614624"/>
        <c:axId val="475615016"/>
      </c:barChart>
      <c:catAx>
        <c:axId val="475614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5016"/>
        <c:crosses val="autoZero"/>
        <c:auto val="1"/>
        <c:lblAlgn val="ctr"/>
        <c:lblOffset val="100"/>
        <c:tickLblSkip val="1"/>
        <c:tickMarkSkip val="1"/>
        <c:noMultiLvlLbl val="0"/>
      </c:catAx>
      <c:valAx>
        <c:axId val="4756150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462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560-4CD3-B3D1-A5888363EA7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560-4CD3-B3D1-A5888363EA7E}"/>
            </c:ext>
          </c:extLst>
        </c:ser>
        <c:dLbls>
          <c:showLegendKey val="0"/>
          <c:showVal val="0"/>
          <c:showCatName val="0"/>
          <c:showSerName val="0"/>
          <c:showPercent val="0"/>
          <c:showBubbleSize val="0"/>
        </c:dLbls>
        <c:gapWidth val="150"/>
        <c:overlap val="100"/>
        <c:axId val="475616192"/>
        <c:axId val="475617368"/>
      </c:barChart>
      <c:catAx>
        <c:axId val="4756161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17368"/>
        <c:crosses val="autoZero"/>
        <c:auto val="1"/>
        <c:lblAlgn val="ctr"/>
        <c:lblOffset val="100"/>
        <c:tickLblSkip val="1"/>
        <c:tickMarkSkip val="1"/>
        <c:noMultiLvlLbl val="0"/>
      </c:catAx>
      <c:valAx>
        <c:axId val="475617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6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25A-4469-A457-CB7178BF041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25A-4469-A457-CB7178BF0410}"/>
            </c:ext>
          </c:extLst>
        </c:ser>
        <c:dLbls>
          <c:showLegendKey val="0"/>
          <c:showVal val="0"/>
          <c:showCatName val="0"/>
          <c:showSerName val="0"/>
          <c:showPercent val="0"/>
          <c:showBubbleSize val="0"/>
        </c:dLbls>
        <c:gapWidth val="150"/>
        <c:overlap val="100"/>
        <c:axId val="475631088"/>
        <c:axId val="475627560"/>
      </c:barChart>
      <c:catAx>
        <c:axId val="4756310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7560"/>
        <c:crosses val="autoZero"/>
        <c:auto val="1"/>
        <c:lblAlgn val="ctr"/>
        <c:lblOffset val="100"/>
        <c:tickLblSkip val="1"/>
        <c:tickMarkSkip val="1"/>
        <c:noMultiLvlLbl val="0"/>
      </c:catAx>
      <c:valAx>
        <c:axId val="4756275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108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B21-46EB-802B-41EEF08772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B21-46EB-802B-41EEF087721C}"/>
            </c:ext>
          </c:extLst>
        </c:ser>
        <c:dLbls>
          <c:showLegendKey val="0"/>
          <c:showVal val="0"/>
          <c:showCatName val="0"/>
          <c:showSerName val="0"/>
          <c:showPercent val="0"/>
          <c:showBubbleSize val="0"/>
        </c:dLbls>
        <c:gapWidth val="150"/>
        <c:overlap val="100"/>
        <c:axId val="475619720"/>
        <c:axId val="475626776"/>
      </c:barChart>
      <c:catAx>
        <c:axId val="4756197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6776"/>
        <c:crosses val="autoZero"/>
        <c:auto val="1"/>
        <c:lblAlgn val="ctr"/>
        <c:lblOffset val="100"/>
        <c:tickLblSkip val="1"/>
        <c:tickMarkSkip val="1"/>
        <c:noMultiLvlLbl val="0"/>
      </c:catAx>
      <c:valAx>
        <c:axId val="4756267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19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330-4F47-B537-1EC900F79C3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330-4F47-B537-1EC900F79C37}"/>
            </c:ext>
          </c:extLst>
        </c:ser>
        <c:dLbls>
          <c:showLegendKey val="0"/>
          <c:showVal val="0"/>
          <c:showCatName val="0"/>
          <c:showSerName val="0"/>
          <c:showPercent val="0"/>
          <c:showBubbleSize val="0"/>
        </c:dLbls>
        <c:gapWidth val="150"/>
        <c:overlap val="100"/>
        <c:axId val="475629128"/>
        <c:axId val="475629912"/>
      </c:barChart>
      <c:catAx>
        <c:axId val="4756291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9912"/>
        <c:crosses val="autoZero"/>
        <c:auto val="1"/>
        <c:lblAlgn val="ctr"/>
        <c:lblOffset val="100"/>
        <c:tickLblSkip val="1"/>
        <c:tickMarkSkip val="1"/>
        <c:noMultiLvlLbl val="0"/>
      </c:catAx>
      <c:valAx>
        <c:axId val="475629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91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594-46AF-A153-FC1CEC88A19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594-46AF-A153-FC1CEC88A19E}"/>
            </c:ext>
          </c:extLst>
        </c:ser>
        <c:dLbls>
          <c:showLegendKey val="0"/>
          <c:showVal val="0"/>
          <c:showCatName val="0"/>
          <c:showSerName val="0"/>
          <c:showPercent val="0"/>
          <c:showBubbleSize val="0"/>
        </c:dLbls>
        <c:gapWidth val="150"/>
        <c:overlap val="100"/>
        <c:axId val="475621680"/>
        <c:axId val="475622072"/>
      </c:barChart>
      <c:catAx>
        <c:axId val="475621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2072"/>
        <c:crosses val="autoZero"/>
        <c:auto val="1"/>
        <c:lblAlgn val="ctr"/>
        <c:lblOffset val="100"/>
        <c:tickLblSkip val="1"/>
        <c:tickMarkSkip val="1"/>
        <c:noMultiLvlLbl val="0"/>
      </c:catAx>
      <c:valAx>
        <c:axId val="4756220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168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E13-4A24-ACFA-5CD9D451BEE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E13-4A24-ACFA-5CD9D451BEE4}"/>
            </c:ext>
          </c:extLst>
        </c:ser>
        <c:dLbls>
          <c:showLegendKey val="0"/>
          <c:showVal val="0"/>
          <c:showCatName val="0"/>
          <c:showSerName val="0"/>
          <c:showPercent val="0"/>
          <c:showBubbleSize val="0"/>
        </c:dLbls>
        <c:gapWidth val="150"/>
        <c:overlap val="100"/>
        <c:axId val="475625208"/>
        <c:axId val="475624032"/>
      </c:barChart>
      <c:catAx>
        <c:axId val="475625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4032"/>
        <c:crosses val="autoZero"/>
        <c:auto val="1"/>
        <c:lblAlgn val="ctr"/>
        <c:lblOffset val="100"/>
        <c:tickLblSkip val="1"/>
        <c:tickMarkSkip val="1"/>
        <c:noMultiLvlLbl val="0"/>
      </c:catAx>
      <c:valAx>
        <c:axId val="4756240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52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34F-4997-AD7E-2FD894F919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34F-4997-AD7E-2FD894F9192D}"/>
            </c:ext>
          </c:extLst>
        </c:ser>
        <c:dLbls>
          <c:showLegendKey val="0"/>
          <c:showVal val="0"/>
          <c:showCatName val="0"/>
          <c:showSerName val="0"/>
          <c:showPercent val="0"/>
          <c:showBubbleSize val="0"/>
        </c:dLbls>
        <c:gapWidth val="150"/>
        <c:overlap val="100"/>
        <c:axId val="475628344"/>
        <c:axId val="475628736"/>
      </c:barChart>
      <c:catAx>
        <c:axId val="4756283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28736"/>
        <c:crosses val="autoZero"/>
        <c:auto val="1"/>
        <c:lblAlgn val="ctr"/>
        <c:lblOffset val="100"/>
        <c:tickLblSkip val="1"/>
        <c:tickMarkSkip val="1"/>
        <c:noMultiLvlLbl val="0"/>
      </c:catAx>
      <c:valAx>
        <c:axId val="47562873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28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3D-4840-8465-31763C74DD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3D-4840-8465-31763C74DDF3}"/>
            </c:ext>
          </c:extLst>
        </c:ser>
        <c:dLbls>
          <c:showLegendKey val="0"/>
          <c:showVal val="0"/>
          <c:showCatName val="0"/>
          <c:showSerName val="0"/>
          <c:showPercent val="0"/>
          <c:showBubbleSize val="0"/>
        </c:dLbls>
        <c:gapWidth val="150"/>
        <c:overlap val="100"/>
        <c:axId val="475632656"/>
        <c:axId val="475633048"/>
      </c:barChart>
      <c:catAx>
        <c:axId val="4756326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3048"/>
        <c:crosses val="autoZero"/>
        <c:auto val="1"/>
        <c:lblAlgn val="ctr"/>
        <c:lblOffset val="100"/>
        <c:tickLblSkip val="1"/>
        <c:tickMarkSkip val="1"/>
        <c:noMultiLvlLbl val="0"/>
      </c:catAx>
      <c:valAx>
        <c:axId val="475633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26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E7F-4B63-92A7-FDFEE321328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E7F-4B63-92A7-FDFEE3213285}"/>
            </c:ext>
          </c:extLst>
        </c:ser>
        <c:dLbls>
          <c:showLegendKey val="0"/>
          <c:showVal val="0"/>
          <c:showCatName val="0"/>
          <c:showSerName val="0"/>
          <c:showPercent val="0"/>
          <c:showBubbleSize val="0"/>
        </c:dLbls>
        <c:gapWidth val="150"/>
        <c:overlap val="100"/>
        <c:axId val="475641280"/>
        <c:axId val="475640104"/>
      </c:barChart>
      <c:catAx>
        <c:axId val="4756412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0104"/>
        <c:crosses val="autoZero"/>
        <c:auto val="1"/>
        <c:lblAlgn val="ctr"/>
        <c:lblOffset val="100"/>
        <c:tickLblSkip val="1"/>
        <c:tickMarkSkip val="1"/>
        <c:noMultiLvlLbl val="0"/>
      </c:catAx>
      <c:valAx>
        <c:axId val="4756401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12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CC-4E39-BEE0-29867C7DCE2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CC-4E39-BEE0-29867C7DCE25}"/>
            </c:ext>
          </c:extLst>
        </c:ser>
        <c:dLbls>
          <c:showLegendKey val="0"/>
          <c:showVal val="0"/>
          <c:showCatName val="0"/>
          <c:showSerName val="0"/>
          <c:showPercent val="0"/>
          <c:showBubbleSize val="0"/>
        </c:dLbls>
        <c:gapWidth val="150"/>
        <c:overlap val="100"/>
        <c:axId val="475634616"/>
        <c:axId val="475635008"/>
      </c:barChart>
      <c:catAx>
        <c:axId val="475634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5008"/>
        <c:crosses val="autoZero"/>
        <c:auto val="1"/>
        <c:lblAlgn val="ctr"/>
        <c:lblOffset val="100"/>
        <c:tickLblSkip val="1"/>
        <c:tickMarkSkip val="1"/>
        <c:noMultiLvlLbl val="0"/>
      </c:catAx>
      <c:valAx>
        <c:axId val="475635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4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3DF-4C26-9BE0-1192EE8B9F4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3DF-4C26-9BE0-1192EE8B9F4D}"/>
            </c:ext>
          </c:extLst>
        </c:ser>
        <c:dLbls>
          <c:showLegendKey val="0"/>
          <c:showVal val="0"/>
          <c:showCatName val="0"/>
          <c:showSerName val="0"/>
          <c:showPercent val="0"/>
          <c:showBubbleSize val="0"/>
        </c:dLbls>
        <c:gapWidth val="150"/>
        <c:overlap val="100"/>
        <c:axId val="475638144"/>
        <c:axId val="475640496"/>
      </c:barChart>
      <c:catAx>
        <c:axId val="475638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0496"/>
        <c:crosses val="autoZero"/>
        <c:auto val="1"/>
        <c:lblAlgn val="ctr"/>
        <c:lblOffset val="100"/>
        <c:tickLblSkip val="1"/>
        <c:tickMarkSkip val="1"/>
        <c:noMultiLvlLbl val="0"/>
      </c:catAx>
      <c:valAx>
        <c:axId val="4756404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81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B63-407D-AABB-C1630CCAD4D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B63-407D-AABB-C1630CCAD4DD}"/>
            </c:ext>
          </c:extLst>
        </c:ser>
        <c:dLbls>
          <c:showLegendKey val="0"/>
          <c:showVal val="0"/>
          <c:showCatName val="0"/>
          <c:showSerName val="0"/>
          <c:showPercent val="0"/>
          <c:showBubbleSize val="0"/>
        </c:dLbls>
        <c:gapWidth val="150"/>
        <c:overlap val="100"/>
        <c:axId val="475636184"/>
        <c:axId val="475639320"/>
      </c:barChart>
      <c:catAx>
        <c:axId val="475636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9320"/>
        <c:crosses val="autoZero"/>
        <c:auto val="1"/>
        <c:lblAlgn val="ctr"/>
        <c:lblOffset val="100"/>
        <c:tickLblSkip val="1"/>
        <c:tickMarkSkip val="1"/>
        <c:noMultiLvlLbl val="0"/>
      </c:catAx>
      <c:valAx>
        <c:axId val="475639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61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059-4B99-AE84-1B1017C0335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059-4B99-AE84-1B1017C03353}"/>
            </c:ext>
          </c:extLst>
        </c:ser>
        <c:dLbls>
          <c:showLegendKey val="0"/>
          <c:showVal val="0"/>
          <c:showCatName val="0"/>
          <c:showSerName val="0"/>
          <c:showPercent val="0"/>
          <c:showBubbleSize val="0"/>
        </c:dLbls>
        <c:gapWidth val="150"/>
        <c:overlap val="100"/>
        <c:axId val="475636968"/>
        <c:axId val="475639712"/>
      </c:barChart>
      <c:catAx>
        <c:axId val="4756369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9712"/>
        <c:crosses val="autoZero"/>
        <c:auto val="1"/>
        <c:lblAlgn val="ctr"/>
        <c:lblOffset val="100"/>
        <c:tickLblSkip val="1"/>
        <c:tickMarkSkip val="1"/>
        <c:noMultiLvlLbl val="0"/>
      </c:catAx>
      <c:valAx>
        <c:axId val="4756397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369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359-4DB6-952A-7A7F47B773B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359-4DB6-952A-7A7F47B773B8}"/>
            </c:ext>
          </c:extLst>
        </c:ser>
        <c:dLbls>
          <c:showLegendKey val="0"/>
          <c:showVal val="0"/>
          <c:showCatName val="0"/>
          <c:showSerName val="0"/>
          <c:showPercent val="0"/>
          <c:showBubbleSize val="0"/>
        </c:dLbls>
        <c:gapWidth val="150"/>
        <c:overlap val="100"/>
        <c:axId val="475644416"/>
        <c:axId val="475632264"/>
      </c:barChart>
      <c:catAx>
        <c:axId val="4756444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32264"/>
        <c:crosses val="autoZero"/>
        <c:auto val="1"/>
        <c:lblAlgn val="ctr"/>
        <c:lblOffset val="100"/>
        <c:tickLblSkip val="1"/>
        <c:tickMarkSkip val="1"/>
        <c:noMultiLvlLbl val="0"/>
      </c:catAx>
      <c:valAx>
        <c:axId val="475632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44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74-448B-91EB-0D5035A62A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74-448B-91EB-0D5035A62ACA}"/>
            </c:ext>
          </c:extLst>
        </c:ser>
        <c:dLbls>
          <c:showLegendKey val="0"/>
          <c:showVal val="0"/>
          <c:showCatName val="0"/>
          <c:showSerName val="0"/>
          <c:showPercent val="0"/>
          <c:showBubbleSize val="0"/>
        </c:dLbls>
        <c:gapWidth val="150"/>
        <c:overlap val="100"/>
        <c:axId val="475655392"/>
        <c:axId val="475646768"/>
      </c:barChart>
      <c:catAx>
        <c:axId val="475655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6768"/>
        <c:crosses val="autoZero"/>
        <c:auto val="1"/>
        <c:lblAlgn val="ctr"/>
        <c:lblOffset val="100"/>
        <c:tickLblSkip val="1"/>
        <c:tickMarkSkip val="1"/>
        <c:noMultiLvlLbl val="0"/>
      </c:catAx>
      <c:valAx>
        <c:axId val="4756467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5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EB3-433C-9E21-ECD45D7B247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EB3-433C-9E21-ECD45D7B247B}"/>
            </c:ext>
          </c:extLst>
        </c:ser>
        <c:dLbls>
          <c:showLegendKey val="0"/>
          <c:showVal val="0"/>
          <c:showCatName val="0"/>
          <c:showSerName val="0"/>
          <c:showPercent val="0"/>
          <c:showBubbleSize val="0"/>
        </c:dLbls>
        <c:gapWidth val="150"/>
        <c:overlap val="100"/>
        <c:axId val="475654216"/>
        <c:axId val="475655784"/>
      </c:barChart>
      <c:catAx>
        <c:axId val="4756542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5784"/>
        <c:crosses val="autoZero"/>
        <c:auto val="1"/>
        <c:lblAlgn val="ctr"/>
        <c:lblOffset val="100"/>
        <c:tickLblSkip val="1"/>
        <c:tickMarkSkip val="1"/>
        <c:noMultiLvlLbl val="0"/>
      </c:catAx>
      <c:valAx>
        <c:axId val="475655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42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389" r="0.75000000000000389" t="0.98425196899999956" header="0.5" footer="0.5"/>
    <c:pageSetup orientation="portrait"/>
  </c:printSettings>
</c:chartSpace>
</file>

<file path=xl/charts/chart7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703-4F93-9669-F771532AEC19}"/>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703-4F93-9669-F771532AEC19}"/>
            </c:ext>
          </c:extLst>
        </c:ser>
        <c:dLbls>
          <c:showLegendKey val="0"/>
          <c:showVal val="0"/>
          <c:showCatName val="0"/>
          <c:showSerName val="0"/>
          <c:showPercent val="0"/>
          <c:showBubbleSize val="0"/>
        </c:dLbls>
        <c:smooth val="0"/>
        <c:axId val="475647944"/>
        <c:axId val="475655000"/>
      </c:lineChart>
      <c:catAx>
        <c:axId val="4756479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5000"/>
        <c:crosses val="autoZero"/>
        <c:auto val="1"/>
        <c:lblAlgn val="ctr"/>
        <c:lblOffset val="100"/>
        <c:tickLblSkip val="1"/>
        <c:tickMarkSkip val="1"/>
        <c:noMultiLvlLbl val="0"/>
      </c:catAx>
      <c:valAx>
        <c:axId val="475655000"/>
        <c:scaling>
          <c:orientation val="minMax"/>
          <c:max val="30"/>
          <c:min val="-30"/>
        </c:scaling>
        <c:delete val="0"/>
        <c:axPos val="l"/>
        <c:majorGridlines>
          <c:spPr>
            <a:ln w="3175">
              <a:solidFill>
                <a:srgbClr val="000000"/>
              </a:solidFill>
              <a:prstDash val="solid"/>
            </a:ln>
          </c:spPr>
        </c:majorGridlines>
        <c:title>
          <c:tx>
            <c:rich>
              <a:bodyPr/>
              <a:lstStyle/>
              <a:p>
                <a:pPr>
                  <a:defRPr b="1"/>
                </a:pPr>
                <a:r>
                  <a:rPr lang="de-DE" b="1"/>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79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E94-49FF-86DA-5C0FD8CFA60E}"/>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E94-49FF-86DA-5C0FD8CFA60E}"/>
            </c:ext>
          </c:extLst>
        </c:ser>
        <c:dLbls>
          <c:showLegendKey val="0"/>
          <c:showVal val="0"/>
          <c:showCatName val="0"/>
          <c:showSerName val="0"/>
          <c:showPercent val="0"/>
          <c:showBubbleSize val="0"/>
        </c:dLbls>
        <c:smooth val="0"/>
        <c:axId val="475646376"/>
        <c:axId val="475648336"/>
      </c:lineChart>
      <c:catAx>
        <c:axId val="475646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48336"/>
        <c:crosses val="autoZero"/>
        <c:auto val="1"/>
        <c:lblAlgn val="ctr"/>
        <c:lblOffset val="100"/>
        <c:tickLblSkip val="1"/>
        <c:tickMarkSkip val="1"/>
        <c:noMultiLvlLbl val="0"/>
      </c:catAx>
      <c:valAx>
        <c:axId val="4756483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6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spPr>
            <a:ln w="19050">
              <a:solidFill>
                <a:srgbClr val="C00000"/>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19B-46B2-B9E0-A3167CFDD657}"/>
            </c:ext>
          </c:extLst>
        </c:ser>
        <c:ser>
          <c:idx val="1"/>
          <c:order val="1"/>
          <c:spPr>
            <a:ln w="19050">
              <a:solidFill>
                <a:srgbClr val="33CC33"/>
              </a:solidFill>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smooth val="1"/>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19B-46B2-B9E0-A3167CFDD657}"/>
            </c:ext>
          </c:extLst>
        </c:ser>
        <c:dLbls>
          <c:showLegendKey val="0"/>
          <c:showVal val="0"/>
          <c:showCatName val="0"/>
          <c:showSerName val="0"/>
          <c:showPercent val="0"/>
          <c:showBubbleSize val="0"/>
        </c:dLbls>
        <c:smooth val="0"/>
        <c:axId val="475645200"/>
        <c:axId val="475653432"/>
      </c:lineChart>
      <c:catAx>
        <c:axId val="4756452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3432"/>
        <c:crosses val="autoZero"/>
        <c:auto val="1"/>
        <c:lblAlgn val="ctr"/>
        <c:lblOffset val="100"/>
        <c:tickLblSkip val="1"/>
        <c:tickMarkSkip val="1"/>
        <c:noMultiLvlLbl val="0"/>
      </c:catAx>
      <c:valAx>
        <c:axId val="475653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4520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47A-40D5-9485-CBC87B77613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47A-40D5-9485-CBC87B77613F}"/>
            </c:ext>
          </c:extLst>
        </c:ser>
        <c:dLbls>
          <c:showLegendKey val="0"/>
          <c:showVal val="0"/>
          <c:showCatName val="0"/>
          <c:showSerName val="0"/>
          <c:showPercent val="0"/>
          <c:showBubbleSize val="0"/>
        </c:dLbls>
        <c:gapWidth val="150"/>
        <c:overlap val="100"/>
        <c:axId val="475653824"/>
        <c:axId val="475654608"/>
      </c:barChart>
      <c:catAx>
        <c:axId val="4756538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4608"/>
        <c:crosses val="autoZero"/>
        <c:auto val="1"/>
        <c:lblAlgn val="ctr"/>
        <c:lblOffset val="100"/>
        <c:tickLblSkip val="1"/>
        <c:tickMarkSkip val="1"/>
        <c:noMultiLvlLbl val="0"/>
      </c:catAx>
      <c:valAx>
        <c:axId val="4756546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38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6D5-4A20-8EB4-A5394944AF8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6D5-4A20-8EB4-A5394944AF84}"/>
            </c:ext>
          </c:extLst>
        </c:ser>
        <c:dLbls>
          <c:showLegendKey val="0"/>
          <c:showVal val="0"/>
          <c:showCatName val="0"/>
          <c:showSerName val="0"/>
          <c:showPercent val="0"/>
          <c:showBubbleSize val="0"/>
        </c:dLbls>
        <c:gapWidth val="150"/>
        <c:overlap val="100"/>
        <c:axId val="475661272"/>
        <c:axId val="475665192"/>
      </c:barChart>
      <c:catAx>
        <c:axId val="4756612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5192"/>
        <c:crosses val="autoZero"/>
        <c:auto val="1"/>
        <c:lblAlgn val="ctr"/>
        <c:lblOffset val="100"/>
        <c:tickLblSkip val="1"/>
        <c:tickMarkSkip val="1"/>
        <c:noMultiLvlLbl val="0"/>
      </c:catAx>
      <c:valAx>
        <c:axId val="4756651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12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D23-4890-8702-A08B406BB3F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D23-4890-8702-A08B406BB3F5}"/>
            </c:ext>
          </c:extLst>
        </c:ser>
        <c:dLbls>
          <c:showLegendKey val="0"/>
          <c:showVal val="0"/>
          <c:showCatName val="0"/>
          <c:showSerName val="0"/>
          <c:showPercent val="0"/>
          <c:showBubbleSize val="0"/>
        </c:dLbls>
        <c:gapWidth val="150"/>
        <c:overlap val="100"/>
        <c:axId val="475662448"/>
        <c:axId val="475666368"/>
      </c:barChart>
      <c:catAx>
        <c:axId val="475662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6368"/>
        <c:crosses val="autoZero"/>
        <c:auto val="1"/>
        <c:lblAlgn val="ctr"/>
        <c:lblOffset val="100"/>
        <c:tickLblSkip val="1"/>
        <c:tickMarkSkip val="1"/>
        <c:noMultiLvlLbl val="0"/>
      </c:catAx>
      <c:valAx>
        <c:axId val="47566636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2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514-4E5E-A178-AA007008A2F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514-4E5E-A178-AA007008A2FC}"/>
            </c:ext>
          </c:extLst>
        </c:ser>
        <c:dLbls>
          <c:showLegendKey val="0"/>
          <c:showVal val="0"/>
          <c:showCatName val="0"/>
          <c:showSerName val="0"/>
          <c:showPercent val="0"/>
          <c:showBubbleSize val="0"/>
        </c:dLbls>
        <c:gapWidth val="150"/>
        <c:overlap val="100"/>
        <c:axId val="475664800"/>
        <c:axId val="475662840"/>
      </c:barChart>
      <c:catAx>
        <c:axId val="4756648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2840"/>
        <c:crosses val="autoZero"/>
        <c:auto val="1"/>
        <c:lblAlgn val="ctr"/>
        <c:lblOffset val="100"/>
        <c:tickLblSkip val="1"/>
        <c:tickMarkSkip val="1"/>
        <c:noMultiLvlLbl val="0"/>
      </c:catAx>
      <c:valAx>
        <c:axId val="475662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480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8A-49B0-9A5B-E997C8104F8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8A-49B0-9A5B-E997C8104F8E}"/>
            </c:ext>
          </c:extLst>
        </c:ser>
        <c:dLbls>
          <c:showLegendKey val="0"/>
          <c:showVal val="0"/>
          <c:showCatName val="0"/>
          <c:showSerName val="0"/>
          <c:showPercent val="0"/>
          <c:showBubbleSize val="0"/>
        </c:dLbls>
        <c:gapWidth val="150"/>
        <c:overlap val="100"/>
        <c:axId val="475663232"/>
        <c:axId val="475667544"/>
      </c:barChart>
      <c:catAx>
        <c:axId val="4756632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7544"/>
        <c:crosses val="autoZero"/>
        <c:auto val="1"/>
        <c:lblAlgn val="ctr"/>
        <c:lblOffset val="100"/>
        <c:tickLblSkip val="1"/>
        <c:tickMarkSkip val="1"/>
        <c:noMultiLvlLbl val="0"/>
      </c:catAx>
      <c:valAx>
        <c:axId val="47566754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323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A81-4E5F-B667-1C8413C8B40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A81-4E5F-B667-1C8413C8B40D}"/>
            </c:ext>
          </c:extLst>
        </c:ser>
        <c:dLbls>
          <c:showLegendKey val="0"/>
          <c:showVal val="0"/>
          <c:showCatName val="0"/>
          <c:showSerName val="0"/>
          <c:showPercent val="0"/>
          <c:showBubbleSize val="0"/>
        </c:dLbls>
        <c:gapWidth val="150"/>
        <c:overlap val="100"/>
        <c:axId val="475658528"/>
        <c:axId val="475669504"/>
      </c:barChart>
      <c:catAx>
        <c:axId val="47565852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69504"/>
        <c:crosses val="autoZero"/>
        <c:auto val="1"/>
        <c:lblAlgn val="ctr"/>
        <c:lblOffset val="100"/>
        <c:tickLblSkip val="1"/>
        <c:tickMarkSkip val="1"/>
        <c:noMultiLvlLbl val="0"/>
      </c:catAx>
      <c:valAx>
        <c:axId val="4756695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852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EF-4E24-A6D1-13A3E3556AA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EF-4E24-A6D1-13A3E3556AA9}"/>
            </c:ext>
          </c:extLst>
        </c:ser>
        <c:dLbls>
          <c:showLegendKey val="0"/>
          <c:showVal val="0"/>
          <c:showCatName val="0"/>
          <c:showSerName val="0"/>
          <c:showPercent val="0"/>
          <c:showBubbleSize val="0"/>
        </c:dLbls>
        <c:gapWidth val="150"/>
        <c:overlap val="100"/>
        <c:axId val="475658920"/>
        <c:axId val="475659704"/>
      </c:barChart>
      <c:catAx>
        <c:axId val="4756589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59704"/>
        <c:crosses val="autoZero"/>
        <c:auto val="1"/>
        <c:lblAlgn val="ctr"/>
        <c:lblOffset val="100"/>
        <c:tickLblSkip val="1"/>
        <c:tickMarkSkip val="1"/>
        <c:noMultiLvlLbl val="0"/>
      </c:catAx>
      <c:valAx>
        <c:axId val="47565970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589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9DF-4ADC-8D9D-A11F0ACCCE1F}"/>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9DF-4ADC-8D9D-A11F0ACCCE1F}"/>
            </c:ext>
          </c:extLst>
        </c:ser>
        <c:dLbls>
          <c:showLegendKey val="0"/>
          <c:showVal val="0"/>
          <c:showCatName val="0"/>
          <c:showSerName val="0"/>
          <c:showPercent val="0"/>
          <c:showBubbleSize val="0"/>
        </c:dLbls>
        <c:gapWidth val="150"/>
        <c:overlap val="100"/>
        <c:axId val="475664016"/>
        <c:axId val="475671856"/>
      </c:barChart>
      <c:catAx>
        <c:axId val="475664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71856"/>
        <c:crosses val="autoZero"/>
        <c:auto val="1"/>
        <c:lblAlgn val="ctr"/>
        <c:lblOffset val="100"/>
        <c:tickLblSkip val="1"/>
        <c:tickMarkSkip val="1"/>
        <c:noMultiLvlLbl val="0"/>
      </c:catAx>
      <c:valAx>
        <c:axId val="475671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640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9DE-4701-BDAD-65AB6E90F01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9DE-4701-BDAD-65AB6E90F013}"/>
            </c:ext>
          </c:extLst>
        </c:ser>
        <c:dLbls>
          <c:showLegendKey val="0"/>
          <c:showVal val="0"/>
          <c:showCatName val="0"/>
          <c:showSerName val="0"/>
          <c:showPercent val="0"/>
          <c:showBubbleSize val="0"/>
        </c:dLbls>
        <c:gapWidth val="150"/>
        <c:overlap val="100"/>
        <c:axId val="475671072"/>
        <c:axId val="475671464"/>
      </c:barChart>
      <c:catAx>
        <c:axId val="475671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671464"/>
        <c:crosses val="autoZero"/>
        <c:auto val="1"/>
        <c:lblAlgn val="ctr"/>
        <c:lblOffset val="100"/>
        <c:tickLblSkip val="1"/>
        <c:tickMarkSkip val="1"/>
        <c:noMultiLvlLbl val="0"/>
      </c:catAx>
      <c:valAx>
        <c:axId val="4756714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671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351-40BA-9413-3AE8181BC20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351-40BA-9413-3AE8181BC20E}"/>
            </c:ext>
          </c:extLst>
        </c:ser>
        <c:dLbls>
          <c:showLegendKey val="0"/>
          <c:showVal val="0"/>
          <c:showCatName val="0"/>
          <c:showSerName val="0"/>
          <c:showPercent val="0"/>
          <c:showBubbleSize val="0"/>
        </c:dLbls>
        <c:gapWidth val="150"/>
        <c:overlap val="100"/>
        <c:axId val="475412352"/>
        <c:axId val="475413528"/>
      </c:barChart>
      <c:catAx>
        <c:axId val="475412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3528"/>
        <c:crosses val="autoZero"/>
        <c:auto val="1"/>
        <c:lblAlgn val="ctr"/>
        <c:lblOffset val="100"/>
        <c:tickLblSkip val="1"/>
        <c:tickMarkSkip val="1"/>
        <c:noMultiLvlLbl val="0"/>
      </c:catAx>
      <c:valAx>
        <c:axId val="4754135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235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8B1-4254-8274-407E498AB3D9}"/>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8B1-4254-8274-407E498AB3D9}"/>
            </c:ext>
          </c:extLst>
        </c:ser>
        <c:dLbls>
          <c:showLegendKey val="0"/>
          <c:showVal val="0"/>
          <c:showCatName val="0"/>
          <c:showSerName val="0"/>
          <c:showPercent val="0"/>
          <c:showBubbleSize val="0"/>
        </c:dLbls>
        <c:gapWidth val="150"/>
        <c:overlap val="100"/>
        <c:axId val="475414704"/>
        <c:axId val="475411960"/>
      </c:barChart>
      <c:catAx>
        <c:axId val="475414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1960"/>
        <c:crosses val="autoZero"/>
        <c:auto val="1"/>
        <c:lblAlgn val="ctr"/>
        <c:lblOffset val="100"/>
        <c:tickLblSkip val="1"/>
        <c:tickMarkSkip val="1"/>
        <c:noMultiLvlLbl val="0"/>
      </c:catAx>
      <c:valAx>
        <c:axId val="475411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4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159-4F87-A260-E26898FE5F0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159-4F87-A260-E26898FE5F00}"/>
            </c:ext>
          </c:extLst>
        </c:ser>
        <c:dLbls>
          <c:showLegendKey val="0"/>
          <c:showVal val="0"/>
          <c:showCatName val="0"/>
          <c:showSerName val="0"/>
          <c:showPercent val="0"/>
          <c:showBubbleSize val="0"/>
        </c:dLbls>
        <c:gapWidth val="150"/>
        <c:overlap val="100"/>
        <c:axId val="475412744"/>
        <c:axId val="475410392"/>
      </c:barChart>
      <c:catAx>
        <c:axId val="4754127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0392"/>
        <c:crosses val="autoZero"/>
        <c:auto val="1"/>
        <c:lblAlgn val="ctr"/>
        <c:lblOffset val="100"/>
        <c:tickLblSkip val="1"/>
        <c:tickMarkSkip val="1"/>
        <c:noMultiLvlLbl val="0"/>
      </c:catAx>
      <c:valAx>
        <c:axId val="4754103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27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B2-43B2-8A69-1CA66FD75BC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B2-43B2-8A69-1CA66FD75BC8}"/>
            </c:ext>
          </c:extLst>
        </c:ser>
        <c:dLbls>
          <c:showLegendKey val="0"/>
          <c:showVal val="0"/>
          <c:showCatName val="0"/>
          <c:showSerName val="0"/>
          <c:showPercent val="0"/>
          <c:showBubbleSize val="0"/>
        </c:dLbls>
        <c:gapWidth val="150"/>
        <c:overlap val="100"/>
        <c:axId val="475416664"/>
        <c:axId val="475417840"/>
      </c:barChart>
      <c:catAx>
        <c:axId val="4754166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7840"/>
        <c:crosses val="autoZero"/>
        <c:auto val="1"/>
        <c:lblAlgn val="ctr"/>
        <c:lblOffset val="100"/>
        <c:tickLblSkip val="1"/>
        <c:tickMarkSkip val="1"/>
        <c:noMultiLvlLbl val="0"/>
      </c:catAx>
      <c:valAx>
        <c:axId val="4754178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66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DB4-42DB-8AB7-75B580CFF8C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DB4-42DB-8AB7-75B580CFF8CB}"/>
            </c:ext>
          </c:extLst>
        </c:ser>
        <c:dLbls>
          <c:showLegendKey val="0"/>
          <c:showVal val="0"/>
          <c:showCatName val="0"/>
          <c:showSerName val="0"/>
          <c:showPercent val="0"/>
          <c:showBubbleSize val="0"/>
        </c:dLbls>
        <c:gapWidth val="150"/>
        <c:overlap val="100"/>
        <c:axId val="475413136"/>
        <c:axId val="475418232"/>
      </c:barChart>
      <c:catAx>
        <c:axId val="4754131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8232"/>
        <c:crosses val="autoZero"/>
        <c:auto val="1"/>
        <c:lblAlgn val="ctr"/>
        <c:lblOffset val="100"/>
        <c:tickLblSkip val="1"/>
        <c:tickMarkSkip val="1"/>
        <c:noMultiLvlLbl val="0"/>
      </c:catAx>
      <c:valAx>
        <c:axId val="4754182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313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C47-400D-BF82-D87E93DC041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C47-400D-BF82-D87E93DC041B}"/>
            </c:ext>
          </c:extLst>
        </c:ser>
        <c:dLbls>
          <c:showLegendKey val="0"/>
          <c:showVal val="0"/>
          <c:showCatName val="0"/>
          <c:showSerName val="0"/>
          <c:showPercent val="0"/>
          <c:showBubbleSize val="0"/>
        </c:dLbls>
        <c:gapWidth val="150"/>
        <c:overlap val="100"/>
        <c:axId val="475406864"/>
        <c:axId val="475408824"/>
      </c:barChart>
      <c:catAx>
        <c:axId val="4754068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08824"/>
        <c:crosses val="autoZero"/>
        <c:auto val="1"/>
        <c:lblAlgn val="ctr"/>
        <c:lblOffset val="100"/>
        <c:tickLblSkip val="1"/>
        <c:tickMarkSkip val="1"/>
        <c:noMultiLvlLbl val="0"/>
      </c:catAx>
      <c:valAx>
        <c:axId val="47540882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06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172-4BF5-8AEF-35B133A4BC95}"/>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172-4BF5-8AEF-35B133A4BC95}"/>
            </c:ext>
          </c:extLst>
        </c:ser>
        <c:dLbls>
          <c:showLegendKey val="0"/>
          <c:showVal val="0"/>
          <c:showCatName val="0"/>
          <c:showSerName val="0"/>
          <c:showPercent val="0"/>
          <c:showBubbleSize val="0"/>
        </c:dLbls>
        <c:gapWidth val="150"/>
        <c:overlap val="100"/>
        <c:axId val="475429208"/>
        <c:axId val="475427640"/>
      </c:barChart>
      <c:catAx>
        <c:axId val="4754292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7640"/>
        <c:crosses val="autoZero"/>
        <c:auto val="1"/>
        <c:lblAlgn val="ctr"/>
        <c:lblOffset val="100"/>
        <c:tickLblSkip val="1"/>
        <c:tickMarkSkip val="1"/>
        <c:noMultiLvlLbl val="0"/>
      </c:catAx>
      <c:valAx>
        <c:axId val="4754276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920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486-40A2-95F8-8D509F8497D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486-40A2-95F8-8D509F8497D4}"/>
            </c:ext>
          </c:extLst>
        </c:ser>
        <c:dLbls>
          <c:showLegendKey val="0"/>
          <c:showVal val="0"/>
          <c:showCatName val="0"/>
          <c:showSerName val="0"/>
          <c:showPercent val="0"/>
          <c:showBubbleSize val="0"/>
        </c:dLbls>
        <c:gapWidth val="150"/>
        <c:overlap val="100"/>
        <c:axId val="475425680"/>
        <c:axId val="475419408"/>
      </c:barChart>
      <c:catAx>
        <c:axId val="47542568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19408"/>
        <c:crosses val="autoZero"/>
        <c:auto val="1"/>
        <c:lblAlgn val="ctr"/>
        <c:lblOffset val="100"/>
        <c:tickLblSkip val="1"/>
        <c:tickMarkSkip val="1"/>
        <c:noMultiLvlLbl val="0"/>
      </c:catAx>
      <c:valAx>
        <c:axId val="4754194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5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622-400A-A624-99AEB7B9BD6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622-400A-A624-99AEB7B9BD6B}"/>
            </c:ext>
          </c:extLst>
        </c:ser>
        <c:dLbls>
          <c:showLegendKey val="0"/>
          <c:showVal val="0"/>
          <c:showCatName val="0"/>
          <c:showSerName val="0"/>
          <c:showPercent val="0"/>
          <c:showBubbleSize val="0"/>
        </c:dLbls>
        <c:gapWidth val="150"/>
        <c:overlap val="100"/>
        <c:axId val="475422544"/>
        <c:axId val="475421760"/>
      </c:barChart>
      <c:catAx>
        <c:axId val="475422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1760"/>
        <c:crosses val="autoZero"/>
        <c:auto val="1"/>
        <c:lblAlgn val="ctr"/>
        <c:lblOffset val="100"/>
        <c:tickLblSkip val="1"/>
        <c:tickMarkSkip val="1"/>
        <c:noMultiLvlLbl val="0"/>
      </c:catAx>
      <c:valAx>
        <c:axId val="4754217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25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5DD-42D0-A032-1F66BCC70D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5DD-42D0-A032-1F66BCC70DB0}"/>
            </c:ext>
          </c:extLst>
        </c:ser>
        <c:dLbls>
          <c:showLegendKey val="0"/>
          <c:showVal val="0"/>
          <c:showCatName val="0"/>
          <c:showSerName val="0"/>
          <c:showPercent val="0"/>
          <c:showBubbleSize val="0"/>
        </c:dLbls>
        <c:gapWidth val="150"/>
        <c:overlap val="100"/>
        <c:axId val="475424504"/>
        <c:axId val="475423720"/>
      </c:barChart>
      <c:catAx>
        <c:axId val="4754245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3720"/>
        <c:crosses val="autoZero"/>
        <c:auto val="1"/>
        <c:lblAlgn val="ctr"/>
        <c:lblOffset val="100"/>
        <c:tickLblSkip val="1"/>
        <c:tickMarkSkip val="1"/>
        <c:noMultiLvlLbl val="0"/>
      </c:catAx>
      <c:valAx>
        <c:axId val="4754237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45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F4D-4D7E-BD21-F72D0658F2CE}"/>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F4D-4D7E-BD21-F72D0658F2CE}"/>
            </c:ext>
          </c:extLst>
        </c:ser>
        <c:dLbls>
          <c:showLegendKey val="0"/>
          <c:showVal val="0"/>
          <c:showCatName val="0"/>
          <c:showSerName val="0"/>
          <c:showPercent val="0"/>
          <c:showBubbleSize val="0"/>
        </c:dLbls>
        <c:gapWidth val="150"/>
        <c:overlap val="100"/>
        <c:axId val="475425288"/>
        <c:axId val="475429600"/>
      </c:barChart>
      <c:catAx>
        <c:axId val="47542528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9600"/>
        <c:crosses val="autoZero"/>
        <c:auto val="1"/>
        <c:lblAlgn val="ctr"/>
        <c:lblOffset val="100"/>
        <c:tickLblSkip val="1"/>
        <c:tickMarkSkip val="1"/>
        <c:noMultiLvlLbl val="0"/>
      </c:catAx>
      <c:valAx>
        <c:axId val="4754296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52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470-48D6-AF4F-FAB06CA71A4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470-48D6-AF4F-FAB06CA71A46}"/>
            </c:ext>
          </c:extLst>
        </c:ser>
        <c:dLbls>
          <c:showLegendKey val="0"/>
          <c:showVal val="0"/>
          <c:showCatName val="0"/>
          <c:showSerName val="0"/>
          <c:showPercent val="0"/>
          <c:showBubbleSize val="0"/>
        </c:dLbls>
        <c:gapWidth val="150"/>
        <c:overlap val="100"/>
        <c:axId val="475420584"/>
        <c:axId val="475426856"/>
      </c:barChart>
      <c:catAx>
        <c:axId val="4754205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26856"/>
        <c:crosses val="autoZero"/>
        <c:auto val="1"/>
        <c:lblAlgn val="ctr"/>
        <c:lblOffset val="100"/>
        <c:tickLblSkip val="1"/>
        <c:tickMarkSkip val="1"/>
        <c:noMultiLvlLbl val="0"/>
      </c:catAx>
      <c:valAx>
        <c:axId val="4754268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205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84-4B46-8003-B256CEA48E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84-4B46-8003-B256CEA48E2B}"/>
            </c:ext>
          </c:extLst>
        </c:ser>
        <c:dLbls>
          <c:showLegendKey val="0"/>
          <c:showVal val="0"/>
          <c:showCatName val="0"/>
          <c:showSerName val="0"/>
          <c:showPercent val="0"/>
          <c:showBubbleSize val="0"/>
        </c:dLbls>
        <c:gapWidth val="150"/>
        <c:overlap val="100"/>
        <c:axId val="475419016"/>
        <c:axId val="475436656"/>
      </c:barChart>
      <c:catAx>
        <c:axId val="4754190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6656"/>
        <c:crosses val="autoZero"/>
        <c:auto val="1"/>
        <c:lblAlgn val="ctr"/>
        <c:lblOffset val="100"/>
        <c:tickLblSkip val="1"/>
        <c:tickMarkSkip val="1"/>
        <c:noMultiLvlLbl val="0"/>
      </c:catAx>
      <c:valAx>
        <c:axId val="4754366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1901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213-4D14-B82D-306C8E5CDE0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213-4D14-B82D-306C8E5CDE03}"/>
            </c:ext>
          </c:extLst>
        </c:ser>
        <c:dLbls>
          <c:showLegendKey val="0"/>
          <c:showVal val="0"/>
          <c:showCatName val="0"/>
          <c:showSerName val="0"/>
          <c:showPercent val="0"/>
          <c:showBubbleSize val="0"/>
        </c:dLbls>
        <c:gapWidth val="150"/>
        <c:overlap val="100"/>
        <c:axId val="475434304"/>
        <c:axId val="475443320"/>
      </c:barChart>
      <c:catAx>
        <c:axId val="4754343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3320"/>
        <c:crosses val="autoZero"/>
        <c:auto val="1"/>
        <c:lblAlgn val="ctr"/>
        <c:lblOffset val="100"/>
        <c:tickLblSkip val="1"/>
        <c:tickMarkSkip val="1"/>
        <c:noMultiLvlLbl val="0"/>
      </c:catAx>
      <c:valAx>
        <c:axId val="4754433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43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3D-44EE-9BF4-0F396E6206C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3D-44EE-9BF4-0F396E6206C3}"/>
            </c:ext>
          </c:extLst>
        </c:ser>
        <c:dLbls>
          <c:showLegendKey val="0"/>
          <c:showVal val="0"/>
          <c:showCatName val="0"/>
          <c:showSerName val="0"/>
          <c:showPercent val="0"/>
          <c:showBubbleSize val="0"/>
        </c:dLbls>
        <c:gapWidth val="150"/>
        <c:overlap val="100"/>
        <c:axId val="475442144"/>
        <c:axId val="475439792"/>
      </c:barChart>
      <c:catAx>
        <c:axId val="475442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792"/>
        <c:crosses val="autoZero"/>
        <c:auto val="1"/>
        <c:lblAlgn val="ctr"/>
        <c:lblOffset val="100"/>
        <c:tickLblSkip val="1"/>
        <c:tickMarkSkip val="1"/>
        <c:noMultiLvlLbl val="0"/>
      </c:catAx>
      <c:valAx>
        <c:axId val="475439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2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C4E-4818-B926-4761BA961D6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C4E-4818-B926-4761BA961D63}"/>
            </c:ext>
          </c:extLst>
        </c:ser>
        <c:dLbls>
          <c:showLegendKey val="0"/>
          <c:showVal val="0"/>
          <c:showCatName val="0"/>
          <c:showSerName val="0"/>
          <c:showPercent val="0"/>
          <c:showBubbleSize val="0"/>
        </c:dLbls>
        <c:gapWidth val="150"/>
        <c:overlap val="100"/>
        <c:axId val="475432736"/>
        <c:axId val="475439400"/>
      </c:barChart>
      <c:catAx>
        <c:axId val="47543273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400"/>
        <c:crosses val="autoZero"/>
        <c:auto val="1"/>
        <c:lblAlgn val="ctr"/>
        <c:lblOffset val="100"/>
        <c:tickLblSkip val="1"/>
        <c:tickMarkSkip val="1"/>
        <c:noMultiLvlLbl val="0"/>
      </c:catAx>
      <c:valAx>
        <c:axId val="47543940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273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4EB-4A98-A56A-94E2B518382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4EB-4A98-A56A-94E2B518382B}"/>
            </c:ext>
          </c:extLst>
        </c:ser>
        <c:dLbls>
          <c:showLegendKey val="0"/>
          <c:showVal val="0"/>
          <c:showCatName val="0"/>
          <c:showSerName val="0"/>
          <c:showPercent val="0"/>
          <c:showBubbleSize val="0"/>
        </c:dLbls>
        <c:gapWidth val="150"/>
        <c:overlap val="100"/>
        <c:axId val="475431560"/>
        <c:axId val="475435088"/>
      </c:barChart>
      <c:catAx>
        <c:axId val="4754315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5088"/>
        <c:crosses val="autoZero"/>
        <c:auto val="1"/>
        <c:lblAlgn val="ctr"/>
        <c:lblOffset val="100"/>
        <c:tickLblSkip val="1"/>
        <c:tickMarkSkip val="1"/>
        <c:noMultiLvlLbl val="0"/>
      </c:catAx>
      <c:valAx>
        <c:axId val="4754350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15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AA2-4471-B1C4-86DC7ACE0E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AA2-4471-B1C4-86DC7ACE0EBC}"/>
            </c:ext>
          </c:extLst>
        </c:ser>
        <c:dLbls>
          <c:showLegendKey val="0"/>
          <c:showVal val="0"/>
          <c:showCatName val="0"/>
          <c:showSerName val="0"/>
          <c:showPercent val="0"/>
          <c:showBubbleSize val="0"/>
        </c:dLbls>
        <c:gapWidth val="150"/>
        <c:overlap val="100"/>
        <c:axId val="475438616"/>
        <c:axId val="475439008"/>
      </c:barChart>
      <c:catAx>
        <c:axId val="475438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9008"/>
        <c:crosses val="autoZero"/>
        <c:auto val="1"/>
        <c:lblAlgn val="ctr"/>
        <c:lblOffset val="100"/>
        <c:tickLblSkip val="1"/>
        <c:tickMarkSkip val="1"/>
        <c:noMultiLvlLbl val="0"/>
      </c:catAx>
      <c:valAx>
        <c:axId val="47543900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8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DE1-41A1-B515-772ACACB38B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DE1-41A1-B515-772ACACB38BC}"/>
            </c:ext>
          </c:extLst>
        </c:ser>
        <c:dLbls>
          <c:showLegendKey val="0"/>
          <c:showVal val="0"/>
          <c:showCatName val="0"/>
          <c:showSerName val="0"/>
          <c:showPercent val="0"/>
          <c:showBubbleSize val="0"/>
        </c:dLbls>
        <c:gapWidth val="150"/>
        <c:overlap val="100"/>
        <c:axId val="475433520"/>
        <c:axId val="475433912"/>
      </c:barChart>
      <c:catAx>
        <c:axId val="47543352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33912"/>
        <c:crosses val="autoZero"/>
        <c:auto val="1"/>
        <c:lblAlgn val="ctr"/>
        <c:lblOffset val="100"/>
        <c:tickLblSkip val="1"/>
        <c:tickMarkSkip val="1"/>
        <c:noMultiLvlLbl val="0"/>
      </c:catAx>
      <c:valAx>
        <c:axId val="4754339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33520"/>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53F-4CB7-9D35-75FE98893F5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53F-4CB7-9D35-75FE98893F56}"/>
            </c:ext>
          </c:extLst>
        </c:ser>
        <c:dLbls>
          <c:showLegendKey val="0"/>
          <c:showVal val="0"/>
          <c:showCatName val="0"/>
          <c:showSerName val="0"/>
          <c:showPercent val="0"/>
          <c:showBubbleSize val="0"/>
        </c:dLbls>
        <c:gapWidth val="150"/>
        <c:overlap val="100"/>
        <c:axId val="475446456"/>
        <c:axId val="475451160"/>
      </c:barChart>
      <c:catAx>
        <c:axId val="475446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1160"/>
        <c:crosses val="autoZero"/>
        <c:auto val="1"/>
        <c:lblAlgn val="ctr"/>
        <c:lblOffset val="100"/>
        <c:tickLblSkip val="1"/>
        <c:tickMarkSkip val="1"/>
        <c:noMultiLvlLbl val="0"/>
      </c:catAx>
      <c:valAx>
        <c:axId val="4754511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64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3D0-4A0F-AD57-773094FDEF2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3D0-4A0F-AD57-773094FDEF2D}"/>
            </c:ext>
          </c:extLst>
        </c:ser>
        <c:dLbls>
          <c:showLegendKey val="0"/>
          <c:showVal val="0"/>
          <c:showCatName val="0"/>
          <c:showSerName val="0"/>
          <c:showPercent val="0"/>
          <c:showBubbleSize val="0"/>
        </c:dLbls>
        <c:gapWidth val="150"/>
        <c:overlap val="100"/>
        <c:axId val="475456256"/>
        <c:axId val="475447240"/>
      </c:barChart>
      <c:catAx>
        <c:axId val="475456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7240"/>
        <c:crosses val="autoZero"/>
        <c:auto val="1"/>
        <c:lblAlgn val="ctr"/>
        <c:lblOffset val="100"/>
        <c:tickLblSkip val="1"/>
        <c:tickMarkSkip val="1"/>
        <c:noMultiLvlLbl val="0"/>
      </c:catAx>
      <c:valAx>
        <c:axId val="4754472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625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1FD5-4A8D-8ADA-E05D2F335D8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1FD5-4A8D-8ADA-E05D2F335D80}"/>
            </c:ext>
          </c:extLst>
        </c:ser>
        <c:dLbls>
          <c:showLegendKey val="0"/>
          <c:showVal val="0"/>
          <c:showCatName val="0"/>
          <c:showSerName val="0"/>
          <c:showPercent val="0"/>
          <c:showBubbleSize val="0"/>
        </c:dLbls>
        <c:gapWidth val="150"/>
        <c:overlap val="100"/>
        <c:axId val="475446064"/>
        <c:axId val="475447632"/>
      </c:barChart>
      <c:catAx>
        <c:axId val="475446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7632"/>
        <c:crosses val="autoZero"/>
        <c:auto val="1"/>
        <c:lblAlgn val="ctr"/>
        <c:lblOffset val="100"/>
        <c:tickLblSkip val="1"/>
        <c:tickMarkSkip val="1"/>
        <c:noMultiLvlLbl val="0"/>
      </c:catAx>
      <c:valAx>
        <c:axId val="47544763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606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8089-441F-83A3-AC3D43799D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8089-441F-83A3-AC3D43799D87}"/>
            </c:ext>
          </c:extLst>
        </c:ser>
        <c:dLbls>
          <c:showLegendKey val="0"/>
          <c:showVal val="0"/>
          <c:showCatName val="0"/>
          <c:showSerName val="0"/>
          <c:showPercent val="0"/>
          <c:showBubbleSize val="0"/>
        </c:dLbls>
        <c:gapWidth val="150"/>
        <c:overlap val="100"/>
        <c:axId val="475450768"/>
        <c:axId val="475455472"/>
      </c:barChart>
      <c:catAx>
        <c:axId val="47545076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5472"/>
        <c:crosses val="autoZero"/>
        <c:auto val="1"/>
        <c:lblAlgn val="ctr"/>
        <c:lblOffset val="100"/>
        <c:tickLblSkip val="1"/>
        <c:tickMarkSkip val="1"/>
        <c:noMultiLvlLbl val="0"/>
      </c:catAx>
      <c:valAx>
        <c:axId val="4754554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076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516-4854-975F-F0797BE8B2E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516-4854-975F-F0797BE8B2EC}"/>
            </c:ext>
          </c:extLst>
        </c:ser>
        <c:dLbls>
          <c:showLegendKey val="0"/>
          <c:showVal val="0"/>
          <c:showCatName val="0"/>
          <c:showSerName val="0"/>
          <c:showPercent val="0"/>
          <c:showBubbleSize val="0"/>
        </c:dLbls>
        <c:gapWidth val="150"/>
        <c:overlap val="100"/>
        <c:axId val="475449200"/>
        <c:axId val="475449592"/>
      </c:barChart>
      <c:catAx>
        <c:axId val="47544920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49592"/>
        <c:crosses val="autoZero"/>
        <c:auto val="1"/>
        <c:lblAlgn val="ctr"/>
        <c:lblOffset val="100"/>
        <c:tickLblSkip val="1"/>
        <c:tickMarkSkip val="1"/>
        <c:noMultiLvlLbl val="0"/>
      </c:catAx>
      <c:valAx>
        <c:axId val="4754495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4920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745-4381-A22A-94944D39F03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745-4381-A22A-94944D39F03A}"/>
            </c:ext>
          </c:extLst>
        </c:ser>
        <c:dLbls>
          <c:showLegendKey val="0"/>
          <c:showVal val="0"/>
          <c:showCatName val="0"/>
          <c:showSerName val="0"/>
          <c:showPercent val="0"/>
          <c:showBubbleSize val="0"/>
        </c:dLbls>
        <c:gapWidth val="150"/>
        <c:overlap val="100"/>
        <c:axId val="475453904"/>
        <c:axId val="475454296"/>
      </c:barChart>
      <c:catAx>
        <c:axId val="4754539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4296"/>
        <c:crosses val="autoZero"/>
        <c:auto val="1"/>
        <c:lblAlgn val="ctr"/>
        <c:lblOffset val="100"/>
        <c:tickLblSkip val="1"/>
        <c:tickMarkSkip val="1"/>
        <c:noMultiLvlLbl val="0"/>
      </c:catAx>
      <c:valAx>
        <c:axId val="475454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390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0E1-44AC-B3AF-31328695070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0E1-44AC-B3AF-313286950704}"/>
            </c:ext>
          </c:extLst>
        </c:ser>
        <c:dLbls>
          <c:showLegendKey val="0"/>
          <c:showVal val="0"/>
          <c:showCatName val="0"/>
          <c:showSerName val="0"/>
          <c:showPercent val="0"/>
          <c:showBubbleSize val="0"/>
        </c:dLbls>
        <c:gapWidth val="150"/>
        <c:overlap val="100"/>
        <c:axId val="475463704"/>
        <c:axId val="475458216"/>
      </c:barChart>
      <c:catAx>
        <c:axId val="4754637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8216"/>
        <c:crosses val="autoZero"/>
        <c:auto val="1"/>
        <c:lblAlgn val="ctr"/>
        <c:lblOffset val="100"/>
        <c:tickLblSkip val="1"/>
        <c:tickMarkSkip val="1"/>
        <c:noMultiLvlLbl val="0"/>
      </c:catAx>
      <c:valAx>
        <c:axId val="47545821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37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682-4219-9895-24A3E5C9568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682-4219-9895-24A3E5C95688}"/>
            </c:ext>
          </c:extLst>
        </c:ser>
        <c:dLbls>
          <c:showLegendKey val="0"/>
          <c:showVal val="0"/>
          <c:showCatName val="0"/>
          <c:showSerName val="0"/>
          <c:showPercent val="0"/>
          <c:showBubbleSize val="0"/>
        </c:dLbls>
        <c:gapWidth val="150"/>
        <c:overlap val="100"/>
        <c:axId val="475466840"/>
        <c:axId val="475457040"/>
      </c:barChart>
      <c:catAx>
        <c:axId val="4754668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7040"/>
        <c:crosses val="autoZero"/>
        <c:auto val="1"/>
        <c:lblAlgn val="ctr"/>
        <c:lblOffset val="100"/>
        <c:tickLblSkip val="1"/>
        <c:tickMarkSkip val="1"/>
        <c:noMultiLvlLbl val="0"/>
      </c:catAx>
      <c:valAx>
        <c:axId val="475457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68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0CF7-4D04-8074-55FE77E34A4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0CF7-4D04-8074-55FE77E34A43}"/>
            </c:ext>
          </c:extLst>
        </c:ser>
        <c:dLbls>
          <c:showLegendKey val="0"/>
          <c:showVal val="0"/>
          <c:showCatName val="0"/>
          <c:showSerName val="0"/>
          <c:showPercent val="0"/>
          <c:showBubbleSize val="0"/>
        </c:dLbls>
        <c:gapWidth val="150"/>
        <c:overlap val="100"/>
        <c:axId val="475456648"/>
        <c:axId val="475460960"/>
      </c:barChart>
      <c:catAx>
        <c:axId val="4754566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0960"/>
        <c:crosses val="autoZero"/>
        <c:auto val="1"/>
        <c:lblAlgn val="ctr"/>
        <c:lblOffset val="100"/>
        <c:tickLblSkip val="1"/>
        <c:tickMarkSkip val="1"/>
        <c:noMultiLvlLbl val="0"/>
      </c:catAx>
      <c:valAx>
        <c:axId val="47546096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6648"/>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F99-4618-9562-4A69FA2721D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F99-4618-9562-4A69FA2721D0}"/>
            </c:ext>
          </c:extLst>
        </c:ser>
        <c:dLbls>
          <c:showLegendKey val="0"/>
          <c:showVal val="0"/>
          <c:showCatName val="0"/>
          <c:showSerName val="0"/>
          <c:showPercent val="0"/>
          <c:showBubbleSize val="0"/>
        </c:dLbls>
        <c:gapWidth val="150"/>
        <c:overlap val="100"/>
        <c:axId val="475461352"/>
        <c:axId val="475466056"/>
      </c:barChart>
      <c:catAx>
        <c:axId val="4754613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6056"/>
        <c:crosses val="autoZero"/>
        <c:auto val="1"/>
        <c:lblAlgn val="ctr"/>
        <c:lblOffset val="100"/>
        <c:tickLblSkip val="1"/>
        <c:tickMarkSkip val="1"/>
        <c:noMultiLvlLbl val="0"/>
      </c:catAx>
      <c:valAx>
        <c:axId val="47546605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13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9AB8-4AB6-8795-DCB2D732CA7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9AB8-4AB6-8795-DCB2D732CA7C}"/>
            </c:ext>
          </c:extLst>
        </c:ser>
        <c:dLbls>
          <c:showLegendKey val="0"/>
          <c:showVal val="0"/>
          <c:showCatName val="0"/>
          <c:showSerName val="0"/>
          <c:showPercent val="0"/>
          <c:showBubbleSize val="0"/>
        </c:dLbls>
        <c:gapWidth val="150"/>
        <c:overlap val="100"/>
        <c:axId val="475466448"/>
        <c:axId val="475465272"/>
      </c:barChart>
      <c:catAx>
        <c:axId val="4754664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5272"/>
        <c:crosses val="autoZero"/>
        <c:auto val="1"/>
        <c:lblAlgn val="ctr"/>
        <c:lblOffset val="100"/>
        <c:tickLblSkip val="1"/>
        <c:tickMarkSkip val="1"/>
        <c:noMultiLvlLbl val="0"/>
      </c:catAx>
      <c:valAx>
        <c:axId val="4754652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64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2017-4D69-BB9C-7EC3B6F55038}"/>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2017-4D69-BB9C-7EC3B6F55038}"/>
            </c:ext>
          </c:extLst>
        </c:ser>
        <c:dLbls>
          <c:showLegendKey val="0"/>
          <c:showVal val="0"/>
          <c:showCatName val="0"/>
          <c:showSerName val="0"/>
          <c:showPercent val="0"/>
          <c:showBubbleSize val="0"/>
        </c:dLbls>
        <c:gapWidth val="150"/>
        <c:overlap val="100"/>
        <c:axId val="475467624"/>
        <c:axId val="475460176"/>
      </c:barChart>
      <c:catAx>
        <c:axId val="4754676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0176"/>
        <c:crosses val="autoZero"/>
        <c:auto val="1"/>
        <c:lblAlgn val="ctr"/>
        <c:lblOffset val="100"/>
        <c:tickLblSkip val="1"/>
        <c:tickMarkSkip val="1"/>
        <c:noMultiLvlLbl val="0"/>
      </c:catAx>
      <c:valAx>
        <c:axId val="47546017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676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AB3-42F4-BB81-BB80C36C7D81}"/>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AB3-42F4-BB81-BB80C36C7D81}"/>
            </c:ext>
          </c:extLst>
        </c:ser>
        <c:dLbls>
          <c:showLegendKey val="0"/>
          <c:showVal val="0"/>
          <c:showCatName val="0"/>
          <c:showSerName val="0"/>
          <c:showPercent val="0"/>
          <c:showBubbleSize val="0"/>
        </c:dLbls>
        <c:gapWidth val="150"/>
        <c:overlap val="100"/>
        <c:axId val="475459392"/>
        <c:axId val="475459784"/>
      </c:barChart>
      <c:catAx>
        <c:axId val="4754593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59784"/>
        <c:crosses val="autoZero"/>
        <c:auto val="1"/>
        <c:lblAlgn val="ctr"/>
        <c:lblOffset val="100"/>
        <c:tickLblSkip val="1"/>
        <c:tickMarkSkip val="1"/>
        <c:noMultiLvlLbl val="0"/>
      </c:catAx>
      <c:valAx>
        <c:axId val="4754597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593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ADF5-40DE-ABEC-5A3E1AD08BB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ADF5-40DE-ABEC-5A3E1AD08BB6}"/>
            </c:ext>
          </c:extLst>
        </c:ser>
        <c:dLbls>
          <c:showLegendKey val="0"/>
          <c:showVal val="0"/>
          <c:showCatName val="0"/>
          <c:showSerName val="0"/>
          <c:showPercent val="0"/>
          <c:showBubbleSize val="0"/>
        </c:dLbls>
        <c:gapWidth val="150"/>
        <c:overlap val="100"/>
        <c:axId val="475475072"/>
        <c:axId val="475474288"/>
      </c:barChart>
      <c:catAx>
        <c:axId val="47547507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4288"/>
        <c:crosses val="autoZero"/>
        <c:auto val="1"/>
        <c:lblAlgn val="ctr"/>
        <c:lblOffset val="100"/>
        <c:tickLblSkip val="1"/>
        <c:tickMarkSkip val="1"/>
        <c:noMultiLvlLbl val="0"/>
      </c:catAx>
      <c:valAx>
        <c:axId val="4754742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50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EB83-44D0-AAB2-9AD2DE91288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EB83-44D0-AAB2-9AD2DE912887}"/>
            </c:ext>
          </c:extLst>
        </c:ser>
        <c:dLbls>
          <c:showLegendKey val="0"/>
          <c:showVal val="0"/>
          <c:showCatName val="0"/>
          <c:showSerName val="0"/>
          <c:showPercent val="0"/>
          <c:showBubbleSize val="0"/>
        </c:dLbls>
        <c:gapWidth val="150"/>
        <c:overlap val="100"/>
        <c:axId val="475471544"/>
        <c:axId val="475469584"/>
      </c:barChart>
      <c:catAx>
        <c:axId val="4754715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69584"/>
        <c:crosses val="autoZero"/>
        <c:auto val="1"/>
        <c:lblAlgn val="ctr"/>
        <c:lblOffset val="100"/>
        <c:tickLblSkip val="1"/>
        <c:tickMarkSkip val="1"/>
        <c:noMultiLvlLbl val="0"/>
      </c:catAx>
      <c:valAx>
        <c:axId val="4754695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154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3100-414F-AE8C-AD7A1356A9B0}"/>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3100-414F-AE8C-AD7A1356A9B0}"/>
            </c:ext>
          </c:extLst>
        </c:ser>
        <c:dLbls>
          <c:showLegendKey val="0"/>
          <c:showVal val="0"/>
          <c:showCatName val="0"/>
          <c:showSerName val="0"/>
          <c:showPercent val="0"/>
          <c:showBubbleSize val="0"/>
        </c:dLbls>
        <c:gapWidth val="150"/>
        <c:overlap val="100"/>
        <c:axId val="475478992"/>
        <c:axId val="475479384"/>
      </c:barChart>
      <c:catAx>
        <c:axId val="47547899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9384"/>
        <c:crosses val="autoZero"/>
        <c:auto val="1"/>
        <c:lblAlgn val="ctr"/>
        <c:lblOffset val="100"/>
        <c:tickLblSkip val="1"/>
        <c:tickMarkSkip val="1"/>
        <c:noMultiLvlLbl val="0"/>
      </c:catAx>
      <c:valAx>
        <c:axId val="4754793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89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670-454E-AFDC-A12445C12B1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670-454E-AFDC-A12445C12B1C}"/>
            </c:ext>
          </c:extLst>
        </c:ser>
        <c:dLbls>
          <c:showLegendKey val="0"/>
          <c:showVal val="0"/>
          <c:showCatName val="0"/>
          <c:showSerName val="0"/>
          <c:showPercent val="0"/>
          <c:showBubbleSize val="0"/>
        </c:dLbls>
        <c:gapWidth val="150"/>
        <c:overlap val="100"/>
        <c:axId val="475476640"/>
        <c:axId val="475474680"/>
      </c:barChart>
      <c:catAx>
        <c:axId val="47547664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4680"/>
        <c:crosses val="autoZero"/>
        <c:auto val="1"/>
        <c:lblAlgn val="ctr"/>
        <c:lblOffset val="100"/>
        <c:tickLblSkip val="1"/>
        <c:tickMarkSkip val="1"/>
        <c:noMultiLvlLbl val="0"/>
      </c:catAx>
      <c:valAx>
        <c:axId val="4754746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66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F98-4E21-8556-D4FD1155353D}"/>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F98-4E21-8556-D4FD1155353D}"/>
            </c:ext>
          </c:extLst>
        </c:ser>
        <c:dLbls>
          <c:showLegendKey val="0"/>
          <c:showVal val="0"/>
          <c:showCatName val="0"/>
          <c:showSerName val="0"/>
          <c:showPercent val="0"/>
          <c:showBubbleSize val="0"/>
        </c:dLbls>
        <c:gapWidth val="150"/>
        <c:overlap val="100"/>
        <c:axId val="475477032"/>
        <c:axId val="475473112"/>
      </c:barChart>
      <c:catAx>
        <c:axId val="47547703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3112"/>
        <c:crosses val="autoZero"/>
        <c:auto val="1"/>
        <c:lblAlgn val="ctr"/>
        <c:lblOffset val="100"/>
        <c:tickLblSkip val="1"/>
        <c:tickMarkSkip val="1"/>
        <c:noMultiLvlLbl val="0"/>
      </c:catAx>
      <c:valAx>
        <c:axId val="47547311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7032"/>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21-45A0-B1D6-3D5B4DB358B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21-45A0-B1D6-3D5B4DB358BA}"/>
            </c:ext>
          </c:extLst>
        </c:ser>
        <c:dLbls>
          <c:showLegendKey val="0"/>
          <c:showVal val="0"/>
          <c:showCatName val="0"/>
          <c:showSerName val="0"/>
          <c:showPercent val="0"/>
          <c:showBubbleSize val="0"/>
        </c:dLbls>
        <c:gapWidth val="150"/>
        <c:overlap val="100"/>
        <c:axId val="475473896"/>
        <c:axId val="475476248"/>
      </c:barChart>
      <c:catAx>
        <c:axId val="4754738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76248"/>
        <c:crosses val="autoZero"/>
        <c:auto val="1"/>
        <c:lblAlgn val="ctr"/>
        <c:lblOffset val="100"/>
        <c:tickLblSkip val="1"/>
        <c:tickMarkSkip val="1"/>
        <c:noMultiLvlLbl val="0"/>
      </c:catAx>
      <c:valAx>
        <c:axId val="4754762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738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3F-4351-863E-68520C458BC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3F-4351-863E-68520C458BC4}"/>
            </c:ext>
          </c:extLst>
        </c:ser>
        <c:dLbls>
          <c:showLegendKey val="0"/>
          <c:showVal val="0"/>
          <c:showCatName val="0"/>
          <c:showSerName val="0"/>
          <c:showPercent val="0"/>
          <c:showBubbleSize val="0"/>
        </c:dLbls>
        <c:gapWidth val="150"/>
        <c:overlap val="100"/>
        <c:axId val="475487616"/>
        <c:axId val="475482520"/>
      </c:barChart>
      <c:catAx>
        <c:axId val="47548761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2520"/>
        <c:crosses val="autoZero"/>
        <c:auto val="1"/>
        <c:lblAlgn val="ctr"/>
        <c:lblOffset val="100"/>
        <c:tickLblSkip val="1"/>
        <c:tickMarkSkip val="1"/>
        <c:noMultiLvlLbl val="0"/>
      </c:catAx>
      <c:valAx>
        <c:axId val="47548252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761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F35E-4412-B591-04B93D7C97F3}"/>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F35E-4412-B591-04B93D7C97F3}"/>
            </c:ext>
          </c:extLst>
        </c:ser>
        <c:dLbls>
          <c:showLegendKey val="0"/>
          <c:showVal val="0"/>
          <c:showCatName val="0"/>
          <c:showSerName val="0"/>
          <c:showPercent val="0"/>
          <c:showBubbleSize val="0"/>
        </c:dLbls>
        <c:gapWidth val="150"/>
        <c:overlap val="100"/>
        <c:axId val="475489184"/>
        <c:axId val="475491928"/>
      </c:barChart>
      <c:catAx>
        <c:axId val="47548918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1928"/>
        <c:crosses val="autoZero"/>
        <c:auto val="1"/>
        <c:lblAlgn val="ctr"/>
        <c:lblOffset val="100"/>
        <c:tickLblSkip val="1"/>
        <c:tickMarkSkip val="1"/>
        <c:noMultiLvlLbl val="0"/>
      </c:catAx>
      <c:valAx>
        <c:axId val="47549192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918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DEF2-4CB5-A989-5FE05D0A7024}"/>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DEF2-4CB5-A989-5FE05D0A7024}"/>
            </c:ext>
          </c:extLst>
        </c:ser>
        <c:dLbls>
          <c:showLegendKey val="0"/>
          <c:showVal val="0"/>
          <c:showCatName val="0"/>
          <c:showSerName val="0"/>
          <c:showPercent val="0"/>
          <c:showBubbleSize val="0"/>
        </c:dLbls>
        <c:gapWidth val="150"/>
        <c:overlap val="100"/>
        <c:axId val="475493104"/>
        <c:axId val="475486048"/>
      </c:barChart>
      <c:catAx>
        <c:axId val="47549310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6048"/>
        <c:crosses val="autoZero"/>
        <c:auto val="1"/>
        <c:lblAlgn val="ctr"/>
        <c:lblOffset val="100"/>
        <c:tickLblSkip val="1"/>
        <c:tickMarkSkip val="1"/>
        <c:noMultiLvlLbl val="0"/>
      </c:catAx>
      <c:valAx>
        <c:axId val="47548604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31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4C9D-4E02-A931-C7A9FFB3C9C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4C9D-4E02-A931-C7A9FFB3C9CA}"/>
            </c:ext>
          </c:extLst>
        </c:ser>
        <c:dLbls>
          <c:showLegendKey val="0"/>
          <c:showVal val="0"/>
          <c:showCatName val="0"/>
          <c:showSerName val="0"/>
          <c:showPercent val="0"/>
          <c:showBubbleSize val="0"/>
        </c:dLbls>
        <c:gapWidth val="150"/>
        <c:overlap val="100"/>
        <c:axId val="475493496"/>
        <c:axId val="475493888"/>
      </c:barChart>
      <c:catAx>
        <c:axId val="47549349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3888"/>
        <c:crosses val="autoZero"/>
        <c:auto val="1"/>
        <c:lblAlgn val="ctr"/>
        <c:lblOffset val="100"/>
        <c:tickLblSkip val="1"/>
        <c:tickMarkSkip val="1"/>
        <c:noMultiLvlLbl val="0"/>
      </c:catAx>
      <c:valAx>
        <c:axId val="4754938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3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C691-4926-AE9B-4C5C29142EC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C691-4926-AE9B-4C5C29142ECC}"/>
            </c:ext>
          </c:extLst>
        </c:ser>
        <c:dLbls>
          <c:showLegendKey val="0"/>
          <c:showVal val="0"/>
          <c:showCatName val="0"/>
          <c:showSerName val="0"/>
          <c:showPercent val="0"/>
          <c:showBubbleSize val="0"/>
        </c:dLbls>
        <c:gapWidth val="150"/>
        <c:overlap val="100"/>
        <c:axId val="475487224"/>
        <c:axId val="475488792"/>
      </c:barChart>
      <c:catAx>
        <c:axId val="47548722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8792"/>
        <c:crosses val="autoZero"/>
        <c:auto val="1"/>
        <c:lblAlgn val="ctr"/>
        <c:lblOffset val="100"/>
        <c:tickLblSkip val="1"/>
        <c:tickMarkSkip val="1"/>
        <c:noMultiLvlLbl val="0"/>
      </c:catAx>
      <c:valAx>
        <c:axId val="47548879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87224"/>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4A0-41C9-AFEF-158CAB51CDD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4A0-41C9-AFEF-158CAB51CDD2}"/>
            </c:ext>
          </c:extLst>
        </c:ser>
        <c:dLbls>
          <c:showLegendKey val="0"/>
          <c:showVal val="0"/>
          <c:showCatName val="0"/>
          <c:showSerName val="0"/>
          <c:showPercent val="0"/>
          <c:showBubbleSize val="0"/>
        </c:dLbls>
        <c:gapWidth val="150"/>
        <c:overlap val="100"/>
        <c:axId val="475490360"/>
        <c:axId val="475485264"/>
      </c:barChart>
      <c:catAx>
        <c:axId val="475490360"/>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85264"/>
        <c:crosses val="autoZero"/>
        <c:auto val="1"/>
        <c:lblAlgn val="ctr"/>
        <c:lblOffset val="100"/>
        <c:tickLblSkip val="1"/>
        <c:tickMarkSkip val="1"/>
        <c:noMultiLvlLbl val="0"/>
      </c:catAx>
      <c:valAx>
        <c:axId val="47548526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036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5CB-4B5E-8F1E-FDB421787162}"/>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5CB-4B5E-8F1E-FDB421787162}"/>
            </c:ext>
          </c:extLst>
        </c:ser>
        <c:dLbls>
          <c:showLegendKey val="0"/>
          <c:showVal val="0"/>
          <c:showCatName val="0"/>
          <c:showSerName val="0"/>
          <c:showPercent val="0"/>
          <c:showBubbleSize val="0"/>
        </c:dLbls>
        <c:gapWidth val="150"/>
        <c:overlap val="100"/>
        <c:axId val="475491144"/>
        <c:axId val="475494672"/>
      </c:barChart>
      <c:catAx>
        <c:axId val="47549114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4672"/>
        <c:crosses val="autoZero"/>
        <c:auto val="1"/>
        <c:lblAlgn val="ctr"/>
        <c:lblOffset val="100"/>
        <c:tickLblSkip val="1"/>
        <c:tickMarkSkip val="1"/>
        <c:noMultiLvlLbl val="0"/>
      </c:catAx>
      <c:valAx>
        <c:axId val="475494672"/>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11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5A2A-4504-9181-7A1F45F71EC7}"/>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5A2A-4504-9181-7A1F45F71EC7}"/>
            </c:ext>
          </c:extLst>
        </c:ser>
        <c:dLbls>
          <c:showLegendKey val="0"/>
          <c:showVal val="0"/>
          <c:showCatName val="0"/>
          <c:showSerName val="0"/>
          <c:showPercent val="0"/>
          <c:showBubbleSize val="0"/>
        </c:dLbls>
        <c:gapWidth val="150"/>
        <c:overlap val="100"/>
        <c:axId val="475505256"/>
        <c:axId val="475503688"/>
      </c:barChart>
      <c:catAx>
        <c:axId val="4755052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3688"/>
        <c:crosses val="autoZero"/>
        <c:auto val="1"/>
        <c:lblAlgn val="ctr"/>
        <c:lblOffset val="100"/>
        <c:tickLblSkip val="1"/>
        <c:tickMarkSkip val="1"/>
        <c:noMultiLvlLbl val="0"/>
      </c:catAx>
      <c:valAx>
        <c:axId val="475503688"/>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052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62D2-433D-99E9-8DB50484284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62D2-433D-99E9-8DB50484284B}"/>
            </c:ext>
          </c:extLst>
        </c:ser>
        <c:dLbls>
          <c:showLegendKey val="0"/>
          <c:showVal val="0"/>
          <c:showCatName val="0"/>
          <c:showSerName val="0"/>
          <c:showPercent val="0"/>
          <c:showBubbleSize val="0"/>
        </c:dLbls>
        <c:gapWidth val="150"/>
        <c:overlap val="100"/>
        <c:axId val="475500552"/>
        <c:axId val="475498984"/>
      </c:barChart>
      <c:catAx>
        <c:axId val="475500552"/>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8984"/>
        <c:crosses val="autoZero"/>
        <c:auto val="1"/>
        <c:lblAlgn val="ctr"/>
        <c:lblOffset val="100"/>
        <c:tickLblSkip val="1"/>
        <c:tickMarkSkip val="1"/>
        <c:noMultiLvlLbl val="0"/>
      </c:catAx>
      <c:valAx>
        <c:axId val="475498984"/>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50055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2FF-4100-915C-79B37F246066}"/>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2FF-4100-915C-79B37F246066}"/>
            </c:ext>
          </c:extLst>
        </c:ser>
        <c:dLbls>
          <c:showLegendKey val="0"/>
          <c:showVal val="0"/>
          <c:showCatName val="0"/>
          <c:showSerName val="0"/>
          <c:showPercent val="0"/>
          <c:showBubbleSize val="0"/>
        </c:dLbls>
        <c:gapWidth val="150"/>
        <c:overlap val="100"/>
        <c:axId val="475495064"/>
        <c:axId val="475506040"/>
      </c:barChart>
      <c:catAx>
        <c:axId val="475495064"/>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6040"/>
        <c:crosses val="autoZero"/>
        <c:auto val="1"/>
        <c:lblAlgn val="ctr"/>
        <c:lblOffset val="100"/>
        <c:tickLblSkip val="1"/>
        <c:tickMarkSkip val="1"/>
        <c:noMultiLvlLbl val="0"/>
      </c:catAx>
      <c:valAx>
        <c:axId val="47550604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0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Einwohner / Kunden</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3A3-4F17-8007-B7552B135E4A}"/>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3A3-4F17-8007-B7552B135E4A}"/>
            </c:ext>
          </c:extLst>
        </c:ser>
        <c:dLbls>
          <c:showLegendKey val="0"/>
          <c:showVal val="0"/>
          <c:showCatName val="0"/>
          <c:showSerName val="0"/>
          <c:showPercent val="0"/>
          <c:showBubbleSize val="0"/>
        </c:dLbls>
        <c:gapWidth val="150"/>
        <c:overlap val="100"/>
        <c:axId val="475495456"/>
        <c:axId val="475504080"/>
      </c:barChart>
      <c:catAx>
        <c:axId val="475495456"/>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4080"/>
        <c:crosses val="autoZero"/>
        <c:auto val="1"/>
        <c:lblAlgn val="ctr"/>
        <c:lblOffset val="100"/>
        <c:tickLblSkip val="1"/>
        <c:tickMarkSkip val="1"/>
        <c:noMultiLvlLbl val="0"/>
      </c:catAx>
      <c:valAx>
        <c:axId val="4755040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456"/>
        <c:crosses val="autoZero"/>
        <c:crossBetween val="between"/>
        <c:majorUnit val="5"/>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Beschäftigte</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7838-414F-949E-BE572B86DB3B}"/>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7838-414F-949E-BE572B86DB3B}"/>
            </c:ext>
          </c:extLst>
        </c:ser>
        <c:dLbls>
          <c:showLegendKey val="0"/>
          <c:showVal val="0"/>
          <c:showCatName val="0"/>
          <c:showSerName val="0"/>
          <c:showPercent val="0"/>
          <c:showBubbleSize val="0"/>
        </c:dLbls>
        <c:gapWidth val="150"/>
        <c:overlap val="100"/>
        <c:axId val="475495848"/>
        <c:axId val="475494280"/>
      </c:barChart>
      <c:catAx>
        <c:axId val="47549584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494280"/>
        <c:crosses val="autoZero"/>
        <c:auto val="1"/>
        <c:lblAlgn val="ctr"/>
        <c:lblOffset val="100"/>
        <c:tickLblSkip val="1"/>
        <c:tickMarkSkip val="1"/>
        <c:noMultiLvlLbl val="0"/>
      </c:catAx>
      <c:valAx>
        <c:axId val="475494280"/>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584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000"/>
            </a:pPr>
            <a:r>
              <a:rPr lang="de-DE" sz="1000"/>
              <a:t>Verkaufsfläche / Wirtschaft</a:t>
            </a:r>
          </a:p>
        </c:rich>
      </c:tx>
      <c:overlay val="0"/>
      <c:spPr>
        <a:noFill/>
        <a:ln w="25400">
          <a:noFill/>
        </a:ln>
      </c:spPr>
    </c:title>
    <c:autoTitleDeleted val="0"/>
    <c:plotArea>
      <c:layout/>
      <c:barChart>
        <c:barDir val="col"/>
        <c:grouping val="stacked"/>
        <c:varyColors val="0"/>
        <c:ser>
          <c:idx val="0"/>
          <c:order val="0"/>
          <c:spPr>
            <a:solidFill>
              <a:srgbClr val="C00000"/>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0-BD99-4A13-B985-5152DB00BD8C}"/>
            </c:ext>
          </c:extLst>
        </c:ser>
        <c:ser>
          <c:idx val="1"/>
          <c:order val="1"/>
          <c:spPr>
            <a:solidFill>
              <a:srgbClr val="64C846"/>
            </a:solidFill>
            <a:ln w="25400">
              <a:noFill/>
            </a:ln>
            <a:effectLst>
              <a:outerShdw dist="35921" dir="2700000" algn="br">
                <a:srgbClr val="000000"/>
              </a:outerShdw>
            </a:effectLst>
          </c:spPr>
          <c:invertIfNegative val="0"/>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'GL-Sets'!#REF!</c15:sqref>
                        </c15:formulaRef>
                      </c:ext>
                    </c:extLst>
                    <c:strCache>
                      <c:ptCount val="1"/>
                      <c:pt idx="0">
                        <c:v>#REF!</c:v>
                      </c:pt>
                    </c:strCache>
                  </c:strRef>
                </c15:tx>
              </c15:filteredSeriesTitle>
            </c:ext>
            <c:ext xmlns:c16="http://schemas.microsoft.com/office/drawing/2014/chart" uri="{C3380CC4-5D6E-409C-BE32-E72D297353CC}">
              <c16:uniqueId val="{00000001-BD99-4A13-B985-5152DB00BD8C}"/>
            </c:ext>
          </c:extLst>
        </c:ser>
        <c:dLbls>
          <c:showLegendKey val="0"/>
          <c:showVal val="0"/>
          <c:showCatName val="0"/>
          <c:showSerName val="0"/>
          <c:showPercent val="0"/>
          <c:showBubbleSize val="0"/>
        </c:dLbls>
        <c:gapWidth val="150"/>
        <c:overlap val="100"/>
        <c:axId val="475497808"/>
        <c:axId val="475503296"/>
      </c:barChart>
      <c:catAx>
        <c:axId val="475497808"/>
        <c:scaling>
          <c:orientation val="minMax"/>
        </c:scaling>
        <c:delete val="0"/>
        <c:axPos val="b"/>
        <c:title>
          <c:tx>
            <c:rich>
              <a:bodyPr/>
              <a:lstStyle/>
              <a:p>
                <a:pPr>
                  <a:defRPr/>
                </a:pPr>
                <a:r>
                  <a:rPr lang="de-DE"/>
                  <a:t>Uhrzeit</a:t>
                </a:r>
              </a:p>
            </c:rich>
          </c:tx>
          <c:overlay val="0"/>
          <c:spPr>
            <a:noFill/>
            <a:ln w="25400">
              <a:noFill/>
            </a:ln>
          </c:spPr>
        </c:title>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3296"/>
        <c:crosses val="autoZero"/>
        <c:auto val="1"/>
        <c:lblAlgn val="ctr"/>
        <c:lblOffset val="100"/>
        <c:tickLblSkip val="1"/>
        <c:tickMarkSkip val="1"/>
        <c:noMultiLvlLbl val="0"/>
      </c:catAx>
      <c:valAx>
        <c:axId val="475503296"/>
        <c:scaling>
          <c:orientation val="minMax"/>
          <c:max val="20"/>
          <c:min val="-15"/>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General" sourceLinked="1"/>
        <c:majorTickMark val="out"/>
        <c:minorTickMark val="none"/>
        <c:tickLblPos val="nextTo"/>
        <c:spPr>
          <a:ln w="3175">
            <a:solidFill>
              <a:srgbClr val="808080"/>
            </a:solidFill>
            <a:prstDash val="solid"/>
          </a:ln>
        </c:spPr>
        <c:txPr>
          <a:bodyPr/>
          <a:lstStyle/>
          <a:p>
            <a:pPr>
              <a:defRPr sz="800"/>
            </a:pPr>
            <a:endParaRPr lang="en-DE"/>
          </a:p>
        </c:txPr>
        <c:crossAx val="4754978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5000000000000411" r="0.75000000000000411" t="0.98425196899999956" header="0.5" footer="0.5"/>
    <c:pageSetup orientation="portrait"/>
  </c:printSettings>
</c:chartSpace>
</file>

<file path=xl/charts/chart7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B08F-43EE-AFEE-09B3A279D91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B08F-43EE-AFEE-09B3A279D91E}"/>
            </c:ext>
          </c:extLst>
        </c:ser>
        <c:dLbls>
          <c:showLegendKey val="0"/>
          <c:showVal val="0"/>
          <c:showCatName val="0"/>
          <c:showSerName val="0"/>
          <c:showPercent val="0"/>
          <c:showBubbleSize val="0"/>
        </c:dLbls>
        <c:smooth val="0"/>
        <c:axId val="475516232"/>
        <c:axId val="475516624"/>
      </c:lineChart>
      <c:catAx>
        <c:axId val="47551623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6624"/>
        <c:crosses val="autoZero"/>
        <c:auto val="1"/>
        <c:lblAlgn val="ctr"/>
        <c:lblOffset val="100"/>
        <c:tickLblSkip val="1"/>
        <c:tickMarkSkip val="1"/>
        <c:noMultiLvlLbl val="0"/>
      </c:catAx>
      <c:valAx>
        <c:axId val="47551662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623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C83-4C6E-8272-525698B14D8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C83-4C6E-8272-525698B14D88}"/>
            </c:ext>
          </c:extLst>
        </c:ser>
        <c:dLbls>
          <c:showLegendKey val="0"/>
          <c:showVal val="0"/>
          <c:showCatName val="0"/>
          <c:showSerName val="0"/>
          <c:showPercent val="0"/>
          <c:showBubbleSize val="0"/>
        </c:dLbls>
        <c:smooth val="0"/>
        <c:axId val="475517800"/>
        <c:axId val="475509176"/>
      </c:lineChart>
      <c:catAx>
        <c:axId val="4755178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9176"/>
        <c:crosses val="autoZero"/>
        <c:auto val="1"/>
        <c:lblAlgn val="ctr"/>
        <c:lblOffset val="100"/>
        <c:tickLblSkip val="1"/>
        <c:tickMarkSkip val="1"/>
        <c:noMultiLvlLbl val="0"/>
      </c:catAx>
      <c:valAx>
        <c:axId val="4755091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780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643-4D73-BCDC-86FE9CFC8D6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643-4D73-BCDC-86FE9CFC8D60}"/>
            </c:ext>
          </c:extLst>
        </c:ser>
        <c:dLbls>
          <c:showLegendKey val="0"/>
          <c:showVal val="0"/>
          <c:showCatName val="0"/>
          <c:showSerName val="0"/>
          <c:showPercent val="0"/>
          <c:showBubbleSize val="0"/>
        </c:dLbls>
        <c:smooth val="0"/>
        <c:axId val="475511920"/>
        <c:axId val="475510352"/>
      </c:lineChart>
      <c:catAx>
        <c:axId val="4755119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0352"/>
        <c:crosses val="autoZero"/>
        <c:auto val="1"/>
        <c:lblAlgn val="ctr"/>
        <c:lblOffset val="100"/>
        <c:tickLblSkip val="1"/>
        <c:tickMarkSkip val="1"/>
        <c:noMultiLvlLbl val="0"/>
      </c:catAx>
      <c:valAx>
        <c:axId val="47551035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192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6809-41E6-A4FD-41D23349BDF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6809-41E6-A4FD-41D23349BDF9}"/>
            </c:ext>
          </c:extLst>
        </c:ser>
        <c:dLbls>
          <c:showLegendKey val="0"/>
          <c:showVal val="0"/>
          <c:showCatName val="0"/>
          <c:showSerName val="0"/>
          <c:showPercent val="0"/>
          <c:showBubbleSize val="0"/>
        </c:dLbls>
        <c:smooth val="0"/>
        <c:axId val="475518192"/>
        <c:axId val="475511136"/>
      </c:lineChart>
      <c:catAx>
        <c:axId val="47551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1136"/>
        <c:crosses val="autoZero"/>
        <c:auto val="1"/>
        <c:lblAlgn val="ctr"/>
        <c:lblOffset val="100"/>
        <c:tickLblSkip val="1"/>
        <c:tickMarkSkip val="1"/>
        <c:noMultiLvlLbl val="0"/>
      </c:catAx>
      <c:valAx>
        <c:axId val="47551113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819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09E-4B1D-955E-2F6E11179D8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09E-4B1D-955E-2F6E11179D8B}"/>
            </c:ext>
          </c:extLst>
        </c:ser>
        <c:dLbls>
          <c:showLegendKey val="0"/>
          <c:showVal val="0"/>
          <c:showCatName val="0"/>
          <c:showSerName val="0"/>
          <c:showPercent val="0"/>
          <c:showBubbleSize val="0"/>
        </c:dLbls>
        <c:smooth val="0"/>
        <c:axId val="475518976"/>
        <c:axId val="475506824"/>
      </c:lineChart>
      <c:catAx>
        <c:axId val="4755189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06824"/>
        <c:crosses val="autoZero"/>
        <c:auto val="1"/>
        <c:lblAlgn val="ctr"/>
        <c:lblOffset val="100"/>
        <c:tickLblSkip val="1"/>
        <c:tickMarkSkip val="1"/>
        <c:noMultiLvlLbl val="0"/>
      </c:catAx>
      <c:valAx>
        <c:axId val="47550682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8976"/>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630-49CE-A497-2FC67FCA1DB9}"/>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630-49CE-A497-2FC67FCA1DB9}"/>
            </c:ext>
          </c:extLst>
        </c:ser>
        <c:dLbls>
          <c:showLegendKey val="0"/>
          <c:showVal val="0"/>
          <c:showCatName val="0"/>
          <c:showSerName val="0"/>
          <c:showPercent val="0"/>
          <c:showBubbleSize val="0"/>
        </c:dLbls>
        <c:smooth val="0"/>
        <c:axId val="475513488"/>
        <c:axId val="475515448"/>
      </c:lineChart>
      <c:catAx>
        <c:axId val="475513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15448"/>
        <c:crosses val="autoZero"/>
        <c:auto val="1"/>
        <c:lblAlgn val="ctr"/>
        <c:lblOffset val="100"/>
        <c:tickLblSkip val="1"/>
        <c:tickMarkSkip val="1"/>
        <c:noMultiLvlLbl val="0"/>
      </c:catAx>
      <c:valAx>
        <c:axId val="47551544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348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551-4ABC-B618-618B88AE405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551-4ABC-B618-618B88AE405F}"/>
            </c:ext>
          </c:extLst>
        </c:ser>
        <c:dLbls>
          <c:showLegendKey val="0"/>
          <c:showVal val="0"/>
          <c:showCatName val="0"/>
          <c:showSerName val="0"/>
          <c:showPercent val="0"/>
          <c:showBubbleSize val="0"/>
        </c:dLbls>
        <c:smooth val="0"/>
        <c:axId val="475531128"/>
        <c:axId val="475526032"/>
      </c:lineChart>
      <c:catAx>
        <c:axId val="47553112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6032"/>
        <c:crosses val="autoZero"/>
        <c:auto val="1"/>
        <c:lblAlgn val="ctr"/>
        <c:lblOffset val="100"/>
        <c:tickLblSkip val="1"/>
        <c:tickMarkSkip val="1"/>
        <c:noMultiLvlLbl val="0"/>
      </c:catAx>
      <c:valAx>
        <c:axId val="47552603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112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435-4B47-AFEC-0F2025F60BC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435-4B47-AFEC-0F2025F60BC1}"/>
            </c:ext>
          </c:extLst>
        </c:ser>
        <c:dLbls>
          <c:showLegendKey val="0"/>
          <c:showVal val="0"/>
          <c:showCatName val="0"/>
          <c:showSerName val="0"/>
          <c:showPercent val="0"/>
          <c:showBubbleSize val="0"/>
        </c:dLbls>
        <c:smooth val="0"/>
        <c:axId val="475519368"/>
        <c:axId val="475520936"/>
      </c:lineChart>
      <c:catAx>
        <c:axId val="4755193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0936"/>
        <c:crosses val="autoZero"/>
        <c:auto val="1"/>
        <c:lblAlgn val="ctr"/>
        <c:lblOffset val="100"/>
        <c:tickLblSkip val="1"/>
        <c:tickMarkSkip val="1"/>
        <c:noMultiLvlLbl val="0"/>
      </c:catAx>
      <c:valAx>
        <c:axId val="4755209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93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13CD-4643-950D-A69D15EE681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13CD-4643-950D-A69D15EE681B}"/>
            </c:ext>
          </c:extLst>
        </c:ser>
        <c:dLbls>
          <c:showLegendKey val="0"/>
          <c:showVal val="0"/>
          <c:showCatName val="0"/>
          <c:showSerName val="0"/>
          <c:showPercent val="0"/>
          <c:showBubbleSize val="0"/>
        </c:dLbls>
        <c:smooth val="0"/>
        <c:axId val="475519760"/>
        <c:axId val="475522112"/>
      </c:lineChart>
      <c:catAx>
        <c:axId val="4755197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2112"/>
        <c:crosses val="autoZero"/>
        <c:auto val="1"/>
        <c:lblAlgn val="ctr"/>
        <c:lblOffset val="100"/>
        <c:tickLblSkip val="1"/>
        <c:tickMarkSkip val="1"/>
        <c:noMultiLvlLbl val="0"/>
      </c:catAx>
      <c:valAx>
        <c:axId val="47552211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197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315C-4EB2-97FA-BD5515245595}"/>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315C-4EB2-97FA-BD5515245595}"/>
            </c:ext>
          </c:extLst>
        </c:ser>
        <c:dLbls>
          <c:showLegendKey val="0"/>
          <c:showVal val="0"/>
          <c:showCatName val="0"/>
          <c:showSerName val="0"/>
          <c:showPercent val="0"/>
          <c:showBubbleSize val="0"/>
        </c:dLbls>
        <c:smooth val="0"/>
        <c:axId val="475528384"/>
        <c:axId val="475524856"/>
      </c:lineChart>
      <c:catAx>
        <c:axId val="4755283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4856"/>
        <c:crosses val="autoZero"/>
        <c:auto val="1"/>
        <c:lblAlgn val="ctr"/>
        <c:lblOffset val="100"/>
        <c:tickLblSkip val="1"/>
        <c:tickMarkSkip val="1"/>
        <c:noMultiLvlLbl val="0"/>
      </c:catAx>
      <c:valAx>
        <c:axId val="47552485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838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938D-42D0-A39B-7B70A4FE477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938D-42D0-A39B-7B70A4FE4778}"/>
            </c:ext>
          </c:extLst>
        </c:ser>
        <c:dLbls>
          <c:showLegendKey val="0"/>
          <c:showVal val="0"/>
          <c:showCatName val="0"/>
          <c:showSerName val="0"/>
          <c:showPercent val="0"/>
          <c:showBubbleSize val="0"/>
        </c:dLbls>
        <c:smooth val="0"/>
        <c:axId val="475527992"/>
        <c:axId val="475524072"/>
      </c:lineChart>
      <c:catAx>
        <c:axId val="4755279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4072"/>
        <c:crosses val="autoZero"/>
        <c:auto val="1"/>
        <c:lblAlgn val="ctr"/>
        <c:lblOffset val="100"/>
        <c:tickLblSkip val="1"/>
        <c:tickMarkSkip val="1"/>
        <c:noMultiLvlLbl val="0"/>
      </c:catAx>
      <c:valAx>
        <c:axId val="4755240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799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26E1-4496-9B5B-8E67F1FAFE9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26E1-4496-9B5B-8E67F1FAFE9B}"/>
            </c:ext>
          </c:extLst>
        </c:ser>
        <c:dLbls>
          <c:showLegendKey val="0"/>
          <c:showVal val="0"/>
          <c:showCatName val="0"/>
          <c:showSerName val="0"/>
          <c:showPercent val="0"/>
          <c:showBubbleSize val="0"/>
        </c:dLbls>
        <c:smooth val="0"/>
        <c:axId val="475529168"/>
        <c:axId val="475522504"/>
      </c:lineChart>
      <c:catAx>
        <c:axId val="47552916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22504"/>
        <c:crosses val="autoZero"/>
        <c:auto val="1"/>
        <c:lblAlgn val="ctr"/>
        <c:lblOffset val="100"/>
        <c:tickLblSkip val="1"/>
        <c:tickMarkSkip val="1"/>
        <c:noMultiLvlLbl val="0"/>
      </c:catAx>
      <c:valAx>
        <c:axId val="4755225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916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F35E-4C6D-B1AD-838F6B32D68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F35E-4C6D-B1AD-838F6B32D68C}"/>
            </c:ext>
          </c:extLst>
        </c:ser>
        <c:dLbls>
          <c:showLegendKey val="0"/>
          <c:showVal val="0"/>
          <c:showCatName val="0"/>
          <c:showSerName val="0"/>
          <c:showPercent val="0"/>
          <c:showBubbleSize val="0"/>
        </c:dLbls>
        <c:smooth val="0"/>
        <c:axId val="475540144"/>
        <c:axId val="475542496"/>
      </c:lineChart>
      <c:catAx>
        <c:axId val="47554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2496"/>
        <c:crosses val="autoZero"/>
        <c:auto val="1"/>
        <c:lblAlgn val="ctr"/>
        <c:lblOffset val="100"/>
        <c:tickLblSkip val="1"/>
        <c:tickMarkSkip val="1"/>
        <c:noMultiLvlLbl val="0"/>
      </c:catAx>
      <c:valAx>
        <c:axId val="47554249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014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357-41CD-985A-DA1AF0947C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357-41CD-985A-DA1AF0947C76}"/>
            </c:ext>
          </c:extLst>
        </c:ser>
        <c:dLbls>
          <c:showLegendKey val="0"/>
          <c:showVal val="0"/>
          <c:showCatName val="0"/>
          <c:showSerName val="0"/>
          <c:showPercent val="0"/>
          <c:showBubbleSize val="0"/>
        </c:dLbls>
        <c:smooth val="0"/>
        <c:axId val="475543280"/>
        <c:axId val="475533872"/>
      </c:lineChart>
      <c:catAx>
        <c:axId val="4755432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3872"/>
        <c:crosses val="autoZero"/>
        <c:auto val="1"/>
        <c:lblAlgn val="ctr"/>
        <c:lblOffset val="100"/>
        <c:tickLblSkip val="1"/>
        <c:tickMarkSkip val="1"/>
        <c:noMultiLvlLbl val="0"/>
      </c:catAx>
      <c:valAx>
        <c:axId val="4755338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328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6CA-48CB-9762-E0A4AFD04E6B}"/>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6CA-48CB-9762-E0A4AFD04E6B}"/>
            </c:ext>
          </c:extLst>
        </c:ser>
        <c:dLbls>
          <c:showLegendKey val="0"/>
          <c:showVal val="0"/>
          <c:showCatName val="0"/>
          <c:showSerName val="0"/>
          <c:showPercent val="0"/>
          <c:showBubbleSize val="0"/>
        </c:dLbls>
        <c:smooth val="0"/>
        <c:axId val="475542888"/>
        <c:axId val="475543672"/>
      </c:lineChart>
      <c:catAx>
        <c:axId val="4755428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3672"/>
        <c:crosses val="autoZero"/>
        <c:auto val="1"/>
        <c:lblAlgn val="ctr"/>
        <c:lblOffset val="100"/>
        <c:tickLblSkip val="1"/>
        <c:tickMarkSkip val="1"/>
        <c:noMultiLvlLbl val="0"/>
      </c:catAx>
      <c:valAx>
        <c:axId val="47554367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288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7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933-416A-BD84-AA4610BCCBEE}"/>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933-416A-BD84-AA4610BCCBEE}"/>
            </c:ext>
          </c:extLst>
        </c:ser>
        <c:dLbls>
          <c:showLegendKey val="0"/>
          <c:showVal val="0"/>
          <c:showCatName val="0"/>
          <c:showSerName val="0"/>
          <c:showPercent val="0"/>
          <c:showBubbleSize val="0"/>
        </c:dLbls>
        <c:smooth val="0"/>
        <c:axId val="475538576"/>
        <c:axId val="475539360"/>
      </c:lineChart>
      <c:catAx>
        <c:axId val="4755385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9360"/>
        <c:crosses val="autoZero"/>
        <c:auto val="1"/>
        <c:lblAlgn val="ctr"/>
        <c:lblOffset val="100"/>
        <c:tickLblSkip val="1"/>
        <c:tickMarkSkip val="1"/>
        <c:noMultiLvlLbl val="0"/>
      </c:catAx>
      <c:valAx>
        <c:axId val="47553936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857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DD32-4D40-ABF5-9AE9DA0436A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DD32-4D40-ABF5-9AE9DA0436A4}"/>
            </c:ext>
          </c:extLst>
        </c:ser>
        <c:dLbls>
          <c:showLegendKey val="0"/>
          <c:showVal val="0"/>
          <c:showCatName val="0"/>
          <c:showSerName val="0"/>
          <c:showPercent val="0"/>
          <c:showBubbleSize val="0"/>
        </c:dLbls>
        <c:smooth val="0"/>
        <c:axId val="475542104"/>
        <c:axId val="475534656"/>
      </c:lineChart>
      <c:catAx>
        <c:axId val="4755421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4656"/>
        <c:crosses val="autoZero"/>
        <c:auto val="1"/>
        <c:lblAlgn val="ctr"/>
        <c:lblOffset val="100"/>
        <c:tickLblSkip val="1"/>
        <c:tickMarkSkip val="1"/>
        <c:noMultiLvlLbl val="0"/>
      </c:catAx>
      <c:valAx>
        <c:axId val="47553465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210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537-4937-89FE-7238E31E238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537-4937-89FE-7238E31E2387}"/>
            </c:ext>
          </c:extLst>
        </c:ser>
        <c:dLbls>
          <c:showLegendKey val="0"/>
          <c:showVal val="0"/>
          <c:showCatName val="0"/>
          <c:showSerName val="0"/>
          <c:showPercent val="0"/>
          <c:showBubbleSize val="0"/>
        </c:dLbls>
        <c:smooth val="0"/>
        <c:axId val="475535048"/>
        <c:axId val="475535832"/>
      </c:lineChart>
      <c:catAx>
        <c:axId val="475535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35832"/>
        <c:crosses val="autoZero"/>
        <c:auto val="1"/>
        <c:lblAlgn val="ctr"/>
        <c:lblOffset val="100"/>
        <c:tickLblSkip val="1"/>
        <c:tickMarkSkip val="1"/>
        <c:noMultiLvlLbl val="0"/>
      </c:catAx>
      <c:valAx>
        <c:axId val="4755358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35048"/>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208-41FA-AA7C-62642F08DC0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208-41FA-AA7C-62642F08DC0C}"/>
            </c:ext>
          </c:extLst>
        </c:ser>
        <c:dLbls>
          <c:showLegendKey val="0"/>
          <c:showVal val="0"/>
          <c:showCatName val="0"/>
          <c:showSerName val="0"/>
          <c:showPercent val="0"/>
          <c:showBubbleSize val="0"/>
        </c:dLbls>
        <c:smooth val="0"/>
        <c:axId val="475554256"/>
        <c:axId val="475550728"/>
      </c:lineChart>
      <c:catAx>
        <c:axId val="4755542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0728"/>
        <c:crosses val="autoZero"/>
        <c:auto val="1"/>
        <c:lblAlgn val="ctr"/>
        <c:lblOffset val="100"/>
        <c:tickLblSkip val="1"/>
        <c:tickMarkSkip val="1"/>
        <c:noMultiLvlLbl val="0"/>
      </c:catAx>
      <c:valAx>
        <c:axId val="475550728"/>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4256"/>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73F-403B-AA73-5E3D02F27308}"/>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73F-403B-AA73-5E3D02F27308}"/>
            </c:ext>
          </c:extLst>
        </c:ser>
        <c:dLbls>
          <c:showLegendKey val="0"/>
          <c:showVal val="0"/>
          <c:showCatName val="0"/>
          <c:showSerName val="0"/>
          <c:showPercent val="0"/>
          <c:showBubbleSize val="0"/>
        </c:dLbls>
        <c:smooth val="0"/>
        <c:axId val="475548376"/>
        <c:axId val="475545632"/>
      </c:lineChart>
      <c:catAx>
        <c:axId val="4755483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5632"/>
        <c:crosses val="autoZero"/>
        <c:auto val="1"/>
        <c:lblAlgn val="ctr"/>
        <c:lblOffset val="100"/>
        <c:tickLblSkip val="1"/>
        <c:tickMarkSkip val="1"/>
        <c:noMultiLvlLbl val="0"/>
      </c:catAx>
      <c:valAx>
        <c:axId val="4755456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837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B8CF-425A-9A41-50D139F2F44A}"/>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B8CF-425A-9A41-50D139F2F44A}"/>
            </c:ext>
          </c:extLst>
        </c:ser>
        <c:dLbls>
          <c:showLegendKey val="0"/>
          <c:showVal val="0"/>
          <c:showCatName val="0"/>
          <c:showSerName val="0"/>
          <c:showPercent val="0"/>
          <c:showBubbleSize val="0"/>
        </c:dLbls>
        <c:smooth val="0"/>
        <c:axId val="475546416"/>
        <c:axId val="475555432"/>
      </c:lineChart>
      <c:catAx>
        <c:axId val="4755464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5432"/>
        <c:crosses val="autoZero"/>
        <c:auto val="1"/>
        <c:lblAlgn val="ctr"/>
        <c:lblOffset val="100"/>
        <c:tickLblSkip val="1"/>
        <c:tickMarkSkip val="1"/>
        <c:noMultiLvlLbl val="0"/>
      </c:catAx>
      <c:valAx>
        <c:axId val="47555543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64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789-465B-AD77-76C9833585FC}"/>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789-465B-AD77-76C9833585FC}"/>
            </c:ext>
          </c:extLst>
        </c:ser>
        <c:dLbls>
          <c:showLegendKey val="0"/>
          <c:showVal val="0"/>
          <c:showCatName val="0"/>
          <c:showSerName val="0"/>
          <c:showPercent val="0"/>
          <c:showBubbleSize val="0"/>
        </c:dLbls>
        <c:smooth val="0"/>
        <c:axId val="475552688"/>
        <c:axId val="475550336"/>
      </c:lineChart>
      <c:catAx>
        <c:axId val="4755526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0336"/>
        <c:crosses val="autoZero"/>
        <c:auto val="1"/>
        <c:lblAlgn val="ctr"/>
        <c:lblOffset val="100"/>
        <c:tickLblSkip val="1"/>
        <c:tickMarkSkip val="1"/>
        <c:noMultiLvlLbl val="0"/>
      </c:catAx>
      <c:valAx>
        <c:axId val="475550336"/>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26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5C6-4792-B7E9-EEA0D010DE76}"/>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5C6-4792-B7E9-EEA0D010DE76}"/>
            </c:ext>
          </c:extLst>
        </c:ser>
        <c:dLbls>
          <c:showLegendKey val="0"/>
          <c:showVal val="0"/>
          <c:showCatName val="0"/>
          <c:showSerName val="0"/>
          <c:showPercent val="0"/>
          <c:showBubbleSize val="0"/>
        </c:dLbls>
        <c:smooth val="0"/>
        <c:axId val="475547984"/>
        <c:axId val="475551904"/>
      </c:lineChart>
      <c:catAx>
        <c:axId val="4755479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1904"/>
        <c:crosses val="autoZero"/>
        <c:auto val="1"/>
        <c:lblAlgn val="ctr"/>
        <c:lblOffset val="100"/>
        <c:tickLblSkip val="1"/>
        <c:tickMarkSkip val="1"/>
        <c:noMultiLvlLbl val="0"/>
      </c:catAx>
      <c:valAx>
        <c:axId val="4755519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79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C4-4925-B635-0ED1A9C8565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C4-4925-B635-0ED1A9C8565F}"/>
            </c:ext>
          </c:extLst>
        </c:ser>
        <c:dLbls>
          <c:showLegendKey val="0"/>
          <c:showVal val="0"/>
          <c:showCatName val="0"/>
          <c:showSerName val="0"/>
          <c:showPercent val="0"/>
          <c:showBubbleSize val="0"/>
        </c:dLbls>
        <c:smooth val="0"/>
        <c:axId val="475555824"/>
        <c:axId val="475556608"/>
      </c:lineChart>
      <c:catAx>
        <c:axId val="47555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6608"/>
        <c:crosses val="autoZero"/>
        <c:auto val="1"/>
        <c:lblAlgn val="ctr"/>
        <c:lblOffset val="100"/>
        <c:tickLblSkip val="1"/>
        <c:tickMarkSkip val="1"/>
        <c:noMultiLvlLbl val="0"/>
      </c:catAx>
      <c:valAx>
        <c:axId val="47555660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582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CFDE-428D-BE98-17F5E2F7B0A3}"/>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CFDE-428D-BE98-17F5E2F7B0A3}"/>
            </c:ext>
          </c:extLst>
        </c:ser>
        <c:dLbls>
          <c:showLegendKey val="0"/>
          <c:showVal val="0"/>
          <c:showCatName val="0"/>
          <c:showSerName val="0"/>
          <c:showPercent val="0"/>
          <c:showBubbleSize val="0"/>
        </c:dLbls>
        <c:smooth val="0"/>
        <c:axId val="475549552"/>
        <c:axId val="475557784"/>
      </c:lineChart>
      <c:catAx>
        <c:axId val="47554955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57784"/>
        <c:crosses val="autoZero"/>
        <c:auto val="1"/>
        <c:lblAlgn val="ctr"/>
        <c:lblOffset val="100"/>
        <c:tickLblSkip val="1"/>
        <c:tickMarkSkip val="1"/>
        <c:noMultiLvlLbl val="0"/>
      </c:catAx>
      <c:valAx>
        <c:axId val="475557784"/>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49552"/>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672-4D02-9ADB-9E22AC2B45B7}"/>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672-4D02-9ADB-9E22AC2B45B7}"/>
            </c:ext>
          </c:extLst>
        </c:ser>
        <c:dLbls>
          <c:showLegendKey val="0"/>
          <c:showVal val="0"/>
          <c:showCatName val="0"/>
          <c:showSerName val="0"/>
          <c:showPercent val="0"/>
          <c:showBubbleSize val="0"/>
        </c:dLbls>
        <c:smooth val="0"/>
        <c:axId val="475558960"/>
        <c:axId val="475567976"/>
      </c:lineChart>
      <c:catAx>
        <c:axId val="475558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7976"/>
        <c:crosses val="autoZero"/>
        <c:auto val="1"/>
        <c:lblAlgn val="ctr"/>
        <c:lblOffset val="100"/>
        <c:tickLblSkip val="1"/>
        <c:tickMarkSkip val="1"/>
        <c:noMultiLvlLbl val="0"/>
      </c:catAx>
      <c:valAx>
        <c:axId val="47556797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896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E86-462A-82EB-346AF01D96B7}"/>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E86-462A-82EB-346AF01D96B7}"/>
            </c:ext>
          </c:extLst>
        </c:ser>
        <c:dLbls>
          <c:showLegendKey val="0"/>
          <c:showVal val="0"/>
          <c:showCatName val="0"/>
          <c:showSerName val="0"/>
          <c:showPercent val="0"/>
          <c:showBubbleSize val="0"/>
        </c:dLbls>
        <c:smooth val="0"/>
        <c:axId val="475560136"/>
        <c:axId val="475560528"/>
      </c:lineChart>
      <c:catAx>
        <c:axId val="4755601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0528"/>
        <c:crosses val="autoZero"/>
        <c:auto val="1"/>
        <c:lblAlgn val="ctr"/>
        <c:lblOffset val="100"/>
        <c:tickLblSkip val="1"/>
        <c:tickMarkSkip val="1"/>
        <c:noMultiLvlLbl val="0"/>
      </c:catAx>
      <c:valAx>
        <c:axId val="4755605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013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7423-4366-B535-D0FA13BAD9E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7423-4366-B535-D0FA13BAD9E9}"/>
            </c:ext>
          </c:extLst>
        </c:ser>
        <c:dLbls>
          <c:showLegendKey val="0"/>
          <c:showVal val="0"/>
          <c:showCatName val="0"/>
          <c:showSerName val="0"/>
          <c:showPercent val="0"/>
          <c:showBubbleSize val="0"/>
        </c:dLbls>
        <c:smooth val="0"/>
        <c:axId val="475557000"/>
        <c:axId val="475566800"/>
      </c:lineChart>
      <c:catAx>
        <c:axId val="47555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6800"/>
        <c:crosses val="autoZero"/>
        <c:auto val="1"/>
        <c:lblAlgn val="ctr"/>
        <c:lblOffset val="100"/>
        <c:tickLblSkip val="1"/>
        <c:tickMarkSkip val="1"/>
        <c:noMultiLvlLbl val="0"/>
      </c:catAx>
      <c:valAx>
        <c:axId val="47556680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5700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BAC2-4A54-809E-15DD4EA1B52E}"/>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BAC2-4A54-809E-15DD4EA1B52E}"/>
            </c:ext>
          </c:extLst>
        </c:ser>
        <c:dLbls>
          <c:showLegendKey val="0"/>
          <c:showVal val="0"/>
          <c:showCatName val="0"/>
          <c:showSerName val="0"/>
          <c:showPercent val="0"/>
          <c:showBubbleSize val="0"/>
        </c:dLbls>
        <c:smooth val="0"/>
        <c:axId val="475561312"/>
        <c:axId val="475561704"/>
      </c:lineChart>
      <c:catAx>
        <c:axId val="47556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1704"/>
        <c:crosses val="autoZero"/>
        <c:auto val="1"/>
        <c:lblAlgn val="ctr"/>
        <c:lblOffset val="100"/>
        <c:tickLblSkip val="1"/>
        <c:tickMarkSkip val="1"/>
        <c:noMultiLvlLbl val="0"/>
      </c:catAx>
      <c:valAx>
        <c:axId val="4755617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1312"/>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8FC2-475C-B34E-87B8FB1BCA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8FC2-475C-B34E-87B8FB1BCADF}"/>
            </c:ext>
          </c:extLst>
        </c:ser>
        <c:dLbls>
          <c:showLegendKey val="0"/>
          <c:showVal val="0"/>
          <c:showCatName val="0"/>
          <c:showSerName val="0"/>
          <c:showPercent val="0"/>
          <c:showBubbleSize val="0"/>
        </c:dLbls>
        <c:smooth val="0"/>
        <c:axId val="475563664"/>
        <c:axId val="475566016"/>
      </c:lineChart>
      <c:catAx>
        <c:axId val="4755636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6016"/>
        <c:crosses val="autoZero"/>
        <c:auto val="1"/>
        <c:lblAlgn val="ctr"/>
        <c:lblOffset val="100"/>
        <c:tickLblSkip val="1"/>
        <c:tickMarkSkip val="1"/>
        <c:noMultiLvlLbl val="0"/>
      </c:catAx>
      <c:valAx>
        <c:axId val="47556601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366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141F-49A4-9B4D-8F02C4BF892F}"/>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141F-49A4-9B4D-8F02C4BF892F}"/>
            </c:ext>
          </c:extLst>
        </c:ser>
        <c:dLbls>
          <c:showLegendKey val="0"/>
          <c:showVal val="0"/>
          <c:showCatName val="0"/>
          <c:showSerName val="0"/>
          <c:showPercent val="0"/>
          <c:showBubbleSize val="0"/>
        </c:dLbls>
        <c:smooth val="0"/>
        <c:axId val="475564840"/>
        <c:axId val="475567192"/>
      </c:lineChart>
      <c:catAx>
        <c:axId val="475564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67192"/>
        <c:crosses val="autoZero"/>
        <c:auto val="1"/>
        <c:lblAlgn val="ctr"/>
        <c:lblOffset val="100"/>
        <c:tickLblSkip val="1"/>
        <c:tickMarkSkip val="1"/>
        <c:noMultiLvlLbl val="0"/>
      </c:catAx>
      <c:valAx>
        <c:axId val="47556719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484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0963-44CC-AF64-26C1B1D51F91}"/>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0963-44CC-AF64-26C1B1D51F91}"/>
            </c:ext>
          </c:extLst>
        </c:ser>
        <c:dLbls>
          <c:showLegendKey val="0"/>
          <c:showVal val="0"/>
          <c:showCatName val="0"/>
          <c:showSerName val="0"/>
          <c:showPercent val="0"/>
          <c:showBubbleSize val="0"/>
        </c:dLbls>
        <c:smooth val="0"/>
        <c:axId val="475573856"/>
        <c:axId val="475576992"/>
      </c:lineChart>
      <c:catAx>
        <c:axId val="47557385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6992"/>
        <c:crosses val="autoZero"/>
        <c:auto val="1"/>
        <c:lblAlgn val="ctr"/>
        <c:lblOffset val="100"/>
        <c:tickLblSkip val="1"/>
        <c:tickMarkSkip val="1"/>
        <c:noMultiLvlLbl val="0"/>
      </c:catAx>
      <c:valAx>
        <c:axId val="4755769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385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5104-4415-A8D4-FB4BA4E08FDF}"/>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5104-4415-A8D4-FB4BA4E08FDF}"/>
            </c:ext>
          </c:extLst>
        </c:ser>
        <c:dLbls>
          <c:showLegendKey val="0"/>
          <c:showVal val="0"/>
          <c:showCatName val="0"/>
          <c:showSerName val="0"/>
          <c:showPercent val="0"/>
          <c:showBubbleSize val="0"/>
        </c:dLbls>
        <c:smooth val="0"/>
        <c:axId val="475574640"/>
        <c:axId val="475580128"/>
      </c:lineChart>
      <c:catAx>
        <c:axId val="4755746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0128"/>
        <c:crosses val="autoZero"/>
        <c:auto val="1"/>
        <c:lblAlgn val="ctr"/>
        <c:lblOffset val="100"/>
        <c:tickLblSkip val="1"/>
        <c:tickMarkSkip val="1"/>
        <c:noMultiLvlLbl val="0"/>
      </c:catAx>
      <c:valAx>
        <c:axId val="4755801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46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2333-4519-ACB6-A4FD9B82CE59}"/>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2333-4519-ACB6-A4FD9B82CE59}"/>
            </c:ext>
          </c:extLst>
        </c:ser>
        <c:dLbls>
          <c:showLegendKey val="0"/>
          <c:showVal val="0"/>
          <c:showCatName val="0"/>
          <c:showSerName val="0"/>
          <c:showPercent val="0"/>
          <c:showBubbleSize val="0"/>
        </c:dLbls>
        <c:smooth val="0"/>
        <c:axId val="475578560"/>
        <c:axId val="475578952"/>
      </c:lineChart>
      <c:catAx>
        <c:axId val="4755785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8952"/>
        <c:crosses val="autoZero"/>
        <c:auto val="1"/>
        <c:lblAlgn val="ctr"/>
        <c:lblOffset val="100"/>
        <c:tickLblSkip val="1"/>
        <c:tickMarkSkip val="1"/>
        <c:noMultiLvlLbl val="0"/>
      </c:catAx>
      <c:valAx>
        <c:axId val="4755789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8560"/>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5BAE-4FA1-8630-FB50478FAC0B}"/>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5BAE-4FA1-8630-FB50478FAC0B}"/>
            </c:ext>
          </c:extLst>
        </c:ser>
        <c:dLbls>
          <c:showLegendKey val="0"/>
          <c:showVal val="0"/>
          <c:showCatName val="0"/>
          <c:showSerName val="0"/>
          <c:showPercent val="0"/>
          <c:showBubbleSize val="0"/>
        </c:dLbls>
        <c:smooth val="0"/>
        <c:axId val="475575816"/>
        <c:axId val="475576600"/>
      </c:lineChart>
      <c:catAx>
        <c:axId val="4755758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6600"/>
        <c:crosses val="autoZero"/>
        <c:auto val="1"/>
        <c:lblAlgn val="ctr"/>
        <c:lblOffset val="100"/>
        <c:tickLblSkip val="1"/>
        <c:tickMarkSkip val="1"/>
        <c:noMultiLvlLbl val="0"/>
      </c:catAx>
      <c:valAx>
        <c:axId val="475576600"/>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5816"/>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66AD-4F39-A454-11C7C14EF422}"/>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66AD-4F39-A454-11C7C14EF422}"/>
            </c:ext>
          </c:extLst>
        </c:ser>
        <c:dLbls>
          <c:showLegendKey val="0"/>
          <c:showVal val="0"/>
          <c:showCatName val="0"/>
          <c:showSerName val="0"/>
          <c:showPercent val="0"/>
          <c:showBubbleSize val="0"/>
        </c:dLbls>
        <c:smooth val="0"/>
        <c:axId val="475569544"/>
        <c:axId val="475570328"/>
      </c:lineChart>
      <c:catAx>
        <c:axId val="47556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0328"/>
        <c:crosses val="autoZero"/>
        <c:auto val="1"/>
        <c:lblAlgn val="ctr"/>
        <c:lblOffset val="100"/>
        <c:tickLblSkip val="1"/>
        <c:tickMarkSkip val="1"/>
        <c:noMultiLvlLbl val="0"/>
      </c:catAx>
      <c:valAx>
        <c:axId val="475570328"/>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6954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53C8-4726-B975-36B9E2E5E23A}"/>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53C8-4726-B975-36B9E2E5E23A}"/>
            </c:ext>
          </c:extLst>
        </c:ser>
        <c:dLbls>
          <c:showLegendKey val="0"/>
          <c:showVal val="0"/>
          <c:showCatName val="0"/>
          <c:showSerName val="0"/>
          <c:showPercent val="0"/>
          <c:showBubbleSize val="0"/>
        </c:dLbls>
        <c:smooth val="0"/>
        <c:axId val="475572288"/>
        <c:axId val="475572680"/>
      </c:lineChart>
      <c:catAx>
        <c:axId val="475572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72680"/>
        <c:crosses val="autoZero"/>
        <c:auto val="1"/>
        <c:lblAlgn val="ctr"/>
        <c:lblOffset val="100"/>
        <c:tickLblSkip val="1"/>
        <c:tickMarkSkip val="1"/>
        <c:noMultiLvlLbl val="0"/>
      </c:catAx>
      <c:valAx>
        <c:axId val="475572680"/>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72288"/>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8C1D-418E-A36E-CEA3FC526F70}"/>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8C1D-418E-A36E-CEA3FC526F70}"/>
            </c:ext>
          </c:extLst>
        </c:ser>
        <c:dLbls>
          <c:showLegendKey val="0"/>
          <c:showVal val="0"/>
          <c:showCatName val="0"/>
          <c:showSerName val="0"/>
          <c:showPercent val="0"/>
          <c:showBubbleSize val="0"/>
        </c:dLbls>
        <c:smooth val="0"/>
        <c:axId val="475587184"/>
        <c:axId val="475586792"/>
      </c:lineChart>
      <c:catAx>
        <c:axId val="4755871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6792"/>
        <c:crosses val="autoZero"/>
        <c:auto val="1"/>
        <c:lblAlgn val="ctr"/>
        <c:lblOffset val="100"/>
        <c:tickLblSkip val="1"/>
        <c:tickMarkSkip val="1"/>
        <c:noMultiLvlLbl val="0"/>
      </c:catAx>
      <c:valAx>
        <c:axId val="475586792"/>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7184"/>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0193-4CB7-AEA6-18C03C847563}"/>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0193-4CB7-AEA6-18C03C847563}"/>
            </c:ext>
          </c:extLst>
        </c:ser>
        <c:dLbls>
          <c:showLegendKey val="0"/>
          <c:showVal val="0"/>
          <c:showCatName val="0"/>
          <c:showSerName val="0"/>
          <c:showPercent val="0"/>
          <c:showBubbleSize val="0"/>
        </c:dLbls>
        <c:smooth val="0"/>
        <c:axId val="475594240"/>
        <c:axId val="475593064"/>
      </c:lineChart>
      <c:catAx>
        <c:axId val="475594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3064"/>
        <c:crosses val="autoZero"/>
        <c:auto val="1"/>
        <c:lblAlgn val="ctr"/>
        <c:lblOffset val="100"/>
        <c:tickLblSkip val="1"/>
        <c:tickMarkSkip val="1"/>
        <c:noMultiLvlLbl val="0"/>
      </c:catAx>
      <c:valAx>
        <c:axId val="47559306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94240"/>
        <c:crosses val="autoZero"/>
        <c:crossBetween val="between"/>
        <c:majorUnit val="10"/>
      </c:valAx>
      <c:spPr>
        <a:noFill/>
        <a:ln w="12700">
          <a:solidFill>
            <a:srgbClr val="000000"/>
          </a:solidFill>
          <a:prstDash val="solid"/>
        </a:ln>
      </c:spPr>
    </c:plotArea>
    <c:plotVisOnly val="1"/>
    <c:dispBlanksAs val="gap"/>
    <c:showDLblsOverMax val="0"/>
  </c:chart>
  <c:spPr>
    <a:solidFill>
      <a:srgbClr val="FFFFFF"/>
    </a:solidFill>
    <a:ln w="12700">
      <a:solidFill>
        <a:srgbClr val="000000"/>
      </a:solid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'GL-Sets'!$AS$7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'GL-Sets'!$AS$9:$AS$32</c:f>
              <c:numCache>
                <c:formatCode>0.00</c:formatCode>
                <c:ptCount val="24"/>
                <c:pt idx="0">
                  <c:v>-7.26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-0.81</c:v>
                </c:pt>
                <c:pt idx="16">
                  <c:v>-1.61</c:v>
                </c:pt>
                <c:pt idx="17">
                  <c:v>-7.26</c:v>
                </c:pt>
                <c:pt idx="18">
                  <c:v>0</c:v>
                </c:pt>
                <c:pt idx="19">
                  <c:v>-4.03</c:v>
                </c:pt>
                <c:pt idx="20">
                  <c:v>-3.23</c:v>
                </c:pt>
                <c:pt idx="21">
                  <c:v>0</c:v>
                </c:pt>
                <c:pt idx="22">
                  <c:v>-64.52</c:v>
                </c:pt>
                <c:pt idx="23">
                  <c:v>-11.28</c:v>
                </c:pt>
              </c:numCache>
            </c:numRef>
          </c:val>
          <c:smooth val="1"/>
          <c:extLst>
            <c:ext xmlns:c16="http://schemas.microsoft.com/office/drawing/2014/chart" uri="{C3380CC4-5D6E-409C-BE32-E72D297353CC}">
              <c16:uniqueId val="{00000000-E6C4-4764-A9DD-916A96CC4F06}"/>
            </c:ext>
          </c:extLst>
        </c:ser>
        <c:ser>
          <c:idx val="1"/>
          <c:order val="1"/>
          <c:tx>
            <c:strRef>
              <c:f>'GL-Sets'!$AT$7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'GL-Sets'!$AT$9:$AT$32</c:f>
              <c:numCache>
                <c:formatCode>0.00</c:formatCode>
                <c:ptCount val="24"/>
                <c:pt idx="0">
                  <c:v>0</c:v>
                </c:pt>
                <c:pt idx="1">
                  <c:v>0</c:v>
                </c:pt>
                <c:pt idx="2">
                  <c:v>0</c:v>
                </c:pt>
                <c:pt idx="3">
                  <c:v>0</c:v>
                </c:pt>
                <c:pt idx="4">
                  <c:v>0</c:v>
                </c:pt>
                <c:pt idx="5">
                  <c:v>0</c:v>
                </c:pt>
                <c:pt idx="6">
                  <c:v>0</c:v>
                </c:pt>
                <c:pt idx="7">
                  <c:v>0</c:v>
                </c:pt>
                <c:pt idx="8">
                  <c:v>0</c:v>
                </c:pt>
                <c:pt idx="9">
                  <c:v>0</c:v>
                </c:pt>
                <c:pt idx="10">
                  <c:v>0</c:v>
                </c:pt>
                <c:pt idx="11">
                  <c:v>0</c:v>
                </c:pt>
                <c:pt idx="12">
                  <c:v>1.21</c:v>
                </c:pt>
                <c:pt idx="13">
                  <c:v>2.02</c:v>
                </c:pt>
                <c:pt idx="14">
                  <c:v>3.23</c:v>
                </c:pt>
                <c:pt idx="15">
                  <c:v>3.23</c:v>
                </c:pt>
                <c:pt idx="16">
                  <c:v>2.42</c:v>
                </c:pt>
                <c:pt idx="17">
                  <c:v>4.03</c:v>
                </c:pt>
                <c:pt idx="18">
                  <c:v>4.84</c:v>
                </c:pt>
                <c:pt idx="19">
                  <c:v>41.93</c:v>
                </c:pt>
                <c:pt idx="20">
                  <c:v>19.350000000000001</c:v>
                </c:pt>
                <c:pt idx="21">
                  <c:v>2.42</c:v>
                </c:pt>
                <c:pt idx="22">
                  <c:v>15.32</c:v>
                </c:pt>
                <c:pt idx="23">
                  <c:v>0</c:v>
                </c:pt>
              </c:numCache>
            </c:numRef>
          </c:val>
          <c:smooth val="1"/>
          <c:extLst>
            <c:ext xmlns:c16="http://schemas.microsoft.com/office/drawing/2014/chart" uri="{C3380CC4-5D6E-409C-BE32-E72D297353CC}">
              <c16:uniqueId val="{00000001-E6C4-4764-A9DD-916A96CC4F06}"/>
            </c:ext>
          </c:extLst>
        </c:ser>
        <c:dLbls>
          <c:showLegendKey val="0"/>
          <c:showVal val="0"/>
          <c:showCatName val="0"/>
          <c:showSerName val="0"/>
          <c:showPercent val="0"/>
          <c:showBubbleSize val="0"/>
        </c:dLbls>
        <c:smooth val="0"/>
        <c:axId val="475583264"/>
        <c:axId val="475588752"/>
      </c:lineChart>
      <c:catAx>
        <c:axId val="4755832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8752"/>
        <c:crosses val="autoZero"/>
        <c:auto val="1"/>
        <c:lblAlgn val="ctr"/>
        <c:lblOffset val="100"/>
        <c:tickLblSkip val="1"/>
        <c:tickMarkSkip val="1"/>
        <c:noMultiLvlLbl val="0"/>
      </c:catAx>
      <c:valAx>
        <c:axId val="475588752"/>
        <c:scaling>
          <c:orientation val="minMax"/>
          <c:max val="70"/>
          <c:min val="-70"/>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3264"/>
        <c:crosses val="autoZero"/>
        <c:crossBetween val="between"/>
        <c:majorUnit val="20"/>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'GL-Sets'!$AU$9:$AU$32</c:f>
              <c:numCache>
                <c:formatCode>0.00</c:formatCode>
                <c:ptCount val="24"/>
                <c:pt idx="0">
                  <c:v>-3</c:v>
                </c:pt>
                <c:pt idx="1">
                  <c:v>0</c:v>
                </c:pt>
                <c:pt idx="2">
                  <c:v>0</c:v>
                </c:pt>
                <c:pt idx="3">
                  <c:v>0</c:v>
                </c:pt>
                <c:pt idx="4">
                  <c:v>0</c:v>
                </c:pt>
                <c:pt idx="5">
                  <c:v>0</c:v>
                </c:pt>
                <c:pt idx="6">
                  <c:v>0</c:v>
                </c:pt>
                <c:pt idx="7">
                  <c:v>0</c:v>
                </c:pt>
                <c:pt idx="8">
                  <c:v>0</c:v>
                </c:pt>
                <c:pt idx="9">
                  <c:v>0</c:v>
                </c:pt>
                <c:pt idx="10">
                  <c:v>-3</c:v>
                </c:pt>
                <c:pt idx="11">
                  <c:v>-3.5</c:v>
                </c:pt>
                <c:pt idx="12">
                  <c:v>-6</c:v>
                </c:pt>
                <c:pt idx="13">
                  <c:v>-5</c:v>
                </c:pt>
                <c:pt idx="14">
                  <c:v>-3</c:v>
                </c:pt>
                <c:pt idx="15">
                  <c:v>-3.5</c:v>
                </c:pt>
                <c:pt idx="16">
                  <c:v>-5</c:v>
                </c:pt>
                <c:pt idx="17">
                  <c:v>-8</c:v>
                </c:pt>
                <c:pt idx="18">
                  <c:v>-9.75</c:v>
                </c:pt>
                <c:pt idx="19">
                  <c:v>-9.25</c:v>
                </c:pt>
                <c:pt idx="20">
                  <c:v>-7.25</c:v>
                </c:pt>
                <c:pt idx="21">
                  <c:v>-10</c:v>
                </c:pt>
                <c:pt idx="22">
                  <c:v>-15.75</c:v>
                </c:pt>
                <c:pt idx="23">
                  <c:v>-8</c:v>
                </c:pt>
              </c:numCache>
            </c:numRef>
          </c:val>
          <c:smooth val="1"/>
          <c:extLst>
            <c:ext xmlns:c16="http://schemas.microsoft.com/office/drawing/2014/chart" uri="{C3380CC4-5D6E-409C-BE32-E72D297353CC}">
              <c16:uniqueId val="{00000000-3EBE-4106-AECB-F98F03D78C14}"/>
            </c:ext>
          </c:extLst>
        </c:ser>
        <c:ser>
          <c:idx val="1"/>
          <c:order val="1"/>
          <c:tx>
            <c:strRef>
              <c:f>'GL-Sets'!$AV$7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'GL-Sets'!$AV$9:$AV$32</c:f>
              <c:numCache>
                <c:formatCode>0.00</c:formatCode>
                <c:ptCount val="24"/>
                <c:pt idx="0">
                  <c:v>0</c:v>
                </c:pt>
                <c:pt idx="1">
                  <c:v>0</c:v>
                </c:pt>
                <c:pt idx="2">
                  <c:v>0</c:v>
                </c:pt>
                <c:pt idx="3">
                  <c:v>0</c:v>
                </c:pt>
                <c:pt idx="4">
                  <c:v>0</c:v>
                </c:pt>
                <c:pt idx="5">
                  <c:v>0</c:v>
                </c:pt>
                <c:pt idx="6">
                  <c:v>0</c:v>
                </c:pt>
                <c:pt idx="7">
                  <c:v>3</c:v>
                </c:pt>
                <c:pt idx="8">
                  <c:v>6</c:v>
                </c:pt>
                <c:pt idx="9">
                  <c:v>12</c:v>
                </c:pt>
                <c:pt idx="10">
                  <c:v>10</c:v>
                </c:pt>
                <c:pt idx="11">
                  <c:v>15</c:v>
                </c:pt>
                <c:pt idx="12">
                  <c:v>12</c:v>
                </c:pt>
                <c:pt idx="13">
                  <c:v>8</c:v>
                </c:pt>
                <c:pt idx="14">
                  <c:v>7.5</c:v>
                </c:pt>
                <c:pt idx="15">
                  <c:v>7.75</c:v>
                </c:pt>
                <c:pt idx="16">
                  <c:v>9</c:v>
                </c:pt>
                <c:pt idx="17">
                  <c:v>5.25</c:v>
                </c:pt>
                <c:pt idx="18">
                  <c:v>2</c:v>
                </c:pt>
                <c:pt idx="19">
                  <c:v>1.25</c:v>
                </c:pt>
                <c:pt idx="20">
                  <c:v>0.75</c:v>
                </c:pt>
                <c:pt idx="21">
                  <c:v>0.5</c:v>
                </c:pt>
                <c:pt idx="22">
                  <c:v>0</c:v>
                </c:pt>
                <c:pt idx="23">
                  <c:v>0</c:v>
                </c:pt>
              </c:numCache>
            </c:numRef>
          </c:val>
          <c:smooth val="1"/>
          <c:extLst>
            <c:ext xmlns:c16="http://schemas.microsoft.com/office/drawing/2014/chart" uri="{C3380CC4-5D6E-409C-BE32-E72D297353CC}">
              <c16:uniqueId val="{00000001-3EBE-4106-AECB-F98F03D78C14}"/>
            </c:ext>
          </c:extLst>
        </c:ser>
        <c:dLbls>
          <c:showLegendKey val="0"/>
          <c:showVal val="0"/>
          <c:showCatName val="0"/>
          <c:showSerName val="0"/>
          <c:showPercent val="0"/>
          <c:showBubbleSize val="0"/>
        </c:dLbls>
        <c:smooth val="0"/>
        <c:axId val="475584048"/>
        <c:axId val="475591104"/>
      </c:lineChart>
      <c:catAx>
        <c:axId val="4755840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91104"/>
        <c:crosses val="autoZero"/>
        <c:auto val="1"/>
        <c:lblAlgn val="ctr"/>
        <c:lblOffset val="100"/>
        <c:tickLblSkip val="1"/>
        <c:tickMarkSkip val="1"/>
        <c:noMultiLvlLbl val="0"/>
      </c:catAx>
      <c:valAx>
        <c:axId val="475591104"/>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4048"/>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'GL-Sets'!$AW$7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'GL-Sets'!$AW$9:$AW$32</c:f>
              <c:numCache>
                <c:formatCode>0.00</c:formatCode>
                <c:ptCount val="24"/>
                <c:pt idx="0">
                  <c:v>0</c:v>
                </c:pt>
                <c:pt idx="1">
                  <c:v>0</c:v>
                </c:pt>
                <c:pt idx="2">
                  <c:v>0</c:v>
                </c:pt>
                <c:pt idx="3">
                  <c:v>0</c:v>
                </c:pt>
                <c:pt idx="4">
                  <c:v>0</c:v>
                </c:pt>
                <c:pt idx="5">
                  <c:v>0</c:v>
                </c:pt>
                <c:pt idx="6">
                  <c:v>0</c:v>
                </c:pt>
                <c:pt idx="7">
                  <c:v>0</c:v>
                </c:pt>
                <c:pt idx="8">
                  <c:v>-6.5</c:v>
                </c:pt>
                <c:pt idx="9">
                  <c:v>-8.25</c:v>
                </c:pt>
                <c:pt idx="10">
                  <c:v>-10</c:v>
                </c:pt>
                <c:pt idx="11">
                  <c:v>-14.25</c:v>
                </c:pt>
                <c:pt idx="12">
                  <c:v>-10.5</c:v>
                </c:pt>
                <c:pt idx="13">
                  <c:v>-8.5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F76B-446A-8C93-A72F8D09DB80}"/>
            </c:ext>
          </c:extLst>
        </c:ser>
        <c:ser>
          <c:idx val="1"/>
          <c:order val="1"/>
          <c:tx>
            <c:strRef>
              <c:f>'GL-Sets'!$AX$7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'GL-Sets'!$AX$9:$AX$32</c:f>
              <c:numCache>
                <c:formatCode>0.00</c:formatCode>
                <c:ptCount val="24"/>
                <c:pt idx="0">
                  <c:v>0</c:v>
                </c:pt>
                <c:pt idx="1">
                  <c:v>0</c:v>
                </c:pt>
                <c:pt idx="2">
                  <c:v>0</c:v>
                </c:pt>
                <c:pt idx="3">
                  <c:v>0</c:v>
                </c:pt>
                <c:pt idx="4">
                  <c:v>0</c:v>
                </c:pt>
                <c:pt idx="5">
                  <c:v>0</c:v>
                </c:pt>
                <c:pt idx="6">
                  <c:v>0</c:v>
                </c:pt>
                <c:pt idx="7">
                  <c:v>4</c:v>
                </c:pt>
                <c:pt idx="8">
                  <c:v>13</c:v>
                </c:pt>
                <c:pt idx="9">
                  <c:v>10.5</c:v>
                </c:pt>
                <c:pt idx="10">
                  <c:v>11</c:v>
                </c:pt>
                <c:pt idx="11">
                  <c:v>10.15</c:v>
                </c:pt>
                <c:pt idx="12">
                  <c:v>9.4</c:v>
                </c:pt>
                <c:pt idx="13">
                  <c:v>7.5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F76B-446A-8C93-A72F8D09DB80}"/>
            </c:ext>
          </c:extLst>
        </c:ser>
        <c:dLbls>
          <c:showLegendKey val="0"/>
          <c:showVal val="0"/>
          <c:showCatName val="0"/>
          <c:showSerName val="0"/>
          <c:showPercent val="0"/>
          <c:showBubbleSize val="0"/>
        </c:dLbls>
        <c:smooth val="0"/>
        <c:axId val="475584440"/>
        <c:axId val="475589536"/>
      </c:lineChart>
      <c:catAx>
        <c:axId val="4755844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9536"/>
        <c:crosses val="autoZero"/>
        <c:auto val="1"/>
        <c:lblAlgn val="ctr"/>
        <c:lblOffset val="100"/>
        <c:tickLblSkip val="1"/>
        <c:tickMarkSkip val="1"/>
        <c:noMultiLvlLbl val="0"/>
      </c:catAx>
      <c:valAx>
        <c:axId val="475589536"/>
        <c:scaling>
          <c:orientation val="minMax"/>
          <c:max val="30"/>
          <c:min val="-30"/>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84440"/>
        <c:crosses val="autoZero"/>
        <c:crossBetween val="between"/>
        <c:majorUnit val="10"/>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276595744680847E-2"/>
          <c:w val="0.79764243614931463"/>
          <c:h val="0.72948328267477391"/>
        </c:manualLayout>
      </c:layout>
      <c:lineChart>
        <c:grouping val="standard"/>
        <c:varyColors val="0"/>
        <c:ser>
          <c:idx val="0"/>
          <c:order val="0"/>
          <c:tx>
            <c:strRef>
              <c:f>'GL-Sets'!$AZ$7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'GL-Sets'!$AZ$9:$AZ$32</c:f>
              <c:numCache>
                <c:formatCode>0.00</c:formatCode>
                <c:ptCount val="24"/>
                <c:pt idx="0">
                  <c:v>0</c:v>
                </c:pt>
                <c:pt idx="1">
                  <c:v>0</c:v>
                </c:pt>
                <c:pt idx="2">
                  <c:v>0</c:v>
                </c:pt>
                <c:pt idx="3">
                  <c:v>0</c:v>
                </c:pt>
                <c:pt idx="4">
                  <c:v>0</c:v>
                </c:pt>
                <c:pt idx="5">
                  <c:v>0</c:v>
                </c:pt>
                <c:pt idx="6">
                  <c:v>0</c:v>
                </c:pt>
                <c:pt idx="7">
                  <c:v>-0.64</c:v>
                </c:pt>
                <c:pt idx="8">
                  <c:v>-2.89</c:v>
                </c:pt>
                <c:pt idx="9">
                  <c:v>-8.5500000000000007</c:v>
                </c:pt>
                <c:pt idx="10">
                  <c:v>-9.31</c:v>
                </c:pt>
                <c:pt idx="11">
                  <c:v>-10.94</c:v>
                </c:pt>
                <c:pt idx="12">
                  <c:v>-4.91</c:v>
                </c:pt>
                <c:pt idx="13">
                  <c:v>-8.5500000000000007</c:v>
                </c:pt>
                <c:pt idx="14">
                  <c:v>-9.31</c:v>
                </c:pt>
                <c:pt idx="15">
                  <c:v>-8.43</c:v>
                </c:pt>
                <c:pt idx="16">
                  <c:v>-11.07</c:v>
                </c:pt>
                <c:pt idx="17">
                  <c:v>-15.09</c:v>
                </c:pt>
                <c:pt idx="18">
                  <c:v>-10.31</c:v>
                </c:pt>
                <c:pt idx="19">
                  <c:v>0</c:v>
                </c:pt>
                <c:pt idx="20">
                  <c:v>0</c:v>
                </c:pt>
                <c:pt idx="21">
                  <c:v>0</c:v>
                </c:pt>
                <c:pt idx="22">
                  <c:v>0</c:v>
                </c:pt>
                <c:pt idx="23">
                  <c:v>0</c:v>
                </c:pt>
              </c:numCache>
            </c:numRef>
          </c:val>
          <c:smooth val="1"/>
          <c:extLst>
            <c:ext xmlns:c16="http://schemas.microsoft.com/office/drawing/2014/chart" uri="{C3380CC4-5D6E-409C-BE32-E72D297353CC}">
              <c16:uniqueId val="{00000000-8FDD-453B-BC7F-AA2F2A7FFAEB}"/>
            </c:ext>
          </c:extLst>
        </c:ser>
        <c:ser>
          <c:idx val="1"/>
          <c:order val="1"/>
          <c:tx>
            <c:strRef>
              <c:f>'GL-Sets'!$BA$7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'GL-Sets'!$BA$9:$BA$32</c:f>
              <c:numCache>
                <c:formatCode>0.00</c:formatCode>
                <c:ptCount val="24"/>
                <c:pt idx="0">
                  <c:v>0</c:v>
                </c:pt>
                <c:pt idx="1">
                  <c:v>0</c:v>
                </c:pt>
                <c:pt idx="2">
                  <c:v>0</c:v>
                </c:pt>
                <c:pt idx="3">
                  <c:v>0</c:v>
                </c:pt>
                <c:pt idx="4">
                  <c:v>0</c:v>
                </c:pt>
                <c:pt idx="5">
                  <c:v>0</c:v>
                </c:pt>
                <c:pt idx="6">
                  <c:v>0</c:v>
                </c:pt>
                <c:pt idx="7">
                  <c:v>0.98</c:v>
                </c:pt>
                <c:pt idx="8">
                  <c:v>5.73</c:v>
                </c:pt>
                <c:pt idx="9">
                  <c:v>8.7799999999999994</c:v>
                </c:pt>
                <c:pt idx="10">
                  <c:v>11.46</c:v>
                </c:pt>
                <c:pt idx="11">
                  <c:v>9.15</c:v>
                </c:pt>
                <c:pt idx="12">
                  <c:v>5.61</c:v>
                </c:pt>
                <c:pt idx="13">
                  <c:v>7.44</c:v>
                </c:pt>
                <c:pt idx="14">
                  <c:v>8.66</c:v>
                </c:pt>
                <c:pt idx="15">
                  <c:v>8.66</c:v>
                </c:pt>
                <c:pt idx="16">
                  <c:v>12.32</c:v>
                </c:pt>
                <c:pt idx="17">
                  <c:v>13.41</c:v>
                </c:pt>
                <c:pt idx="18">
                  <c:v>7.8</c:v>
                </c:pt>
                <c:pt idx="19">
                  <c:v>0</c:v>
                </c:pt>
                <c:pt idx="20">
                  <c:v>0</c:v>
                </c:pt>
                <c:pt idx="21">
                  <c:v>0</c:v>
                </c:pt>
                <c:pt idx="22">
                  <c:v>0</c:v>
                </c:pt>
                <c:pt idx="23">
                  <c:v>0</c:v>
                </c:pt>
              </c:numCache>
            </c:numRef>
          </c:val>
          <c:smooth val="1"/>
          <c:extLst>
            <c:ext xmlns:c16="http://schemas.microsoft.com/office/drawing/2014/chart" uri="{C3380CC4-5D6E-409C-BE32-E72D297353CC}">
              <c16:uniqueId val="{00000001-8FDD-453B-BC7F-AA2F2A7FFAEB}"/>
            </c:ext>
          </c:extLst>
        </c:ser>
        <c:dLbls>
          <c:showLegendKey val="0"/>
          <c:showVal val="0"/>
          <c:showCatName val="0"/>
          <c:showSerName val="0"/>
          <c:showPercent val="0"/>
          <c:showBubbleSize val="0"/>
        </c:dLbls>
        <c:smooth val="0"/>
        <c:axId val="475592672"/>
        <c:axId val="475589928"/>
      </c:lineChart>
      <c:catAx>
        <c:axId val="4755926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89928"/>
        <c:crosses val="autoZero"/>
        <c:auto val="1"/>
        <c:lblAlgn val="ctr"/>
        <c:lblOffset val="100"/>
        <c:tickLblSkip val="1"/>
        <c:tickMarkSkip val="1"/>
        <c:noMultiLvlLbl val="0"/>
      </c:catAx>
      <c:valAx>
        <c:axId val="47558992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9267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699410609037393"/>
          <c:y val="2.1472465001087782E-2"/>
          <c:w val="0.79764243614931463"/>
          <c:h val="0.72699631503682915"/>
        </c:manualLayout>
      </c:layout>
      <c:lineChart>
        <c:grouping val="standard"/>
        <c:varyColors val="0"/>
        <c:ser>
          <c:idx val="0"/>
          <c:order val="0"/>
          <c:tx>
            <c:strRef>
              <c:f>'GL-Sets'!$BB$7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'GL-Sets'!$BB$9:$BB$32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-2.5</c:v>
                </c:pt>
                <c:pt idx="20">
                  <c:v>-2</c:v>
                </c:pt>
                <c:pt idx="21">
                  <c:v>-1.25</c:v>
                </c:pt>
                <c:pt idx="22">
                  <c:v>-1.5</c:v>
                </c:pt>
                <c:pt idx="23">
                  <c:v>-0.5</c:v>
                </c:pt>
              </c:numCache>
            </c:numRef>
          </c:val>
          <c:smooth val="1"/>
          <c:extLst>
            <c:ext xmlns:c16="http://schemas.microsoft.com/office/drawing/2014/chart" uri="{C3380CC4-5D6E-409C-BE32-E72D297353CC}">
              <c16:uniqueId val="{00000000-2620-4255-8213-9248AF9A0B4C}"/>
            </c:ext>
          </c:extLst>
        </c:ser>
        <c:ser>
          <c:idx val="1"/>
          <c:order val="1"/>
          <c:tx>
            <c:strRef>
              <c:f>'GL-Sets'!$BC$7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'GL-Sets'!$BC$9:$BC$32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0.25</c:v>
                </c:pt>
                <c:pt idx="19">
                  <c:v>0.4</c:v>
                </c:pt>
                <c:pt idx="20">
                  <c:v>0</c:v>
                </c:pt>
                <c:pt idx="21">
                  <c:v>0.7</c:v>
                </c:pt>
                <c:pt idx="22">
                  <c:v>0</c:v>
                </c:pt>
                <c:pt idx="23">
                  <c:v>0</c:v>
                </c:pt>
              </c:numCache>
            </c:numRef>
          </c:val>
          <c:smooth val="1"/>
          <c:extLst>
            <c:ext xmlns:c16="http://schemas.microsoft.com/office/drawing/2014/chart" uri="{C3380CC4-5D6E-409C-BE32-E72D297353CC}">
              <c16:uniqueId val="{00000001-2620-4255-8213-9248AF9A0B4C}"/>
            </c:ext>
          </c:extLst>
        </c:ser>
        <c:dLbls>
          <c:showLegendKey val="0"/>
          <c:showVal val="0"/>
          <c:showCatName val="0"/>
          <c:showSerName val="0"/>
          <c:showPercent val="0"/>
          <c:showBubbleSize val="0"/>
        </c:dLbls>
        <c:smooth val="0"/>
        <c:axId val="475523288"/>
        <c:axId val="475544064"/>
      </c:lineChart>
      <c:catAx>
        <c:axId val="4755232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75544064"/>
        <c:crosses val="autoZero"/>
        <c:auto val="1"/>
        <c:lblAlgn val="ctr"/>
        <c:lblOffset val="100"/>
        <c:tickLblSkip val="1"/>
        <c:tickMarkSkip val="1"/>
        <c:noMultiLvlLbl val="0"/>
      </c:catAx>
      <c:valAx>
        <c:axId val="4755440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7552328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6732335733816686"/>
          <c:y val="1.8404970000932431E-2"/>
          <c:w val="0.79330956479154358"/>
          <c:h val="0.73006381003698462"/>
        </c:manualLayout>
      </c:layout>
      <c:lineChart>
        <c:grouping val="standard"/>
        <c:varyColors val="0"/>
        <c:ser>
          <c:idx val="0"/>
          <c:order val="0"/>
          <c:tx>
            <c:strRef>
              <c:f>'GL-Sets'!$BD$7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'GL-Sets'!$BD$9:$BD$32</c:f>
              <c:numCache>
                <c:formatCode>0.00</c:formatCode>
                <c:ptCount val="24"/>
                <c:pt idx="0">
                  <c:v>0</c:v>
                </c:pt>
                <c:pt idx="1">
                  <c:v>0</c:v>
                </c:pt>
                <c:pt idx="2">
                  <c:v>0</c:v>
                </c:pt>
                <c:pt idx="3">
                  <c:v>0</c:v>
                </c:pt>
                <c:pt idx="4">
                  <c:v>-0.5</c:v>
                </c:pt>
                <c:pt idx="5">
                  <c:v>-4</c:v>
                </c:pt>
                <c:pt idx="6">
                  <c:v>-10</c:v>
                </c:pt>
                <c:pt idx="7">
                  <c:v>-20</c:v>
                </c:pt>
                <c:pt idx="8">
                  <c:v>-15</c:v>
                </c:pt>
                <c:pt idx="9">
                  <c:v>-10</c:v>
                </c:pt>
                <c:pt idx="10">
                  <c:v>-8</c:v>
                </c:pt>
                <c:pt idx="11">
                  <c:v>-5</c:v>
                </c:pt>
                <c:pt idx="12">
                  <c:v>-10</c:v>
                </c:pt>
                <c:pt idx="13">
                  <c:v>-13</c:v>
                </c:pt>
                <c:pt idx="14">
                  <c:v>-4.5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0-3A6D-4BF7-B41C-F485626F062D}"/>
            </c:ext>
          </c:extLst>
        </c:ser>
        <c:ser>
          <c:idx val="1"/>
          <c:order val="1"/>
          <c:tx>
            <c:strRef>
              <c:f>'GL-Sets'!$BE$7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'GL-Sets'!$BE$9:$BE$32</c:f>
              <c:numCache>
                <c:formatCode>0.00</c:formatCode>
                <c:ptCount val="24"/>
                <c:pt idx="0">
                  <c:v>0</c:v>
                </c:pt>
                <c:pt idx="1">
                  <c:v>0</c:v>
                </c:pt>
                <c:pt idx="2">
                  <c:v>0</c:v>
                </c:pt>
                <c:pt idx="3">
                  <c:v>0</c:v>
                </c:pt>
                <c:pt idx="4">
                  <c:v>1</c:v>
                </c:pt>
                <c:pt idx="5">
                  <c:v>6</c:v>
                </c:pt>
                <c:pt idx="6">
                  <c:v>15</c:v>
                </c:pt>
                <c:pt idx="7">
                  <c:v>25</c:v>
                </c:pt>
                <c:pt idx="8">
                  <c:v>15</c:v>
                </c:pt>
                <c:pt idx="9">
                  <c:v>5</c:v>
                </c:pt>
                <c:pt idx="10">
                  <c:v>2</c:v>
                </c:pt>
                <c:pt idx="11">
                  <c:v>9</c:v>
                </c:pt>
                <c:pt idx="12">
                  <c:v>15</c:v>
                </c:pt>
                <c:pt idx="13">
                  <c:v>6.5</c:v>
                </c:pt>
                <c:pt idx="14">
                  <c:v>0.5</c:v>
                </c:pt>
                <c:pt idx="15">
                  <c:v>0</c:v>
                </c:pt>
                <c:pt idx="16">
                  <c:v>0</c:v>
                </c:pt>
                <c:pt idx="17">
                  <c:v>0</c:v>
                </c:pt>
                <c:pt idx="18">
                  <c:v>0</c:v>
                </c:pt>
                <c:pt idx="19">
                  <c:v>0</c:v>
                </c:pt>
                <c:pt idx="20">
                  <c:v>0</c:v>
                </c:pt>
                <c:pt idx="21">
                  <c:v>0</c:v>
                </c:pt>
                <c:pt idx="22">
                  <c:v>0</c:v>
                </c:pt>
                <c:pt idx="23">
                  <c:v>0</c:v>
                </c:pt>
              </c:numCache>
            </c:numRef>
          </c:val>
          <c:smooth val="1"/>
          <c:extLst>
            <c:ext xmlns:c16="http://schemas.microsoft.com/office/drawing/2014/chart" uri="{C3380CC4-5D6E-409C-BE32-E72D297353CC}">
              <c16:uniqueId val="{00000001-3A6D-4BF7-B41C-F485626F062D}"/>
            </c:ext>
          </c:extLst>
        </c:ser>
        <c:dLbls>
          <c:showLegendKey val="0"/>
          <c:showVal val="0"/>
          <c:showCatName val="0"/>
          <c:showSerName val="0"/>
          <c:showPercent val="0"/>
          <c:showBubbleSize val="0"/>
        </c:dLbls>
        <c:smooth val="0"/>
        <c:axId val="484658392"/>
        <c:axId val="484663488"/>
      </c:lineChart>
      <c:catAx>
        <c:axId val="4846583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3488"/>
        <c:crosses val="autoZero"/>
        <c:auto val="1"/>
        <c:lblAlgn val="ctr"/>
        <c:lblOffset val="100"/>
        <c:tickLblSkip val="1"/>
        <c:tickMarkSkip val="1"/>
        <c:noMultiLvlLbl val="0"/>
      </c:catAx>
      <c:valAx>
        <c:axId val="48466348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83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'GL-Sets'!$BG$7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'GL-Sets'!$BG$9:$BG$32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0-FE80-4E7B-A468-614819BD9041}"/>
            </c:ext>
          </c:extLst>
        </c:ser>
        <c:ser>
          <c:idx val="1"/>
          <c:order val="1"/>
          <c:tx>
            <c:strRef>
              <c:f>'GL-Sets'!$BH$7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'GL-Sets'!$BH$9:$BH$32</c:f>
              <c:numCache>
                <c:formatCode>0.00</c:formatCode>
                <c:ptCount val="24"/>
                <c:pt idx="0">
                  <c:v>1.4</c:v>
                </c:pt>
                <c:pt idx="1">
                  <c:v>1</c:v>
                </c:pt>
                <c:pt idx="2">
                  <c:v>0.4</c:v>
                </c:pt>
                <c:pt idx="3">
                  <c:v>0.2</c:v>
                </c:pt>
                <c:pt idx="4">
                  <c:v>1.1000000000000001</c:v>
                </c:pt>
                <c:pt idx="5">
                  <c:v>2.1</c:v>
                </c:pt>
                <c:pt idx="6">
                  <c:v>4.5999999999999996</c:v>
                </c:pt>
                <c:pt idx="7">
                  <c:v>3.9</c:v>
                </c:pt>
                <c:pt idx="8">
                  <c:v>5.3</c:v>
                </c:pt>
                <c:pt idx="9">
                  <c:v>4.0999999999999996</c:v>
                </c:pt>
                <c:pt idx="10">
                  <c:v>5.9</c:v>
                </c:pt>
                <c:pt idx="11">
                  <c:v>5.4</c:v>
                </c:pt>
                <c:pt idx="12">
                  <c:v>6.2</c:v>
                </c:pt>
                <c:pt idx="13">
                  <c:v>5</c:v>
                </c:pt>
                <c:pt idx="14">
                  <c:v>6</c:v>
                </c:pt>
                <c:pt idx="15">
                  <c:v>5.2</c:v>
                </c:pt>
                <c:pt idx="16">
                  <c:v>6.3</c:v>
                </c:pt>
                <c:pt idx="17">
                  <c:v>7.5</c:v>
                </c:pt>
                <c:pt idx="18">
                  <c:v>7.3</c:v>
                </c:pt>
                <c:pt idx="19">
                  <c:v>6.6</c:v>
                </c:pt>
                <c:pt idx="20">
                  <c:v>5.2</c:v>
                </c:pt>
                <c:pt idx="21">
                  <c:v>3.9</c:v>
                </c:pt>
                <c:pt idx="22">
                  <c:v>3.4</c:v>
                </c:pt>
                <c:pt idx="23">
                  <c:v>2</c:v>
                </c:pt>
              </c:numCache>
            </c:numRef>
          </c:val>
          <c:smooth val="1"/>
          <c:extLst>
            <c:ext xmlns:c16="http://schemas.microsoft.com/office/drawing/2014/chart" uri="{C3380CC4-5D6E-409C-BE32-E72D297353CC}">
              <c16:uniqueId val="{00000001-FE80-4E7B-A468-614819BD9041}"/>
            </c:ext>
          </c:extLst>
        </c:ser>
        <c:dLbls>
          <c:showLegendKey val="0"/>
          <c:showVal val="0"/>
          <c:showCatName val="0"/>
          <c:showSerName val="0"/>
          <c:showPercent val="0"/>
          <c:showBubbleSize val="0"/>
        </c:dLbls>
        <c:smooth val="0"/>
        <c:axId val="484658784"/>
        <c:axId val="484663096"/>
      </c:lineChart>
      <c:catAx>
        <c:axId val="484658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3096"/>
        <c:crosses val="autoZero"/>
        <c:auto val="1"/>
        <c:lblAlgn val="ctr"/>
        <c:lblOffset val="100"/>
        <c:tickLblSkip val="1"/>
        <c:tickMarkSkip val="1"/>
        <c:noMultiLvlLbl val="0"/>
      </c:catAx>
      <c:valAx>
        <c:axId val="48466309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878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'GL-Sets'!$BI$9:$BI$32</c:f>
              <c:numCache>
                <c:formatCode>0.00</c:formatCode>
                <c:ptCount val="24"/>
                <c:pt idx="0">
                  <c:v>0</c:v>
                </c:pt>
                <c:pt idx="1">
                  <c:v>0</c:v>
                </c:pt>
                <c:pt idx="2">
                  <c:v>0</c:v>
                </c:pt>
                <c:pt idx="3">
                  <c:v>0</c:v>
                </c:pt>
                <c:pt idx="4">
                  <c:v>0</c:v>
                </c:pt>
                <c:pt idx="5">
                  <c:v>-1</c:v>
                </c:pt>
                <c:pt idx="6">
                  <c:v>-2</c:v>
                </c:pt>
                <c:pt idx="7">
                  <c:v>-4.5</c:v>
                </c:pt>
                <c:pt idx="8">
                  <c:v>-5.25</c:v>
                </c:pt>
                <c:pt idx="9">
                  <c:v>-3.5</c:v>
                </c:pt>
                <c:pt idx="10">
                  <c:v>-3.25</c:v>
                </c:pt>
                <c:pt idx="11">
                  <c:v>-2.5</c:v>
                </c:pt>
                <c:pt idx="12">
                  <c:v>-13</c:v>
                </c:pt>
                <c:pt idx="13">
                  <c:v>-11.75</c:v>
                </c:pt>
                <c:pt idx="14">
                  <c:v>-6</c:v>
                </c:pt>
                <c:pt idx="15">
                  <c:v>-7</c:v>
                </c:pt>
                <c:pt idx="16">
                  <c:v>-11.75</c:v>
                </c:pt>
                <c:pt idx="17">
                  <c:v>-13.75</c:v>
                </c:pt>
                <c:pt idx="18">
                  <c:v>-7</c:v>
                </c:pt>
                <c:pt idx="19">
                  <c:v>-3</c:v>
                </c:pt>
                <c:pt idx="20">
                  <c:v>-2</c:v>
                </c:pt>
                <c:pt idx="21">
                  <c:v>-1.25</c:v>
                </c:pt>
                <c:pt idx="22">
                  <c:v>-1.5</c:v>
                </c:pt>
                <c:pt idx="23">
                  <c:v>0</c:v>
                </c:pt>
              </c:numCache>
            </c:numRef>
          </c:val>
          <c:smooth val="1"/>
          <c:extLst>
            <c:ext xmlns:c16="http://schemas.microsoft.com/office/drawing/2014/chart" uri="{C3380CC4-5D6E-409C-BE32-E72D297353CC}">
              <c16:uniqueId val="{00000000-CDA9-4AB9-99E6-409CFA2675F5}"/>
            </c:ext>
          </c:extLst>
        </c:ser>
        <c:ser>
          <c:idx val="1"/>
          <c:order val="1"/>
          <c:tx>
            <c:strRef>
              <c:f>'GL-Sets'!$BJ$7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'GL-Sets'!$BJ$9:$BJ$32</c:f>
              <c:numCache>
                <c:formatCode>0.00</c:formatCode>
                <c:ptCount val="24"/>
                <c:pt idx="0">
                  <c:v>0</c:v>
                </c:pt>
                <c:pt idx="1">
                  <c:v>0</c:v>
                </c:pt>
                <c:pt idx="2">
                  <c:v>0</c:v>
                </c:pt>
                <c:pt idx="3">
                  <c:v>0</c:v>
                </c:pt>
                <c:pt idx="4">
                  <c:v>1</c:v>
                </c:pt>
                <c:pt idx="5">
                  <c:v>6.75</c:v>
                </c:pt>
                <c:pt idx="6">
                  <c:v>22.2</c:v>
                </c:pt>
                <c:pt idx="7">
                  <c:v>28.7</c:v>
                </c:pt>
                <c:pt idx="8">
                  <c:v>8.75</c:v>
                </c:pt>
                <c:pt idx="9">
                  <c:v>1.75</c:v>
                </c:pt>
                <c:pt idx="10">
                  <c:v>1</c:v>
                </c:pt>
                <c:pt idx="11">
                  <c:v>0.5</c:v>
                </c:pt>
                <c:pt idx="12">
                  <c:v>5.2</c:v>
                </c:pt>
                <c:pt idx="13">
                  <c:v>13.4</c:v>
                </c:pt>
                <c:pt idx="14">
                  <c:v>5.4</c:v>
                </c:pt>
                <c:pt idx="15">
                  <c:v>1.75</c:v>
                </c:pt>
                <c:pt idx="16">
                  <c:v>1.25</c:v>
                </c:pt>
                <c:pt idx="17">
                  <c:v>1</c:v>
                </c:pt>
                <c:pt idx="18">
                  <c:v>0.7</c:v>
                </c:pt>
                <c:pt idx="19">
                  <c:v>0.4</c:v>
                </c:pt>
                <c:pt idx="20">
                  <c:v>0.25</c:v>
                </c:pt>
                <c:pt idx="21">
                  <c:v>0</c:v>
                </c:pt>
                <c:pt idx="22">
                  <c:v>0</c:v>
                </c:pt>
                <c:pt idx="23">
                  <c:v>0</c:v>
                </c:pt>
              </c:numCache>
            </c:numRef>
          </c:val>
          <c:smooth val="1"/>
          <c:extLst>
            <c:ext xmlns:c16="http://schemas.microsoft.com/office/drawing/2014/chart" uri="{C3380CC4-5D6E-409C-BE32-E72D297353CC}">
              <c16:uniqueId val="{00000001-CDA9-4AB9-99E6-409CFA2675F5}"/>
            </c:ext>
          </c:extLst>
        </c:ser>
        <c:dLbls>
          <c:showLegendKey val="0"/>
          <c:showVal val="0"/>
          <c:showCatName val="0"/>
          <c:showSerName val="0"/>
          <c:showPercent val="0"/>
          <c:showBubbleSize val="0"/>
        </c:dLbls>
        <c:smooth val="0"/>
        <c:axId val="484659960"/>
        <c:axId val="484665448"/>
      </c:lineChart>
      <c:catAx>
        <c:axId val="4846599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5448"/>
        <c:crosses val="autoZero"/>
        <c:auto val="1"/>
        <c:lblAlgn val="ctr"/>
        <c:lblOffset val="100"/>
        <c:tickLblSkip val="1"/>
        <c:tickMarkSkip val="1"/>
        <c:noMultiLvlLbl val="0"/>
      </c:catAx>
      <c:valAx>
        <c:axId val="4846654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99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'GL-Sets'!$BK$9:$BK$32</c:f>
              <c:numCache>
                <c:formatCode>0.00</c:formatCode>
                <c:ptCount val="24"/>
                <c:pt idx="0">
                  <c:v>0</c:v>
                </c:pt>
                <c:pt idx="1">
                  <c:v>0</c:v>
                </c:pt>
                <c:pt idx="2">
                  <c:v>0</c:v>
                </c:pt>
                <c:pt idx="3">
                  <c:v>0</c:v>
                </c:pt>
                <c:pt idx="4">
                  <c:v>0</c:v>
                </c:pt>
                <c:pt idx="5">
                  <c:v>-1</c:v>
                </c:pt>
                <c:pt idx="6">
                  <c:v>-2</c:v>
                </c:pt>
                <c:pt idx="7">
                  <c:v>-4.75</c:v>
                </c:pt>
                <c:pt idx="8">
                  <c:v>-6.5</c:v>
                </c:pt>
                <c:pt idx="9">
                  <c:v>-8.25</c:v>
                </c:pt>
                <c:pt idx="10">
                  <c:v>-9</c:v>
                </c:pt>
                <c:pt idx="11">
                  <c:v>-10.25</c:v>
                </c:pt>
                <c:pt idx="12">
                  <c:v>-8.75</c:v>
                </c:pt>
                <c:pt idx="13">
                  <c:v>-7.75</c:v>
                </c:pt>
                <c:pt idx="14">
                  <c:v>-5.6</c:v>
                </c:pt>
                <c:pt idx="15">
                  <c:v>-7</c:v>
                </c:pt>
                <c:pt idx="16">
                  <c:v>-9.75</c:v>
                </c:pt>
                <c:pt idx="17">
                  <c:v>-7.5</c:v>
                </c:pt>
                <c:pt idx="18">
                  <c:v>-5.25</c:v>
                </c:pt>
                <c:pt idx="19">
                  <c:v>-3.75</c:v>
                </c:pt>
                <c:pt idx="20">
                  <c:v>-1.75</c:v>
                </c:pt>
                <c:pt idx="21">
                  <c:v>-1.1499999999999999</c:v>
                </c:pt>
                <c:pt idx="22">
                  <c:v>0</c:v>
                </c:pt>
                <c:pt idx="23">
                  <c:v>0</c:v>
                </c:pt>
              </c:numCache>
            </c:numRef>
          </c:val>
          <c:smooth val="1"/>
          <c:extLst>
            <c:ext xmlns:c16="http://schemas.microsoft.com/office/drawing/2014/chart" uri="{C3380CC4-5D6E-409C-BE32-E72D297353CC}">
              <c16:uniqueId val="{00000000-4625-40E7-98C4-45206C81B6EE}"/>
            </c:ext>
          </c:extLst>
        </c:ser>
        <c:ser>
          <c:idx val="1"/>
          <c:order val="1"/>
          <c:tx>
            <c:strRef>
              <c:f>'GL-Sets'!$BL$7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'GL-Sets'!$BL$9:$BL$32</c:f>
              <c:numCache>
                <c:formatCode>0.00</c:formatCode>
                <c:ptCount val="24"/>
                <c:pt idx="0">
                  <c:v>0</c:v>
                </c:pt>
                <c:pt idx="1">
                  <c:v>0</c:v>
                </c:pt>
                <c:pt idx="2">
                  <c:v>0</c:v>
                </c:pt>
                <c:pt idx="3">
                  <c:v>0</c:v>
                </c:pt>
                <c:pt idx="4">
                  <c:v>0.25</c:v>
                </c:pt>
                <c:pt idx="5">
                  <c:v>1.5</c:v>
                </c:pt>
                <c:pt idx="6">
                  <c:v>3.25</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1.7</c:v>
                </c:pt>
                <c:pt idx="21">
                  <c:v>0</c:v>
                </c:pt>
                <c:pt idx="22">
                  <c:v>0</c:v>
                </c:pt>
                <c:pt idx="23">
                  <c:v>0</c:v>
                </c:pt>
              </c:numCache>
            </c:numRef>
          </c:val>
          <c:smooth val="1"/>
          <c:extLst>
            <c:ext xmlns:c16="http://schemas.microsoft.com/office/drawing/2014/chart" uri="{C3380CC4-5D6E-409C-BE32-E72D297353CC}">
              <c16:uniqueId val="{00000001-4625-40E7-98C4-45206C81B6EE}"/>
            </c:ext>
          </c:extLst>
        </c:ser>
        <c:dLbls>
          <c:showLegendKey val="0"/>
          <c:showVal val="0"/>
          <c:showCatName val="0"/>
          <c:showSerName val="0"/>
          <c:showPercent val="0"/>
          <c:showBubbleSize val="0"/>
        </c:dLbls>
        <c:smooth val="0"/>
        <c:axId val="484665840"/>
        <c:axId val="484666624"/>
      </c:lineChart>
      <c:catAx>
        <c:axId val="4846658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6624"/>
        <c:crosses val="autoZero"/>
        <c:auto val="1"/>
        <c:lblAlgn val="ctr"/>
        <c:lblOffset val="100"/>
        <c:tickLblSkip val="1"/>
        <c:tickMarkSkip val="1"/>
        <c:noMultiLvlLbl val="0"/>
      </c:catAx>
      <c:valAx>
        <c:axId val="484666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6584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'GL-Sets'!$BN$7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'GL-Sets'!$BN$9:$BN$32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2E86-41E6-9265-70FDB530B6F9}"/>
            </c:ext>
          </c:extLst>
        </c:ser>
        <c:ser>
          <c:idx val="1"/>
          <c:order val="1"/>
          <c:tx>
            <c:strRef>
              <c:f>'GL-Sets'!$BO$7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'GL-Sets'!$BO$9:$BO$32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2E86-41E6-9265-70FDB530B6F9}"/>
            </c:ext>
          </c:extLst>
        </c:ser>
        <c:dLbls>
          <c:showLegendKey val="0"/>
          <c:showVal val="0"/>
          <c:showCatName val="0"/>
          <c:showSerName val="0"/>
          <c:showPercent val="0"/>
          <c:showBubbleSize val="0"/>
        </c:dLbls>
        <c:smooth val="0"/>
        <c:axId val="484654864"/>
        <c:axId val="484655648"/>
      </c:lineChart>
      <c:catAx>
        <c:axId val="4846548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55648"/>
        <c:crosses val="autoZero"/>
        <c:auto val="1"/>
        <c:lblAlgn val="ctr"/>
        <c:lblOffset val="100"/>
        <c:tickLblSkip val="1"/>
        <c:tickMarkSkip val="1"/>
        <c:noMultiLvlLbl val="0"/>
      </c:catAx>
      <c:valAx>
        <c:axId val="4846556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486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'GL-Sets'!$BP$9:$BP$32</c:f>
              <c:numCache>
                <c:formatCode>0.00</c:formatCode>
                <c:ptCount val="24"/>
                <c:pt idx="0">
                  <c:v>0</c:v>
                </c:pt>
                <c:pt idx="1">
                  <c:v>0</c:v>
                </c:pt>
                <c:pt idx="2">
                  <c:v>0</c:v>
                </c:pt>
                <c:pt idx="3">
                  <c:v>0</c:v>
                </c:pt>
                <c:pt idx="4">
                  <c:v>0</c:v>
                </c:pt>
                <c:pt idx="5">
                  <c:v>0</c:v>
                </c:pt>
                <c:pt idx="6">
                  <c:v>-8.1499592502037491E-2</c:v>
                </c:pt>
                <c:pt idx="7">
                  <c:v>-0.24449877750611246</c:v>
                </c:pt>
                <c:pt idx="8">
                  <c:v>-0.40749796251018744</c:v>
                </c:pt>
                <c:pt idx="9">
                  <c:v>-4.0749796251018742</c:v>
                </c:pt>
                <c:pt idx="10">
                  <c:v>-10.513447432762836</c:v>
                </c:pt>
                <c:pt idx="11">
                  <c:v>-10.676446617766912</c:v>
                </c:pt>
                <c:pt idx="12">
                  <c:v>-13.202933985330073</c:v>
                </c:pt>
                <c:pt idx="13">
                  <c:v>-11.735941320293399</c:v>
                </c:pt>
                <c:pt idx="14">
                  <c:v>-9.6984515077424618</c:v>
                </c:pt>
                <c:pt idx="15">
                  <c:v>-10.024449877750612</c:v>
                </c:pt>
                <c:pt idx="16">
                  <c:v>-8.3129584352078236</c:v>
                </c:pt>
                <c:pt idx="17">
                  <c:v>-7.5794621026894866</c:v>
                </c:pt>
                <c:pt idx="18">
                  <c:v>-7.3349633251833746</c:v>
                </c:pt>
                <c:pt idx="19">
                  <c:v>-4.3194784026079871</c:v>
                </c:pt>
                <c:pt idx="20">
                  <c:v>-1.6299918500407498</c:v>
                </c:pt>
                <c:pt idx="21">
                  <c:v>-0.16299918500407498</c:v>
                </c:pt>
                <c:pt idx="22">
                  <c:v>0</c:v>
                </c:pt>
                <c:pt idx="23">
                  <c:v>0</c:v>
                </c:pt>
              </c:numCache>
            </c:numRef>
          </c:val>
          <c:smooth val="1"/>
          <c:extLst>
            <c:ext xmlns:c16="http://schemas.microsoft.com/office/drawing/2014/chart" uri="{C3380CC4-5D6E-409C-BE32-E72D297353CC}">
              <c16:uniqueId val="{00000000-FE18-4808-B59F-8AC1FCBDB737}"/>
            </c:ext>
          </c:extLst>
        </c:ser>
        <c:ser>
          <c:idx val="1"/>
          <c:order val="1"/>
          <c:tx>
            <c:strRef>
              <c:f>'GL-Sets'!$BQ$7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'GL-Sets'!$BQ$9:$BQ$32</c:f>
              <c:numCache>
                <c:formatCode>0</c:formatCode>
                <c:ptCount val="24"/>
                <c:pt idx="0">
                  <c:v>0</c:v>
                </c:pt>
                <c:pt idx="1">
                  <c:v>0</c:v>
                </c:pt>
                <c:pt idx="2">
                  <c:v>0</c:v>
                </c:pt>
                <c:pt idx="3">
                  <c:v>0</c:v>
                </c:pt>
                <c:pt idx="4">
                  <c:v>0</c:v>
                </c:pt>
                <c:pt idx="5">
                  <c:v>0</c:v>
                </c:pt>
                <c:pt idx="6" formatCode="0.0">
                  <c:v>0.56360708534621573</c:v>
                </c:pt>
                <c:pt idx="7" formatCode="0.0">
                  <c:v>2.0933977455716586</c:v>
                </c:pt>
                <c:pt idx="8" formatCode="0.0">
                  <c:v>6.1191626409017719</c:v>
                </c:pt>
                <c:pt idx="9" formatCode="0.0">
                  <c:v>11.674718196457327</c:v>
                </c:pt>
                <c:pt idx="10" formatCode="0.0">
                  <c:v>15.539452495974235</c:v>
                </c:pt>
                <c:pt idx="11" formatCode="0.0">
                  <c:v>13.607085346215781</c:v>
                </c:pt>
                <c:pt idx="12" formatCode="0.0">
                  <c:v>10.466988727858293</c:v>
                </c:pt>
                <c:pt idx="13" formatCode="0.0">
                  <c:v>8.454106280193237</c:v>
                </c:pt>
                <c:pt idx="14" formatCode="0.0">
                  <c:v>7.8099838969404187</c:v>
                </c:pt>
                <c:pt idx="15" formatCode="0.0">
                  <c:v>7.9710144927536222</c:v>
                </c:pt>
                <c:pt idx="16" formatCode="0.0">
                  <c:v>6.3607085346215788</c:v>
                </c:pt>
                <c:pt idx="17" formatCode="0.0">
                  <c:v>6.6827697262479875</c:v>
                </c:pt>
                <c:pt idx="18" formatCode="0.0">
                  <c:v>1.7713365539452495</c:v>
                </c:pt>
                <c:pt idx="19" formatCode="0.0">
                  <c:v>0.64412238325281801</c:v>
                </c:pt>
                <c:pt idx="20" formatCode="0.0">
                  <c:v>0</c:v>
                </c:pt>
                <c:pt idx="21" formatCode="0.0">
                  <c:v>0.24154589371980675</c:v>
                </c:pt>
                <c:pt idx="22">
                  <c:v>0</c:v>
                </c:pt>
                <c:pt idx="23">
                  <c:v>0</c:v>
                </c:pt>
              </c:numCache>
            </c:numRef>
          </c:val>
          <c:smooth val="1"/>
          <c:extLst>
            <c:ext xmlns:c16="http://schemas.microsoft.com/office/drawing/2014/chart" uri="{C3380CC4-5D6E-409C-BE32-E72D297353CC}">
              <c16:uniqueId val="{00000001-FE18-4808-B59F-8AC1FCBDB737}"/>
            </c:ext>
          </c:extLst>
        </c:ser>
        <c:dLbls>
          <c:showLegendKey val="0"/>
          <c:showVal val="0"/>
          <c:showCatName val="0"/>
          <c:showSerName val="0"/>
          <c:showPercent val="0"/>
          <c:showBubbleSize val="0"/>
        </c:dLbls>
        <c:smooth val="0"/>
        <c:axId val="484656824"/>
        <c:axId val="484658000"/>
      </c:lineChart>
      <c:catAx>
        <c:axId val="484656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58000"/>
        <c:crosses val="autoZero"/>
        <c:auto val="1"/>
        <c:lblAlgn val="ctr"/>
        <c:lblOffset val="100"/>
        <c:tickLblSkip val="1"/>
        <c:tickMarkSkip val="1"/>
        <c:noMultiLvlLbl val="0"/>
      </c:catAx>
      <c:valAx>
        <c:axId val="4846580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56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'GL-Sets'!$BR$9:$BR$32</c:f>
              <c:numCache>
                <c:formatCode>0.00</c:formatCode>
                <c:ptCount val="24"/>
                <c:pt idx="0">
                  <c:v>0</c:v>
                </c:pt>
                <c:pt idx="1">
                  <c:v>0</c:v>
                </c:pt>
                <c:pt idx="2">
                  <c:v>0</c:v>
                </c:pt>
                <c:pt idx="3">
                  <c:v>0</c:v>
                </c:pt>
                <c:pt idx="4">
                  <c:v>0</c:v>
                </c:pt>
                <c:pt idx="5">
                  <c:v>-1</c:v>
                </c:pt>
                <c:pt idx="6">
                  <c:v>-1.75</c:v>
                </c:pt>
                <c:pt idx="7">
                  <c:v>-4.75</c:v>
                </c:pt>
                <c:pt idx="8">
                  <c:v>-6.5</c:v>
                </c:pt>
                <c:pt idx="9">
                  <c:v>-8.25</c:v>
                </c:pt>
                <c:pt idx="10">
                  <c:v>-9</c:v>
                </c:pt>
                <c:pt idx="11">
                  <c:v>-10.25</c:v>
                </c:pt>
                <c:pt idx="12">
                  <c:v>-8.75</c:v>
                </c:pt>
                <c:pt idx="13">
                  <c:v>-7.75</c:v>
                </c:pt>
                <c:pt idx="14">
                  <c:v>-5.6</c:v>
                </c:pt>
                <c:pt idx="15">
                  <c:v>-7</c:v>
                </c:pt>
                <c:pt idx="16">
                  <c:v>-8.75</c:v>
                </c:pt>
                <c:pt idx="17">
                  <c:v>-7</c:v>
                </c:pt>
                <c:pt idx="18">
                  <c:v>-5.25</c:v>
                </c:pt>
                <c:pt idx="19">
                  <c:v>-3.75</c:v>
                </c:pt>
                <c:pt idx="20">
                  <c:v>-1.75</c:v>
                </c:pt>
                <c:pt idx="21">
                  <c:v>-1</c:v>
                </c:pt>
                <c:pt idx="22">
                  <c:v>-1.25</c:v>
                </c:pt>
                <c:pt idx="23">
                  <c:v>-0.65</c:v>
                </c:pt>
              </c:numCache>
            </c:numRef>
          </c:val>
          <c:smooth val="1"/>
          <c:extLst>
            <c:ext xmlns:c16="http://schemas.microsoft.com/office/drawing/2014/chart" uri="{C3380CC4-5D6E-409C-BE32-E72D297353CC}">
              <c16:uniqueId val="{00000000-E03F-446B-B2F0-D86490A34E5C}"/>
            </c:ext>
          </c:extLst>
        </c:ser>
        <c:ser>
          <c:idx val="1"/>
          <c:order val="1"/>
          <c:tx>
            <c:strRef>
              <c:f>'GL-Sets'!$BS$7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'GL-Sets'!$BS$9:$BS$32</c:f>
              <c:numCache>
                <c:formatCode>0.00</c:formatCode>
                <c:ptCount val="24"/>
                <c:pt idx="0">
                  <c:v>0</c:v>
                </c:pt>
                <c:pt idx="1">
                  <c:v>0</c:v>
                </c:pt>
                <c:pt idx="2">
                  <c:v>0</c:v>
                </c:pt>
                <c:pt idx="3">
                  <c:v>0</c:v>
                </c:pt>
                <c:pt idx="4">
                  <c:v>0.25</c:v>
                </c:pt>
                <c:pt idx="5">
                  <c:v>1.5</c:v>
                </c:pt>
                <c:pt idx="6">
                  <c:v>3</c:v>
                </c:pt>
                <c:pt idx="7">
                  <c:v>8</c:v>
                </c:pt>
                <c:pt idx="8">
                  <c:v>10.4</c:v>
                </c:pt>
                <c:pt idx="9">
                  <c:v>8.75</c:v>
                </c:pt>
                <c:pt idx="10">
                  <c:v>10.25</c:v>
                </c:pt>
                <c:pt idx="11">
                  <c:v>9.9</c:v>
                </c:pt>
                <c:pt idx="12">
                  <c:v>7</c:v>
                </c:pt>
                <c:pt idx="13">
                  <c:v>6.5</c:v>
                </c:pt>
                <c:pt idx="14">
                  <c:v>6</c:v>
                </c:pt>
                <c:pt idx="15">
                  <c:v>7.75</c:v>
                </c:pt>
                <c:pt idx="16">
                  <c:v>6.75</c:v>
                </c:pt>
                <c:pt idx="17">
                  <c:v>5</c:v>
                </c:pt>
                <c:pt idx="18">
                  <c:v>3.75</c:v>
                </c:pt>
                <c:pt idx="19">
                  <c:v>3.25</c:v>
                </c:pt>
                <c:pt idx="20">
                  <c:v>1.45</c:v>
                </c:pt>
                <c:pt idx="21">
                  <c:v>0.25</c:v>
                </c:pt>
                <c:pt idx="22">
                  <c:v>0.25</c:v>
                </c:pt>
                <c:pt idx="23">
                  <c:v>0</c:v>
                </c:pt>
              </c:numCache>
            </c:numRef>
          </c:val>
          <c:smooth val="1"/>
          <c:extLst>
            <c:ext xmlns:c16="http://schemas.microsoft.com/office/drawing/2014/chart" uri="{C3380CC4-5D6E-409C-BE32-E72D297353CC}">
              <c16:uniqueId val="{00000001-E03F-446B-B2F0-D86490A34E5C}"/>
            </c:ext>
          </c:extLst>
        </c:ser>
        <c:dLbls>
          <c:showLegendKey val="0"/>
          <c:showVal val="0"/>
          <c:showCatName val="0"/>
          <c:showSerName val="0"/>
          <c:showPercent val="0"/>
          <c:showBubbleSize val="0"/>
        </c:dLbls>
        <c:smooth val="0"/>
        <c:axId val="484674464"/>
        <c:axId val="484668584"/>
      </c:lineChart>
      <c:catAx>
        <c:axId val="4846744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8584"/>
        <c:crosses val="autoZero"/>
        <c:auto val="1"/>
        <c:lblAlgn val="ctr"/>
        <c:lblOffset val="100"/>
        <c:tickLblSkip val="1"/>
        <c:tickMarkSkip val="1"/>
        <c:noMultiLvlLbl val="0"/>
      </c:catAx>
      <c:valAx>
        <c:axId val="48466858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44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'GL-Sets'!$BU$7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'GL-Sets'!$BU$9:$BU$32</c:f>
              <c:numCache>
                <c:formatCode>0.00</c:formatCode>
                <c:ptCount val="24"/>
              </c:numCache>
            </c:numRef>
          </c:val>
          <c:smooth val="1"/>
          <c:extLst>
            <c:ext xmlns:c16="http://schemas.microsoft.com/office/drawing/2014/chart" uri="{C3380CC4-5D6E-409C-BE32-E72D297353CC}">
              <c16:uniqueId val="{00000000-433C-480E-A874-84365FFF2086}"/>
            </c:ext>
          </c:extLst>
        </c:ser>
        <c:ser>
          <c:idx val="1"/>
          <c:order val="1"/>
          <c:tx>
            <c:strRef>
              <c:f>'GL-Sets'!$BV$7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'GL-Sets'!$BV$9:$BV$32</c:f>
              <c:numCache>
                <c:formatCode>0.00</c:formatCode>
                <c:ptCount val="24"/>
              </c:numCache>
            </c:numRef>
          </c:val>
          <c:smooth val="1"/>
          <c:extLst>
            <c:ext xmlns:c16="http://schemas.microsoft.com/office/drawing/2014/chart" uri="{C3380CC4-5D6E-409C-BE32-E72D297353CC}">
              <c16:uniqueId val="{00000001-433C-480E-A874-84365FFF2086}"/>
            </c:ext>
          </c:extLst>
        </c:ser>
        <c:dLbls>
          <c:showLegendKey val="0"/>
          <c:showVal val="0"/>
          <c:showCatName val="0"/>
          <c:showSerName val="0"/>
          <c:showPercent val="0"/>
          <c:showBubbleSize val="0"/>
        </c:dLbls>
        <c:smooth val="0"/>
        <c:axId val="484672504"/>
        <c:axId val="484677992"/>
      </c:lineChart>
      <c:catAx>
        <c:axId val="4846725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7992"/>
        <c:crosses val="autoZero"/>
        <c:auto val="1"/>
        <c:lblAlgn val="ctr"/>
        <c:lblOffset val="100"/>
        <c:tickLblSkip val="1"/>
        <c:tickMarkSkip val="1"/>
        <c:noMultiLvlLbl val="0"/>
      </c:catAx>
      <c:valAx>
        <c:axId val="48467799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250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'GL-Sets'!$BW$7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'GL-Sets'!$BW$9:$BW$32</c:f>
              <c:numCache>
                <c:formatCode>0.00</c:formatCode>
                <c:ptCount val="24"/>
              </c:numCache>
            </c:numRef>
          </c:val>
          <c:smooth val="1"/>
          <c:extLst>
            <c:ext xmlns:c16="http://schemas.microsoft.com/office/drawing/2014/chart" uri="{C3380CC4-5D6E-409C-BE32-E72D297353CC}">
              <c16:uniqueId val="{00000000-1CC4-4D45-8DC2-B13CFFBE3AD7}"/>
            </c:ext>
          </c:extLst>
        </c:ser>
        <c:ser>
          <c:idx val="1"/>
          <c:order val="1"/>
          <c:tx>
            <c:strRef>
              <c:f>'GL-Sets'!$BX$7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'GL-Sets'!$BX$9:$BX$32</c:f>
              <c:numCache>
                <c:formatCode>0.00</c:formatCode>
                <c:ptCount val="24"/>
              </c:numCache>
            </c:numRef>
          </c:val>
          <c:smooth val="1"/>
          <c:extLst>
            <c:ext xmlns:c16="http://schemas.microsoft.com/office/drawing/2014/chart" uri="{C3380CC4-5D6E-409C-BE32-E72D297353CC}">
              <c16:uniqueId val="{00000001-1CC4-4D45-8DC2-B13CFFBE3AD7}"/>
            </c:ext>
          </c:extLst>
        </c:ser>
        <c:dLbls>
          <c:showLegendKey val="0"/>
          <c:showVal val="0"/>
          <c:showCatName val="0"/>
          <c:showSerName val="0"/>
          <c:showPercent val="0"/>
          <c:showBubbleSize val="0"/>
        </c:dLbls>
        <c:smooth val="0"/>
        <c:axId val="484678776"/>
        <c:axId val="484674072"/>
      </c:lineChart>
      <c:catAx>
        <c:axId val="48467877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4072"/>
        <c:crosses val="autoZero"/>
        <c:auto val="1"/>
        <c:lblAlgn val="ctr"/>
        <c:lblOffset val="100"/>
        <c:tickLblSkip val="1"/>
        <c:tickMarkSkip val="1"/>
        <c:noMultiLvlLbl val="0"/>
      </c:catAx>
      <c:valAx>
        <c:axId val="48467407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877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'GL-Sets'!$BY$7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'GL-Sets'!$BY$9:$BY$32</c:f>
              <c:numCache>
                <c:formatCode>0.00</c:formatCode>
                <c:ptCount val="24"/>
              </c:numCache>
            </c:numRef>
          </c:val>
          <c:smooth val="1"/>
          <c:extLst>
            <c:ext xmlns:c16="http://schemas.microsoft.com/office/drawing/2014/chart" uri="{C3380CC4-5D6E-409C-BE32-E72D297353CC}">
              <c16:uniqueId val="{00000000-07B8-40D8-8D10-A2B4E4938301}"/>
            </c:ext>
          </c:extLst>
        </c:ser>
        <c:ser>
          <c:idx val="1"/>
          <c:order val="1"/>
          <c:tx>
            <c:strRef>
              <c:f>'GL-Sets'!$BZ$7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'GL-Sets'!$BZ$9:$BZ$32</c:f>
              <c:numCache>
                <c:formatCode>0.00</c:formatCode>
                <c:ptCount val="24"/>
              </c:numCache>
            </c:numRef>
          </c:val>
          <c:smooth val="1"/>
          <c:extLst>
            <c:ext xmlns:c16="http://schemas.microsoft.com/office/drawing/2014/chart" uri="{C3380CC4-5D6E-409C-BE32-E72D297353CC}">
              <c16:uniqueId val="{00000001-07B8-40D8-8D10-A2B4E4938301}"/>
            </c:ext>
          </c:extLst>
        </c:ser>
        <c:dLbls>
          <c:showLegendKey val="0"/>
          <c:showVal val="0"/>
          <c:showCatName val="0"/>
          <c:showSerName val="0"/>
          <c:showPercent val="0"/>
          <c:showBubbleSize val="0"/>
        </c:dLbls>
        <c:smooth val="0"/>
        <c:axId val="484668192"/>
        <c:axId val="484667800"/>
      </c:lineChart>
      <c:catAx>
        <c:axId val="48466819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7800"/>
        <c:crosses val="autoZero"/>
        <c:auto val="1"/>
        <c:lblAlgn val="ctr"/>
        <c:lblOffset val="100"/>
        <c:tickLblSkip val="1"/>
        <c:tickMarkSkip val="1"/>
        <c:noMultiLvlLbl val="0"/>
      </c:catAx>
      <c:valAx>
        <c:axId val="48466780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6819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'GL-Sets'!$CB$7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'GL-Sets'!$CB$9:$CB$32</c:f>
              <c:numCache>
                <c:formatCode>0.00</c:formatCode>
                <c:ptCount val="24"/>
              </c:numCache>
            </c:numRef>
          </c:val>
          <c:smooth val="1"/>
          <c:extLst>
            <c:ext xmlns:c16="http://schemas.microsoft.com/office/drawing/2014/chart" uri="{C3380CC4-5D6E-409C-BE32-E72D297353CC}">
              <c16:uniqueId val="{00000000-73EA-44B6-9A2B-83D2D09FD0AC}"/>
            </c:ext>
          </c:extLst>
        </c:ser>
        <c:ser>
          <c:idx val="1"/>
          <c:order val="1"/>
          <c:tx>
            <c:strRef>
              <c:f>'GL-Sets'!$CC$7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'GL-Sets'!$CC$9:$CC$32</c:f>
              <c:numCache>
                <c:formatCode>0.00</c:formatCode>
                <c:ptCount val="24"/>
              </c:numCache>
            </c:numRef>
          </c:val>
          <c:smooth val="1"/>
          <c:extLst>
            <c:ext xmlns:c16="http://schemas.microsoft.com/office/drawing/2014/chart" uri="{C3380CC4-5D6E-409C-BE32-E72D297353CC}">
              <c16:uniqueId val="{00000001-73EA-44B6-9A2B-83D2D09FD0AC}"/>
            </c:ext>
          </c:extLst>
        </c:ser>
        <c:dLbls>
          <c:showLegendKey val="0"/>
          <c:showVal val="0"/>
          <c:showCatName val="0"/>
          <c:showSerName val="0"/>
          <c:showPercent val="0"/>
          <c:showBubbleSize val="0"/>
        </c:dLbls>
        <c:smooth val="0"/>
        <c:axId val="484671720"/>
        <c:axId val="484672112"/>
      </c:lineChart>
      <c:catAx>
        <c:axId val="4846717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2112"/>
        <c:crosses val="autoZero"/>
        <c:auto val="1"/>
        <c:lblAlgn val="ctr"/>
        <c:lblOffset val="100"/>
        <c:tickLblSkip val="1"/>
        <c:tickMarkSkip val="1"/>
        <c:noMultiLvlLbl val="0"/>
      </c:catAx>
      <c:valAx>
        <c:axId val="48467211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17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'GL-Sets'!$CD$9:$CD$32</c:f>
              <c:numCache>
                <c:formatCode>0.00</c:formatCode>
                <c:ptCount val="24"/>
              </c:numCache>
            </c:numRef>
          </c:val>
          <c:smooth val="1"/>
          <c:extLst>
            <c:ext xmlns:c16="http://schemas.microsoft.com/office/drawing/2014/chart" uri="{C3380CC4-5D6E-409C-BE32-E72D297353CC}">
              <c16:uniqueId val="{00000000-222B-4E2A-BF87-E1F8B673DA0F}"/>
            </c:ext>
          </c:extLst>
        </c:ser>
        <c:ser>
          <c:idx val="1"/>
          <c:order val="1"/>
          <c:tx>
            <c:strRef>
              <c:f>'GL-Sets'!$CE$7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'GL-Sets'!$CE$9:$CE$32</c:f>
              <c:numCache>
                <c:formatCode>0.00</c:formatCode>
                <c:ptCount val="24"/>
              </c:numCache>
            </c:numRef>
          </c:val>
          <c:smooth val="1"/>
          <c:extLst>
            <c:ext xmlns:c16="http://schemas.microsoft.com/office/drawing/2014/chart" uri="{C3380CC4-5D6E-409C-BE32-E72D297353CC}">
              <c16:uniqueId val="{00000001-222B-4E2A-BF87-E1F8B673DA0F}"/>
            </c:ext>
          </c:extLst>
        </c:ser>
        <c:dLbls>
          <c:showLegendKey val="0"/>
          <c:showVal val="0"/>
          <c:showCatName val="0"/>
          <c:showSerName val="0"/>
          <c:showPercent val="0"/>
          <c:showBubbleSize val="0"/>
        </c:dLbls>
        <c:smooth val="0"/>
        <c:axId val="484677600"/>
        <c:axId val="484667016"/>
      </c:lineChart>
      <c:catAx>
        <c:axId val="4846776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67016"/>
        <c:crosses val="autoZero"/>
        <c:auto val="1"/>
        <c:lblAlgn val="ctr"/>
        <c:lblOffset val="100"/>
        <c:tickLblSkip val="1"/>
        <c:tickMarkSkip val="1"/>
        <c:noMultiLvlLbl val="0"/>
      </c:catAx>
      <c:valAx>
        <c:axId val="484667016"/>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776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'GL-Sets'!$CF$9:$CF$32</c:f>
              <c:numCache>
                <c:formatCode>0.00</c:formatCode>
                <c:ptCount val="24"/>
              </c:numCache>
            </c:numRef>
          </c:val>
          <c:smooth val="1"/>
          <c:extLst>
            <c:ext xmlns:c16="http://schemas.microsoft.com/office/drawing/2014/chart" uri="{C3380CC4-5D6E-409C-BE32-E72D297353CC}">
              <c16:uniqueId val="{00000000-07E4-4C4A-BC8C-17507D0A760C}"/>
            </c:ext>
          </c:extLst>
        </c:ser>
        <c:ser>
          <c:idx val="1"/>
          <c:order val="1"/>
          <c:tx>
            <c:strRef>
              <c:f>'GL-Sets'!$CG$7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'GL-Sets'!$CG$9:$CG$32</c:f>
              <c:numCache>
                <c:formatCode>0.00</c:formatCode>
                <c:ptCount val="24"/>
              </c:numCache>
            </c:numRef>
          </c:val>
          <c:smooth val="1"/>
          <c:extLst>
            <c:ext xmlns:c16="http://schemas.microsoft.com/office/drawing/2014/chart" uri="{C3380CC4-5D6E-409C-BE32-E72D297353CC}">
              <c16:uniqueId val="{00000001-07E4-4C4A-BC8C-17507D0A760C}"/>
            </c:ext>
          </c:extLst>
        </c:ser>
        <c:dLbls>
          <c:showLegendKey val="0"/>
          <c:showVal val="0"/>
          <c:showCatName val="0"/>
          <c:showSerName val="0"/>
          <c:showPercent val="0"/>
          <c:showBubbleSize val="0"/>
        </c:dLbls>
        <c:smooth val="0"/>
        <c:axId val="484686224"/>
        <c:axId val="484684264"/>
      </c:lineChart>
      <c:catAx>
        <c:axId val="4846862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4264"/>
        <c:crosses val="autoZero"/>
        <c:auto val="1"/>
        <c:lblAlgn val="ctr"/>
        <c:lblOffset val="100"/>
        <c:tickLblSkip val="1"/>
        <c:tickMarkSkip val="1"/>
        <c:noMultiLvlLbl val="0"/>
      </c:catAx>
      <c:valAx>
        <c:axId val="4846842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62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'GL-Sets'!$CI$7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'GL-Sets'!$CI$9:$CI$32</c:f>
              <c:numCache>
                <c:formatCode>0.00</c:formatCode>
                <c:ptCount val="24"/>
              </c:numCache>
            </c:numRef>
          </c:val>
          <c:smooth val="1"/>
          <c:extLst>
            <c:ext xmlns:c16="http://schemas.microsoft.com/office/drawing/2014/chart" uri="{C3380CC4-5D6E-409C-BE32-E72D297353CC}">
              <c16:uniqueId val="{00000000-C0B5-4EB6-8D8A-8E7C47B66827}"/>
            </c:ext>
          </c:extLst>
        </c:ser>
        <c:ser>
          <c:idx val="1"/>
          <c:order val="1"/>
          <c:tx>
            <c:strRef>
              <c:f>'GL-Sets'!$CJ$7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'GL-Sets'!$CJ$9:$CJ$32</c:f>
              <c:numCache>
                <c:formatCode>0.00</c:formatCode>
                <c:ptCount val="24"/>
              </c:numCache>
            </c:numRef>
          </c:val>
          <c:smooth val="1"/>
          <c:extLst>
            <c:ext xmlns:c16="http://schemas.microsoft.com/office/drawing/2014/chart" uri="{C3380CC4-5D6E-409C-BE32-E72D297353CC}">
              <c16:uniqueId val="{00000001-C0B5-4EB6-8D8A-8E7C47B66827}"/>
            </c:ext>
          </c:extLst>
        </c:ser>
        <c:dLbls>
          <c:showLegendKey val="0"/>
          <c:showVal val="0"/>
          <c:showCatName val="0"/>
          <c:showSerName val="0"/>
          <c:showPercent val="0"/>
          <c:showBubbleSize val="0"/>
        </c:dLbls>
        <c:smooth val="0"/>
        <c:axId val="484681520"/>
        <c:axId val="484684656"/>
      </c:lineChart>
      <c:catAx>
        <c:axId val="4846815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4656"/>
        <c:crosses val="autoZero"/>
        <c:auto val="1"/>
        <c:lblAlgn val="ctr"/>
        <c:lblOffset val="100"/>
        <c:tickLblSkip val="1"/>
        <c:tickMarkSkip val="1"/>
        <c:noMultiLvlLbl val="0"/>
      </c:catAx>
      <c:valAx>
        <c:axId val="4846846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152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'GL-Sets'!$CK$9:$CK$32</c:f>
              <c:numCache>
                <c:formatCode>0.00</c:formatCode>
                <c:ptCount val="24"/>
              </c:numCache>
            </c:numRef>
          </c:val>
          <c:smooth val="1"/>
          <c:extLst>
            <c:ext xmlns:c16="http://schemas.microsoft.com/office/drawing/2014/chart" uri="{C3380CC4-5D6E-409C-BE32-E72D297353CC}">
              <c16:uniqueId val="{00000000-34E4-4189-A7EF-EAD913060B31}"/>
            </c:ext>
          </c:extLst>
        </c:ser>
        <c:ser>
          <c:idx val="1"/>
          <c:order val="1"/>
          <c:tx>
            <c:strRef>
              <c:f>'GL-Sets'!$CL$7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'GL-Sets'!$CL$9:$CL$32</c:f>
              <c:numCache>
                <c:formatCode>0.00</c:formatCode>
                <c:ptCount val="24"/>
              </c:numCache>
            </c:numRef>
          </c:val>
          <c:smooth val="1"/>
          <c:extLst>
            <c:ext xmlns:c16="http://schemas.microsoft.com/office/drawing/2014/chart" uri="{C3380CC4-5D6E-409C-BE32-E72D297353CC}">
              <c16:uniqueId val="{00000001-34E4-4189-A7EF-EAD913060B31}"/>
            </c:ext>
          </c:extLst>
        </c:ser>
        <c:dLbls>
          <c:showLegendKey val="0"/>
          <c:showVal val="0"/>
          <c:showCatName val="0"/>
          <c:showSerName val="0"/>
          <c:showPercent val="0"/>
          <c:showBubbleSize val="0"/>
        </c:dLbls>
        <c:smooth val="0"/>
        <c:axId val="484690144"/>
        <c:axId val="484690928"/>
      </c:lineChart>
      <c:catAx>
        <c:axId val="4846901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0928"/>
        <c:crosses val="autoZero"/>
        <c:auto val="1"/>
        <c:lblAlgn val="ctr"/>
        <c:lblOffset val="100"/>
        <c:tickLblSkip val="1"/>
        <c:tickMarkSkip val="1"/>
        <c:noMultiLvlLbl val="0"/>
      </c:catAx>
      <c:valAx>
        <c:axId val="4846909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01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'GL-Sets'!$CM$9:$CM$32</c:f>
              <c:numCache>
                <c:formatCode>0.00</c:formatCode>
                <c:ptCount val="24"/>
              </c:numCache>
            </c:numRef>
          </c:val>
          <c:smooth val="1"/>
          <c:extLst>
            <c:ext xmlns:c16="http://schemas.microsoft.com/office/drawing/2014/chart" uri="{C3380CC4-5D6E-409C-BE32-E72D297353CC}">
              <c16:uniqueId val="{00000000-1ACB-4734-8B06-FB5C235E5D6B}"/>
            </c:ext>
          </c:extLst>
        </c:ser>
        <c:ser>
          <c:idx val="1"/>
          <c:order val="1"/>
          <c:tx>
            <c:strRef>
              <c:f>'GL-Sets'!$CN$7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'GL-Sets'!$CN$9:$CN$32</c:f>
              <c:numCache>
                <c:formatCode>0.00</c:formatCode>
                <c:ptCount val="24"/>
              </c:numCache>
            </c:numRef>
          </c:val>
          <c:smooth val="1"/>
          <c:extLst>
            <c:ext xmlns:c16="http://schemas.microsoft.com/office/drawing/2014/chart" uri="{C3380CC4-5D6E-409C-BE32-E72D297353CC}">
              <c16:uniqueId val="{00000001-1ACB-4734-8B06-FB5C235E5D6B}"/>
            </c:ext>
          </c:extLst>
        </c:ser>
        <c:dLbls>
          <c:showLegendKey val="0"/>
          <c:showVal val="0"/>
          <c:showCatName val="0"/>
          <c:showSerName val="0"/>
          <c:showPercent val="0"/>
          <c:showBubbleSize val="0"/>
        </c:dLbls>
        <c:smooth val="0"/>
        <c:axId val="484682696"/>
        <c:axId val="484687792"/>
      </c:lineChart>
      <c:catAx>
        <c:axId val="4846826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7792"/>
        <c:crosses val="autoZero"/>
        <c:auto val="1"/>
        <c:lblAlgn val="ctr"/>
        <c:lblOffset val="100"/>
        <c:tickLblSkip val="1"/>
        <c:tickMarkSkip val="1"/>
        <c:noMultiLvlLbl val="0"/>
      </c:catAx>
      <c:valAx>
        <c:axId val="48468779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269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'GL-Sets'!$CP$7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'GL-Sets'!$CP$9:$CP$32</c:f>
              <c:numCache>
                <c:formatCode>0.00</c:formatCode>
                <c:ptCount val="24"/>
              </c:numCache>
            </c:numRef>
          </c:val>
          <c:smooth val="1"/>
          <c:extLst>
            <c:ext xmlns:c16="http://schemas.microsoft.com/office/drawing/2014/chart" uri="{C3380CC4-5D6E-409C-BE32-E72D297353CC}">
              <c16:uniqueId val="{00000000-E470-4005-AC5B-0C6930CF82D2}"/>
            </c:ext>
          </c:extLst>
        </c:ser>
        <c:ser>
          <c:idx val="1"/>
          <c:order val="1"/>
          <c:tx>
            <c:strRef>
              <c:f>'GL-Sets'!$CQ$7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'GL-Sets'!$CQ$9:$CQ$32</c:f>
              <c:numCache>
                <c:formatCode>0.00</c:formatCode>
                <c:ptCount val="24"/>
              </c:numCache>
            </c:numRef>
          </c:val>
          <c:smooth val="1"/>
          <c:extLst>
            <c:ext xmlns:c16="http://schemas.microsoft.com/office/drawing/2014/chart" uri="{C3380CC4-5D6E-409C-BE32-E72D297353CC}">
              <c16:uniqueId val="{00000001-E470-4005-AC5B-0C6930CF82D2}"/>
            </c:ext>
          </c:extLst>
        </c:ser>
        <c:dLbls>
          <c:showLegendKey val="0"/>
          <c:showVal val="0"/>
          <c:showCatName val="0"/>
          <c:showSerName val="0"/>
          <c:showPercent val="0"/>
          <c:showBubbleSize val="0"/>
        </c:dLbls>
        <c:smooth val="0"/>
        <c:axId val="484680344"/>
        <c:axId val="484689360"/>
      </c:lineChart>
      <c:catAx>
        <c:axId val="4846803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89360"/>
        <c:crosses val="autoZero"/>
        <c:auto val="1"/>
        <c:lblAlgn val="ctr"/>
        <c:lblOffset val="100"/>
        <c:tickLblSkip val="1"/>
        <c:tickMarkSkip val="1"/>
        <c:noMultiLvlLbl val="0"/>
      </c:catAx>
      <c:valAx>
        <c:axId val="4846893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0344"/>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'GL-Sets'!$CR$9:$CR$32</c:f>
              <c:numCache>
                <c:formatCode>0.00</c:formatCode>
                <c:ptCount val="24"/>
              </c:numCache>
            </c:numRef>
          </c:val>
          <c:smooth val="1"/>
          <c:extLst>
            <c:ext xmlns:c16="http://schemas.microsoft.com/office/drawing/2014/chart" uri="{C3380CC4-5D6E-409C-BE32-E72D297353CC}">
              <c16:uniqueId val="{00000000-F867-469D-97AA-DA3A384E443D}"/>
            </c:ext>
          </c:extLst>
        </c:ser>
        <c:ser>
          <c:idx val="1"/>
          <c:order val="1"/>
          <c:tx>
            <c:strRef>
              <c:f>'GL-Sets'!$CS$7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'GL-Sets'!$CS$9:$CS$32</c:f>
              <c:numCache>
                <c:formatCode>0.00</c:formatCode>
                <c:ptCount val="24"/>
              </c:numCache>
            </c:numRef>
          </c:val>
          <c:smooth val="1"/>
          <c:extLst>
            <c:ext xmlns:c16="http://schemas.microsoft.com/office/drawing/2014/chart" uri="{C3380CC4-5D6E-409C-BE32-E72D297353CC}">
              <c16:uniqueId val="{00000001-F867-469D-97AA-DA3A384E443D}"/>
            </c:ext>
          </c:extLst>
        </c:ser>
        <c:dLbls>
          <c:showLegendKey val="0"/>
          <c:showVal val="0"/>
          <c:showCatName val="0"/>
          <c:showSerName val="0"/>
          <c:showPercent val="0"/>
          <c:showBubbleSize val="0"/>
        </c:dLbls>
        <c:smooth val="0"/>
        <c:axId val="484686616"/>
        <c:axId val="484679952"/>
      </c:lineChart>
      <c:catAx>
        <c:axId val="48468661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79952"/>
        <c:crosses val="autoZero"/>
        <c:auto val="1"/>
        <c:lblAlgn val="ctr"/>
        <c:lblOffset val="100"/>
        <c:tickLblSkip val="1"/>
        <c:tickMarkSkip val="1"/>
        <c:noMultiLvlLbl val="0"/>
      </c:catAx>
      <c:valAx>
        <c:axId val="4846799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661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'GL-Sets'!$CT$7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'GL-Sets'!$CT$9:$CT$32</c:f>
              <c:numCache>
                <c:formatCode>0.00</c:formatCode>
                <c:ptCount val="24"/>
              </c:numCache>
            </c:numRef>
          </c:val>
          <c:smooth val="1"/>
          <c:extLst>
            <c:ext xmlns:c16="http://schemas.microsoft.com/office/drawing/2014/chart" uri="{C3380CC4-5D6E-409C-BE32-E72D297353CC}">
              <c16:uniqueId val="{00000000-1EC4-4C9D-AADC-ED8F69171774}"/>
            </c:ext>
          </c:extLst>
        </c:ser>
        <c:ser>
          <c:idx val="1"/>
          <c:order val="1"/>
          <c:tx>
            <c:strRef>
              <c:f>'GL-Sets'!$CU$7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'GL-Sets'!$CU$9:$CU$32</c:f>
              <c:numCache>
                <c:formatCode>0.00</c:formatCode>
                <c:ptCount val="24"/>
              </c:numCache>
            </c:numRef>
          </c:val>
          <c:smooth val="1"/>
          <c:extLst>
            <c:ext xmlns:c16="http://schemas.microsoft.com/office/drawing/2014/chart" uri="{C3380CC4-5D6E-409C-BE32-E72D297353CC}">
              <c16:uniqueId val="{00000001-1EC4-4C9D-AADC-ED8F69171774}"/>
            </c:ext>
          </c:extLst>
        </c:ser>
        <c:dLbls>
          <c:showLegendKey val="0"/>
          <c:showVal val="0"/>
          <c:showCatName val="0"/>
          <c:showSerName val="0"/>
          <c:showPercent val="0"/>
          <c:showBubbleSize val="0"/>
        </c:dLbls>
        <c:smooth val="0"/>
        <c:axId val="484683480"/>
        <c:axId val="484694848"/>
      </c:lineChart>
      <c:catAx>
        <c:axId val="4846834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4848"/>
        <c:crosses val="autoZero"/>
        <c:auto val="1"/>
        <c:lblAlgn val="ctr"/>
        <c:lblOffset val="100"/>
        <c:tickLblSkip val="1"/>
        <c:tickMarkSkip val="1"/>
        <c:noMultiLvlLbl val="0"/>
      </c:catAx>
      <c:valAx>
        <c:axId val="48469484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8348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'GL-Sets'!$CW$7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'GL-Sets'!$CW$9:$CW$32</c:f>
              <c:numCache>
                <c:formatCode>0.00</c:formatCode>
                <c:ptCount val="24"/>
              </c:numCache>
            </c:numRef>
          </c:val>
          <c:smooth val="1"/>
          <c:extLst>
            <c:ext xmlns:c16="http://schemas.microsoft.com/office/drawing/2014/chart" uri="{C3380CC4-5D6E-409C-BE32-E72D297353CC}">
              <c16:uniqueId val="{00000000-A4FE-4A4F-98D3-B51026D85565}"/>
            </c:ext>
          </c:extLst>
        </c:ser>
        <c:ser>
          <c:idx val="1"/>
          <c:order val="1"/>
          <c:tx>
            <c:strRef>
              <c:f>'GL-Sets'!$CX$7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'GL-Sets'!$CX$9:$CX$32</c:f>
              <c:numCache>
                <c:formatCode>0.00</c:formatCode>
                <c:ptCount val="24"/>
              </c:numCache>
            </c:numRef>
          </c:val>
          <c:smooth val="1"/>
          <c:extLst>
            <c:ext xmlns:c16="http://schemas.microsoft.com/office/drawing/2014/chart" uri="{C3380CC4-5D6E-409C-BE32-E72D297353CC}">
              <c16:uniqueId val="{00000001-A4FE-4A4F-98D3-B51026D85565}"/>
            </c:ext>
          </c:extLst>
        </c:ser>
        <c:dLbls>
          <c:showLegendKey val="0"/>
          <c:showVal val="0"/>
          <c:showCatName val="0"/>
          <c:showSerName val="0"/>
          <c:showPercent val="0"/>
          <c:showBubbleSize val="0"/>
        </c:dLbls>
        <c:smooth val="0"/>
        <c:axId val="484692496"/>
        <c:axId val="484704256"/>
      </c:lineChart>
      <c:catAx>
        <c:axId val="48469249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4256"/>
        <c:crosses val="autoZero"/>
        <c:auto val="1"/>
        <c:lblAlgn val="ctr"/>
        <c:lblOffset val="100"/>
        <c:tickLblSkip val="1"/>
        <c:tickMarkSkip val="1"/>
        <c:noMultiLvlLbl val="0"/>
      </c:catAx>
      <c:valAx>
        <c:axId val="484704256"/>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2496"/>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'GL-Sets'!$CY$7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'GL-Sets'!$CY$9:$CY$32</c:f>
              <c:numCache>
                <c:formatCode>0.00</c:formatCode>
                <c:ptCount val="24"/>
              </c:numCache>
            </c:numRef>
          </c:val>
          <c:smooth val="1"/>
          <c:extLst>
            <c:ext xmlns:c16="http://schemas.microsoft.com/office/drawing/2014/chart" uri="{C3380CC4-5D6E-409C-BE32-E72D297353CC}">
              <c16:uniqueId val="{00000000-0DD4-44DA-9CB4-E713531E0135}"/>
            </c:ext>
          </c:extLst>
        </c:ser>
        <c:ser>
          <c:idx val="1"/>
          <c:order val="1"/>
          <c:tx>
            <c:strRef>
              <c:f>'GL-Sets'!$CZ$7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'GL-Sets'!$CZ$9:$CZ$32</c:f>
              <c:numCache>
                <c:formatCode>0.00</c:formatCode>
                <c:ptCount val="24"/>
              </c:numCache>
            </c:numRef>
          </c:val>
          <c:smooth val="1"/>
          <c:extLst>
            <c:ext xmlns:c16="http://schemas.microsoft.com/office/drawing/2014/chart" uri="{C3380CC4-5D6E-409C-BE32-E72D297353CC}">
              <c16:uniqueId val="{00000001-0DD4-44DA-9CB4-E713531E0135}"/>
            </c:ext>
          </c:extLst>
        </c:ser>
        <c:dLbls>
          <c:showLegendKey val="0"/>
          <c:showVal val="0"/>
          <c:showCatName val="0"/>
          <c:showSerName val="0"/>
          <c:showPercent val="0"/>
          <c:showBubbleSize val="0"/>
        </c:dLbls>
        <c:smooth val="0"/>
        <c:axId val="484694064"/>
        <c:axId val="484699552"/>
      </c:lineChart>
      <c:catAx>
        <c:axId val="48469406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9552"/>
        <c:crosses val="autoZero"/>
        <c:auto val="1"/>
        <c:lblAlgn val="ctr"/>
        <c:lblOffset val="100"/>
        <c:tickLblSkip val="1"/>
        <c:tickMarkSkip val="1"/>
        <c:noMultiLvlLbl val="0"/>
      </c:catAx>
      <c:valAx>
        <c:axId val="48469955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406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'GL-Sets'!$DA$9:$DA$32</c:f>
              <c:numCache>
                <c:formatCode>0.00</c:formatCode>
                <c:ptCount val="24"/>
              </c:numCache>
            </c:numRef>
          </c:val>
          <c:smooth val="1"/>
          <c:extLst>
            <c:ext xmlns:c16="http://schemas.microsoft.com/office/drawing/2014/chart" uri="{C3380CC4-5D6E-409C-BE32-E72D297353CC}">
              <c16:uniqueId val="{00000000-3B6C-43D2-B881-D67D43B8AA26}"/>
            </c:ext>
          </c:extLst>
        </c:ser>
        <c:ser>
          <c:idx val="1"/>
          <c:order val="1"/>
          <c:tx>
            <c:strRef>
              <c:f>'GL-Sets'!$DB$7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'GL-Sets'!$DB$9:$DB$32</c:f>
              <c:numCache>
                <c:formatCode>0.00</c:formatCode>
                <c:ptCount val="24"/>
              </c:numCache>
            </c:numRef>
          </c:val>
          <c:smooth val="1"/>
          <c:extLst>
            <c:ext xmlns:c16="http://schemas.microsoft.com/office/drawing/2014/chart" uri="{C3380CC4-5D6E-409C-BE32-E72D297353CC}">
              <c16:uniqueId val="{00000001-3B6C-43D2-B881-D67D43B8AA26}"/>
            </c:ext>
          </c:extLst>
        </c:ser>
        <c:dLbls>
          <c:showLegendKey val="0"/>
          <c:showVal val="0"/>
          <c:showCatName val="0"/>
          <c:showSerName val="0"/>
          <c:showPercent val="0"/>
          <c:showBubbleSize val="0"/>
        </c:dLbls>
        <c:smooth val="0"/>
        <c:axId val="484701120"/>
        <c:axId val="484695632"/>
      </c:lineChart>
      <c:catAx>
        <c:axId val="48470112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5632"/>
        <c:crosses val="autoZero"/>
        <c:auto val="1"/>
        <c:lblAlgn val="ctr"/>
        <c:lblOffset val="100"/>
        <c:tickLblSkip val="1"/>
        <c:tickMarkSkip val="1"/>
        <c:noMultiLvlLbl val="0"/>
      </c:catAx>
      <c:valAx>
        <c:axId val="484695632"/>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112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'GL-Sets'!$DD$7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'GL-Sets'!$DD$9:$DD$32</c:f>
              <c:numCache>
                <c:formatCode>0.00</c:formatCode>
                <c:ptCount val="24"/>
              </c:numCache>
            </c:numRef>
          </c:val>
          <c:smooth val="1"/>
          <c:extLst>
            <c:ext xmlns:c16="http://schemas.microsoft.com/office/drawing/2014/chart" uri="{C3380CC4-5D6E-409C-BE32-E72D297353CC}">
              <c16:uniqueId val="{00000000-A982-448F-A45C-2F67B68E7C9D}"/>
            </c:ext>
          </c:extLst>
        </c:ser>
        <c:ser>
          <c:idx val="1"/>
          <c:order val="1"/>
          <c:tx>
            <c:strRef>
              <c:f>'GL-Sets'!$DE$7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'GL-Sets'!$DE$9:$DE$32</c:f>
              <c:numCache>
                <c:formatCode>0.00</c:formatCode>
                <c:ptCount val="24"/>
              </c:numCache>
            </c:numRef>
          </c:val>
          <c:smooth val="1"/>
          <c:extLst>
            <c:ext xmlns:c16="http://schemas.microsoft.com/office/drawing/2014/chart" uri="{C3380CC4-5D6E-409C-BE32-E72D297353CC}">
              <c16:uniqueId val="{00000001-A982-448F-A45C-2F67B68E7C9D}"/>
            </c:ext>
          </c:extLst>
        </c:ser>
        <c:dLbls>
          <c:showLegendKey val="0"/>
          <c:showVal val="0"/>
          <c:showCatName val="0"/>
          <c:showSerName val="0"/>
          <c:showPercent val="0"/>
          <c:showBubbleSize val="0"/>
        </c:dLbls>
        <c:smooth val="0"/>
        <c:axId val="484695240"/>
        <c:axId val="484701904"/>
      </c:lineChart>
      <c:catAx>
        <c:axId val="48469524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1904"/>
        <c:crosses val="autoZero"/>
        <c:auto val="1"/>
        <c:lblAlgn val="ctr"/>
        <c:lblOffset val="100"/>
        <c:tickLblSkip val="1"/>
        <c:tickMarkSkip val="1"/>
        <c:noMultiLvlLbl val="0"/>
      </c:catAx>
      <c:valAx>
        <c:axId val="484701904"/>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524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'GL-Sets'!$DF$9:$DF$32</c:f>
              <c:numCache>
                <c:formatCode>0.00</c:formatCode>
                <c:ptCount val="24"/>
              </c:numCache>
            </c:numRef>
          </c:val>
          <c:smooth val="1"/>
          <c:extLst>
            <c:ext xmlns:c16="http://schemas.microsoft.com/office/drawing/2014/chart" uri="{C3380CC4-5D6E-409C-BE32-E72D297353CC}">
              <c16:uniqueId val="{00000000-D27F-4A8B-8249-2E4A54ABD93A}"/>
            </c:ext>
          </c:extLst>
        </c:ser>
        <c:ser>
          <c:idx val="1"/>
          <c:order val="1"/>
          <c:tx>
            <c:strRef>
              <c:f>'GL-Sets'!$DG$7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'GL-Sets'!$DG$9:$DG$32</c:f>
              <c:numCache>
                <c:formatCode>0.00</c:formatCode>
                <c:ptCount val="24"/>
              </c:numCache>
            </c:numRef>
          </c:val>
          <c:smooth val="1"/>
          <c:extLst>
            <c:ext xmlns:c16="http://schemas.microsoft.com/office/drawing/2014/chart" uri="{C3380CC4-5D6E-409C-BE32-E72D297353CC}">
              <c16:uniqueId val="{00000001-D27F-4A8B-8249-2E4A54ABD93A}"/>
            </c:ext>
          </c:extLst>
        </c:ser>
        <c:dLbls>
          <c:showLegendKey val="0"/>
          <c:showVal val="0"/>
          <c:showCatName val="0"/>
          <c:showSerName val="0"/>
          <c:showPercent val="0"/>
          <c:showBubbleSize val="0"/>
        </c:dLbls>
        <c:smooth val="0"/>
        <c:axId val="484699160"/>
        <c:axId val="484703080"/>
      </c:lineChart>
      <c:catAx>
        <c:axId val="48469916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3080"/>
        <c:crosses val="autoZero"/>
        <c:auto val="1"/>
        <c:lblAlgn val="ctr"/>
        <c:lblOffset val="100"/>
        <c:tickLblSkip val="1"/>
        <c:tickMarkSkip val="1"/>
        <c:noMultiLvlLbl val="0"/>
      </c:catAx>
      <c:valAx>
        <c:axId val="4847030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69916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'GL-Sets'!$DH$9:$DH$32</c:f>
              <c:numCache>
                <c:formatCode>0.00</c:formatCode>
                <c:ptCount val="24"/>
              </c:numCache>
            </c:numRef>
          </c:val>
          <c:smooth val="1"/>
          <c:extLst>
            <c:ext xmlns:c16="http://schemas.microsoft.com/office/drawing/2014/chart" uri="{C3380CC4-5D6E-409C-BE32-E72D297353CC}">
              <c16:uniqueId val="{00000000-4BD4-4739-917D-5FCB9884C9DE}"/>
            </c:ext>
          </c:extLst>
        </c:ser>
        <c:ser>
          <c:idx val="1"/>
          <c:order val="1"/>
          <c:tx>
            <c:strRef>
              <c:f>'GL-Sets'!$DI$7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'GL-Sets'!$DI$9:$DI$32</c:f>
              <c:numCache>
                <c:formatCode>0.00</c:formatCode>
                <c:ptCount val="24"/>
              </c:numCache>
            </c:numRef>
          </c:val>
          <c:smooth val="1"/>
          <c:extLst>
            <c:ext xmlns:c16="http://schemas.microsoft.com/office/drawing/2014/chart" uri="{C3380CC4-5D6E-409C-BE32-E72D297353CC}">
              <c16:uniqueId val="{00000001-4BD4-4739-917D-5FCB9884C9DE}"/>
            </c:ext>
          </c:extLst>
        </c:ser>
        <c:dLbls>
          <c:showLegendKey val="0"/>
          <c:showVal val="0"/>
          <c:showCatName val="0"/>
          <c:showSerName val="0"/>
          <c:showPercent val="0"/>
          <c:showBubbleSize val="0"/>
        </c:dLbls>
        <c:smooth val="0"/>
        <c:axId val="484703472"/>
        <c:axId val="484692104"/>
      </c:lineChart>
      <c:catAx>
        <c:axId val="4847034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692104"/>
        <c:crosses val="autoZero"/>
        <c:auto val="1"/>
        <c:lblAlgn val="ctr"/>
        <c:lblOffset val="100"/>
        <c:tickLblSkip val="1"/>
        <c:tickMarkSkip val="1"/>
        <c:noMultiLvlLbl val="0"/>
      </c:catAx>
      <c:valAx>
        <c:axId val="48469210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34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'GL-Sets'!$DK$7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'GL-Sets'!$DK$9:$DK$32</c:f>
              <c:numCache>
                <c:formatCode>0.00</c:formatCode>
                <c:ptCount val="24"/>
              </c:numCache>
            </c:numRef>
          </c:val>
          <c:smooth val="1"/>
          <c:extLst>
            <c:ext xmlns:c16="http://schemas.microsoft.com/office/drawing/2014/chart" uri="{C3380CC4-5D6E-409C-BE32-E72D297353CC}">
              <c16:uniqueId val="{00000000-1276-435C-A6AC-7DC37F57F198}"/>
            </c:ext>
          </c:extLst>
        </c:ser>
        <c:ser>
          <c:idx val="1"/>
          <c:order val="1"/>
          <c:tx>
            <c:strRef>
              <c:f>'GL-Sets'!$DL$7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'GL-Sets'!$DL$9:$DL$32</c:f>
              <c:numCache>
                <c:formatCode>0.00</c:formatCode>
                <c:ptCount val="24"/>
              </c:numCache>
            </c:numRef>
          </c:val>
          <c:smooth val="1"/>
          <c:extLst>
            <c:ext xmlns:c16="http://schemas.microsoft.com/office/drawing/2014/chart" uri="{C3380CC4-5D6E-409C-BE32-E72D297353CC}">
              <c16:uniqueId val="{00000001-1276-435C-A6AC-7DC37F57F198}"/>
            </c:ext>
          </c:extLst>
        </c:ser>
        <c:dLbls>
          <c:showLegendKey val="0"/>
          <c:showVal val="0"/>
          <c:showCatName val="0"/>
          <c:showSerName val="0"/>
          <c:showPercent val="0"/>
          <c:showBubbleSize val="0"/>
        </c:dLbls>
        <c:smooth val="0"/>
        <c:axId val="484712488"/>
        <c:axId val="484708960"/>
      </c:lineChart>
      <c:catAx>
        <c:axId val="48471248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8960"/>
        <c:crosses val="autoZero"/>
        <c:auto val="1"/>
        <c:lblAlgn val="ctr"/>
        <c:lblOffset val="100"/>
        <c:tickLblSkip val="1"/>
        <c:tickMarkSkip val="1"/>
        <c:noMultiLvlLbl val="0"/>
      </c:catAx>
      <c:valAx>
        <c:axId val="4847089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248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'GL-Sets'!$DM$7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'GL-Sets'!$DM$9:$DM$32</c:f>
              <c:numCache>
                <c:formatCode>0.00</c:formatCode>
                <c:ptCount val="24"/>
              </c:numCache>
            </c:numRef>
          </c:val>
          <c:smooth val="1"/>
          <c:extLst>
            <c:ext xmlns:c16="http://schemas.microsoft.com/office/drawing/2014/chart" uri="{C3380CC4-5D6E-409C-BE32-E72D297353CC}">
              <c16:uniqueId val="{00000000-BD80-4392-A02B-A69782BED3D8}"/>
            </c:ext>
          </c:extLst>
        </c:ser>
        <c:ser>
          <c:idx val="1"/>
          <c:order val="1"/>
          <c:tx>
            <c:strRef>
              <c:f>'GL-Sets'!$DN$7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'GL-Sets'!$DN$9:$DN$32</c:f>
              <c:numCache>
                <c:formatCode>0.00</c:formatCode>
                <c:ptCount val="24"/>
              </c:numCache>
            </c:numRef>
          </c:val>
          <c:smooth val="1"/>
          <c:extLst>
            <c:ext xmlns:c16="http://schemas.microsoft.com/office/drawing/2014/chart" uri="{C3380CC4-5D6E-409C-BE32-E72D297353CC}">
              <c16:uniqueId val="{00000001-BD80-4392-A02B-A69782BED3D8}"/>
            </c:ext>
          </c:extLst>
        </c:ser>
        <c:dLbls>
          <c:showLegendKey val="0"/>
          <c:showVal val="0"/>
          <c:showCatName val="0"/>
          <c:showSerName val="0"/>
          <c:showPercent val="0"/>
          <c:showBubbleSize val="0"/>
        </c:dLbls>
        <c:smooth val="0"/>
        <c:axId val="484711704"/>
        <c:axId val="484714840"/>
      </c:lineChart>
      <c:catAx>
        <c:axId val="48471170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4840"/>
        <c:crosses val="autoZero"/>
        <c:auto val="1"/>
        <c:lblAlgn val="ctr"/>
        <c:lblOffset val="100"/>
        <c:tickLblSkip val="1"/>
        <c:tickMarkSkip val="1"/>
        <c:noMultiLvlLbl val="0"/>
      </c:catAx>
      <c:valAx>
        <c:axId val="48471484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170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'GL-Sets'!$DO$7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'GL-Sets'!$DO$9:$DO$32</c:f>
              <c:numCache>
                <c:formatCode>0.00</c:formatCode>
                <c:ptCount val="24"/>
              </c:numCache>
            </c:numRef>
          </c:val>
          <c:smooth val="1"/>
          <c:extLst>
            <c:ext xmlns:c16="http://schemas.microsoft.com/office/drawing/2014/chart" uri="{C3380CC4-5D6E-409C-BE32-E72D297353CC}">
              <c16:uniqueId val="{00000000-C17C-4317-9084-B9B32881241F}"/>
            </c:ext>
          </c:extLst>
        </c:ser>
        <c:ser>
          <c:idx val="1"/>
          <c:order val="1"/>
          <c:tx>
            <c:strRef>
              <c:f>'GL-Sets'!$DP$7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'GL-Sets'!$DP$9:$DP$32</c:f>
              <c:numCache>
                <c:formatCode>0.00</c:formatCode>
                <c:ptCount val="24"/>
              </c:numCache>
            </c:numRef>
          </c:val>
          <c:smooth val="1"/>
          <c:extLst>
            <c:ext xmlns:c16="http://schemas.microsoft.com/office/drawing/2014/chart" uri="{C3380CC4-5D6E-409C-BE32-E72D297353CC}">
              <c16:uniqueId val="{00000001-C17C-4317-9084-B9B32881241F}"/>
            </c:ext>
          </c:extLst>
        </c:ser>
        <c:dLbls>
          <c:showLegendKey val="0"/>
          <c:showVal val="0"/>
          <c:showCatName val="0"/>
          <c:showSerName val="0"/>
          <c:showPercent val="0"/>
          <c:showBubbleSize val="0"/>
        </c:dLbls>
        <c:smooth val="0"/>
        <c:axId val="484705824"/>
        <c:axId val="484712880"/>
      </c:lineChart>
      <c:catAx>
        <c:axId val="48470582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2880"/>
        <c:crosses val="autoZero"/>
        <c:auto val="1"/>
        <c:lblAlgn val="ctr"/>
        <c:lblOffset val="100"/>
        <c:tickLblSkip val="1"/>
        <c:tickMarkSkip val="1"/>
        <c:noMultiLvlLbl val="0"/>
      </c:catAx>
      <c:valAx>
        <c:axId val="484712880"/>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582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'GL-Sets'!$DR$7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'GL-Sets'!$DR$9:$DR$32</c:f>
              <c:numCache>
                <c:formatCode>0.00</c:formatCode>
                <c:ptCount val="24"/>
              </c:numCache>
            </c:numRef>
          </c:val>
          <c:smooth val="1"/>
          <c:extLst>
            <c:ext xmlns:c16="http://schemas.microsoft.com/office/drawing/2014/chart" uri="{C3380CC4-5D6E-409C-BE32-E72D297353CC}">
              <c16:uniqueId val="{00000000-ED6B-4197-8EA6-FD245778AF50}"/>
            </c:ext>
          </c:extLst>
        </c:ser>
        <c:ser>
          <c:idx val="1"/>
          <c:order val="1"/>
          <c:tx>
            <c:strRef>
              <c:f>'GL-Sets'!$DS$7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'GL-Sets'!$DS$9:$DS$32</c:f>
              <c:numCache>
                <c:formatCode>0.00</c:formatCode>
                <c:ptCount val="24"/>
              </c:numCache>
            </c:numRef>
          </c:val>
          <c:smooth val="1"/>
          <c:extLst>
            <c:ext xmlns:c16="http://schemas.microsoft.com/office/drawing/2014/chart" uri="{C3380CC4-5D6E-409C-BE32-E72D297353CC}">
              <c16:uniqueId val="{00000001-ED6B-4197-8EA6-FD245778AF50}"/>
            </c:ext>
          </c:extLst>
        </c:ser>
        <c:dLbls>
          <c:showLegendKey val="0"/>
          <c:showVal val="0"/>
          <c:showCatName val="0"/>
          <c:showSerName val="0"/>
          <c:showPercent val="0"/>
          <c:showBubbleSize val="0"/>
        </c:dLbls>
        <c:smooth val="0"/>
        <c:axId val="484716408"/>
        <c:axId val="484714448"/>
      </c:lineChart>
      <c:catAx>
        <c:axId val="48471640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4448"/>
        <c:crosses val="autoZero"/>
        <c:auto val="1"/>
        <c:lblAlgn val="ctr"/>
        <c:lblOffset val="100"/>
        <c:tickLblSkip val="1"/>
        <c:tickMarkSkip val="1"/>
        <c:noMultiLvlLbl val="0"/>
      </c:catAx>
      <c:valAx>
        <c:axId val="484714448"/>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6408"/>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'GL-Sets'!$DT$7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'GL-Sets'!$DT$9:$DT$32</c:f>
              <c:numCache>
                <c:formatCode>0.00</c:formatCode>
                <c:ptCount val="24"/>
              </c:numCache>
            </c:numRef>
          </c:val>
          <c:smooth val="1"/>
          <c:extLst>
            <c:ext xmlns:c16="http://schemas.microsoft.com/office/drawing/2014/chart" uri="{C3380CC4-5D6E-409C-BE32-E72D297353CC}">
              <c16:uniqueId val="{00000000-8F77-44BC-8975-557CDA59633E}"/>
            </c:ext>
          </c:extLst>
        </c:ser>
        <c:ser>
          <c:idx val="1"/>
          <c:order val="1"/>
          <c:tx>
            <c:strRef>
              <c:f>'GL-Sets'!$DU$7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'GL-Sets'!$DU$9:$DU$32</c:f>
              <c:numCache>
                <c:formatCode>0.00</c:formatCode>
                <c:ptCount val="24"/>
              </c:numCache>
            </c:numRef>
          </c:val>
          <c:smooth val="1"/>
          <c:extLst>
            <c:ext xmlns:c16="http://schemas.microsoft.com/office/drawing/2014/chart" uri="{C3380CC4-5D6E-409C-BE32-E72D297353CC}">
              <c16:uniqueId val="{00000001-8F77-44BC-8975-557CDA59633E}"/>
            </c:ext>
          </c:extLst>
        </c:ser>
        <c:dLbls>
          <c:showLegendKey val="0"/>
          <c:showVal val="0"/>
          <c:showCatName val="0"/>
          <c:showSerName val="0"/>
          <c:showPercent val="0"/>
          <c:showBubbleSize val="0"/>
        </c:dLbls>
        <c:smooth val="0"/>
        <c:axId val="484707784"/>
        <c:axId val="484715624"/>
      </c:lineChart>
      <c:catAx>
        <c:axId val="48470778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5624"/>
        <c:crosses val="autoZero"/>
        <c:auto val="1"/>
        <c:lblAlgn val="ctr"/>
        <c:lblOffset val="100"/>
        <c:tickLblSkip val="1"/>
        <c:tickMarkSkip val="1"/>
        <c:noMultiLvlLbl val="0"/>
      </c:catAx>
      <c:valAx>
        <c:axId val="48471562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778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'GL-Sets'!$DV$7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'GL-Sets'!$DV$9:$DV$32</c:f>
              <c:numCache>
                <c:formatCode>0.00</c:formatCode>
                <c:ptCount val="24"/>
              </c:numCache>
            </c:numRef>
          </c:val>
          <c:smooth val="1"/>
          <c:extLst>
            <c:ext xmlns:c16="http://schemas.microsoft.com/office/drawing/2014/chart" uri="{C3380CC4-5D6E-409C-BE32-E72D297353CC}">
              <c16:uniqueId val="{00000000-616B-408C-A518-457A9007730A}"/>
            </c:ext>
          </c:extLst>
        </c:ser>
        <c:ser>
          <c:idx val="1"/>
          <c:order val="1"/>
          <c:tx>
            <c:strRef>
              <c:f>'GL-Sets'!$DW$7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'GL-Sets'!$DW$9:$DW$32</c:f>
              <c:numCache>
                <c:formatCode>0.00</c:formatCode>
                <c:ptCount val="24"/>
              </c:numCache>
            </c:numRef>
          </c:val>
          <c:smooth val="1"/>
          <c:extLst>
            <c:ext xmlns:c16="http://schemas.microsoft.com/office/drawing/2014/chart" uri="{C3380CC4-5D6E-409C-BE32-E72D297353CC}">
              <c16:uniqueId val="{00000001-616B-408C-A518-457A9007730A}"/>
            </c:ext>
          </c:extLst>
        </c:ser>
        <c:dLbls>
          <c:showLegendKey val="0"/>
          <c:showVal val="0"/>
          <c:showCatName val="0"/>
          <c:showSerName val="0"/>
          <c:showPercent val="0"/>
          <c:showBubbleSize val="0"/>
        </c:dLbls>
        <c:smooth val="0"/>
        <c:axId val="484707000"/>
        <c:axId val="484708568"/>
      </c:lineChart>
      <c:catAx>
        <c:axId val="48470700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08568"/>
        <c:crosses val="autoZero"/>
        <c:auto val="1"/>
        <c:lblAlgn val="ctr"/>
        <c:lblOffset val="100"/>
        <c:tickLblSkip val="1"/>
        <c:tickMarkSkip val="1"/>
        <c:noMultiLvlLbl val="0"/>
      </c:catAx>
      <c:valAx>
        <c:axId val="48470856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07000"/>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'GL-Sets'!$DY$7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'GL-Sets'!$DY$9:$DY$32</c:f>
              <c:numCache>
                <c:formatCode>0.00</c:formatCode>
                <c:ptCount val="24"/>
              </c:numCache>
            </c:numRef>
          </c:val>
          <c:smooth val="1"/>
          <c:extLst>
            <c:ext xmlns:c16="http://schemas.microsoft.com/office/drawing/2014/chart" uri="{C3380CC4-5D6E-409C-BE32-E72D297353CC}">
              <c16:uniqueId val="{00000000-E71F-4A63-A917-6E560B1F5746}"/>
            </c:ext>
          </c:extLst>
        </c:ser>
        <c:ser>
          <c:idx val="1"/>
          <c:order val="1"/>
          <c:tx>
            <c:strRef>
              <c:f>'GL-Sets'!$DZ$7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'GL-Sets'!$DZ$9:$DZ$32</c:f>
              <c:numCache>
                <c:formatCode>0.00</c:formatCode>
                <c:ptCount val="24"/>
              </c:numCache>
            </c:numRef>
          </c:val>
          <c:smooth val="1"/>
          <c:extLst>
            <c:ext xmlns:c16="http://schemas.microsoft.com/office/drawing/2014/chart" uri="{C3380CC4-5D6E-409C-BE32-E72D297353CC}">
              <c16:uniqueId val="{00000001-E71F-4A63-A917-6E560B1F5746}"/>
            </c:ext>
          </c:extLst>
        </c:ser>
        <c:dLbls>
          <c:showLegendKey val="0"/>
          <c:showVal val="0"/>
          <c:showCatName val="0"/>
          <c:showSerName val="0"/>
          <c:showPercent val="0"/>
          <c:showBubbleSize val="0"/>
        </c:dLbls>
        <c:smooth val="0"/>
        <c:axId val="484711312"/>
        <c:axId val="484719152"/>
      </c:lineChart>
      <c:catAx>
        <c:axId val="48471131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19152"/>
        <c:crosses val="autoZero"/>
        <c:auto val="1"/>
        <c:lblAlgn val="ctr"/>
        <c:lblOffset val="100"/>
        <c:tickLblSkip val="1"/>
        <c:tickMarkSkip val="1"/>
        <c:noMultiLvlLbl val="0"/>
      </c:catAx>
      <c:valAx>
        <c:axId val="484719152"/>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1312"/>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'GL-Sets'!$EA$7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'GL-Sets'!$EA$9:$EA$32</c:f>
              <c:numCache>
                <c:formatCode>0.00</c:formatCode>
                <c:ptCount val="24"/>
              </c:numCache>
            </c:numRef>
          </c:val>
          <c:smooth val="1"/>
          <c:extLst>
            <c:ext xmlns:c16="http://schemas.microsoft.com/office/drawing/2014/chart" uri="{C3380CC4-5D6E-409C-BE32-E72D297353CC}">
              <c16:uniqueId val="{00000000-1E5E-4D69-98C2-9F21B6CCF737}"/>
            </c:ext>
          </c:extLst>
        </c:ser>
        <c:ser>
          <c:idx val="1"/>
          <c:order val="1"/>
          <c:tx>
            <c:strRef>
              <c:f>'GL-Sets'!$EB$7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'GL-Sets'!$EB$9:$EB$32</c:f>
              <c:numCache>
                <c:formatCode>0.00</c:formatCode>
                <c:ptCount val="24"/>
              </c:numCache>
            </c:numRef>
          </c:val>
          <c:smooth val="1"/>
          <c:extLst>
            <c:ext xmlns:c16="http://schemas.microsoft.com/office/drawing/2014/chart" uri="{C3380CC4-5D6E-409C-BE32-E72D297353CC}">
              <c16:uniqueId val="{00000001-1E5E-4D69-98C2-9F21B6CCF737}"/>
            </c:ext>
          </c:extLst>
        </c:ser>
        <c:dLbls>
          <c:showLegendKey val="0"/>
          <c:showVal val="0"/>
          <c:showCatName val="0"/>
          <c:showSerName val="0"/>
          <c:showPercent val="0"/>
          <c:showBubbleSize val="0"/>
        </c:dLbls>
        <c:smooth val="0"/>
        <c:axId val="484719544"/>
        <c:axId val="484726208"/>
      </c:lineChart>
      <c:catAx>
        <c:axId val="484719544"/>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6208"/>
        <c:crosses val="autoZero"/>
        <c:auto val="1"/>
        <c:lblAlgn val="ctr"/>
        <c:lblOffset val="100"/>
        <c:tickLblSkip val="1"/>
        <c:tickMarkSkip val="1"/>
        <c:noMultiLvlLbl val="0"/>
      </c:catAx>
      <c:valAx>
        <c:axId val="48472620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9544"/>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'GL-Sets'!$EC$7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'GL-Sets'!$EC$9:$EC$32</c:f>
              <c:numCache>
                <c:formatCode>0.00</c:formatCode>
                <c:ptCount val="24"/>
              </c:numCache>
            </c:numRef>
          </c:val>
          <c:smooth val="1"/>
          <c:extLst>
            <c:ext xmlns:c16="http://schemas.microsoft.com/office/drawing/2014/chart" uri="{C3380CC4-5D6E-409C-BE32-E72D297353CC}">
              <c16:uniqueId val="{00000000-4CC0-49E7-9503-E82BCB4F08F3}"/>
            </c:ext>
          </c:extLst>
        </c:ser>
        <c:ser>
          <c:idx val="1"/>
          <c:order val="1"/>
          <c:tx>
            <c:strRef>
              <c:f>'GL-Sets'!$ED$7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'GL-Sets'!$ED$9:$ED$32</c:f>
              <c:numCache>
                <c:formatCode>0.00</c:formatCode>
                <c:ptCount val="24"/>
              </c:numCache>
            </c:numRef>
          </c:val>
          <c:smooth val="1"/>
          <c:extLst>
            <c:ext xmlns:c16="http://schemas.microsoft.com/office/drawing/2014/chart" uri="{C3380CC4-5D6E-409C-BE32-E72D297353CC}">
              <c16:uniqueId val="{00000001-4CC0-49E7-9503-E82BCB4F08F3}"/>
            </c:ext>
          </c:extLst>
        </c:ser>
        <c:dLbls>
          <c:showLegendKey val="0"/>
          <c:showVal val="0"/>
          <c:showCatName val="0"/>
          <c:showSerName val="0"/>
          <c:showPercent val="0"/>
          <c:showBubbleSize val="0"/>
        </c:dLbls>
        <c:smooth val="0"/>
        <c:axId val="484719936"/>
        <c:axId val="484720328"/>
      </c:lineChart>
      <c:catAx>
        <c:axId val="484719936"/>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0328"/>
        <c:crosses val="autoZero"/>
        <c:auto val="1"/>
        <c:lblAlgn val="ctr"/>
        <c:lblOffset val="100"/>
        <c:tickLblSkip val="1"/>
        <c:tickMarkSkip val="1"/>
        <c:noMultiLvlLbl val="0"/>
      </c:catAx>
      <c:valAx>
        <c:axId val="484720328"/>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19936"/>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276595744680847E-2"/>
          <c:w val="0.81728880157170969"/>
          <c:h val="0.72948328267477391"/>
        </c:manualLayout>
      </c:layout>
      <c:lineChart>
        <c:grouping val="standard"/>
        <c:varyColors val="0"/>
        <c:ser>
          <c:idx val="0"/>
          <c:order val="0"/>
          <c:tx>
            <c:strRef>
              <c:f>'GL-Sets'!$EF$7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'GL-Sets'!$EF$9:$EF$32</c:f>
              <c:numCache>
                <c:formatCode>0.00</c:formatCode>
                <c:ptCount val="24"/>
              </c:numCache>
            </c:numRef>
          </c:val>
          <c:smooth val="1"/>
          <c:extLst>
            <c:ext xmlns:c16="http://schemas.microsoft.com/office/drawing/2014/chart" uri="{C3380CC4-5D6E-409C-BE32-E72D297353CC}">
              <c16:uniqueId val="{00000000-BF6B-4FD8-BEB3-0F4A0E66C526}"/>
            </c:ext>
          </c:extLst>
        </c:ser>
        <c:ser>
          <c:idx val="1"/>
          <c:order val="1"/>
          <c:tx>
            <c:strRef>
              <c:f>'GL-Sets'!$EG$7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'GL-Sets'!$EG$9:$EG$32</c:f>
              <c:numCache>
                <c:formatCode>0.00</c:formatCode>
                <c:ptCount val="24"/>
              </c:numCache>
            </c:numRef>
          </c:val>
          <c:smooth val="1"/>
          <c:extLst>
            <c:ext xmlns:c16="http://schemas.microsoft.com/office/drawing/2014/chart" uri="{C3380CC4-5D6E-409C-BE32-E72D297353CC}">
              <c16:uniqueId val="{00000001-BF6B-4FD8-BEB3-0F4A0E66C526}"/>
            </c:ext>
          </c:extLst>
        </c:ser>
        <c:dLbls>
          <c:showLegendKey val="0"/>
          <c:showVal val="0"/>
          <c:showCatName val="0"/>
          <c:showSerName val="0"/>
          <c:showPercent val="0"/>
          <c:showBubbleSize val="0"/>
        </c:dLbls>
        <c:smooth val="0"/>
        <c:axId val="484722680"/>
        <c:axId val="484728560"/>
      </c:lineChart>
      <c:catAx>
        <c:axId val="484722680"/>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8560"/>
        <c:crosses val="autoZero"/>
        <c:auto val="1"/>
        <c:lblAlgn val="ctr"/>
        <c:lblOffset val="100"/>
        <c:tickLblSkip val="1"/>
        <c:tickMarkSkip val="1"/>
        <c:noMultiLvlLbl val="0"/>
      </c:catAx>
      <c:valAx>
        <c:axId val="484728560"/>
        <c:scaling>
          <c:orientation val="minMax"/>
        </c:scaling>
        <c:delete val="0"/>
        <c:axPos val="l"/>
        <c:majorGridlines>
          <c:spPr>
            <a:ln w="3175">
              <a:solidFill>
                <a:srgbClr val="000000"/>
              </a:solidFill>
              <a:prstDash val="solid"/>
            </a:ln>
          </c:spPr>
        </c:majorGridlines>
        <c:title>
          <c:tx>
            <c:rich>
              <a:bodyPr/>
              <a:lstStyle/>
              <a:p>
                <a:pPr>
                  <a:defRPr b="1"/>
                </a:pPr>
                <a:r>
                  <a:rPr lang="de-DE" b="1"/>
                  <a:t>Anteilswerte [in %]</a:t>
                </a:r>
              </a:p>
            </c:rich>
          </c:tx>
          <c:layout>
            <c:manualLayout>
              <c:xMode val="edge"/>
              <c:yMode val="edge"/>
              <c:x val="3.9533539320243199E-2"/>
              <c:y val="0.17914631259327929"/>
            </c:manualLayout>
          </c:layout>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2680"/>
        <c:crosses val="autoZero"/>
        <c:crossBetween val="between"/>
      </c:valAx>
      <c:spPr>
        <a:noFill/>
        <a:ln w="12700">
          <a:solidFill>
            <a:srgbClr val="000000"/>
          </a:solidFill>
          <a:prstDash val="solid"/>
        </a:ln>
      </c:spPr>
    </c:plotArea>
    <c:plotVisOnly val="1"/>
    <c:dispBlanksAs val="gap"/>
    <c:showDLblsOverMax val="0"/>
  </c:chart>
  <c:spPr>
    <a:solidFill>
      <a:srgbClr val="FFFFFF"/>
    </a:solidFill>
    <a:ln w="3175">
      <a:noFill/>
      <a:prstDash val="solid"/>
    </a:ln>
  </c:spPr>
  <c:txPr>
    <a:bodyPr/>
    <a:lstStyle/>
    <a:p>
      <a:pPr>
        <a:defRPr sz="1000" b="0" i="0" u="none" strike="noStrike" baseline="0">
          <a:solidFill>
            <a:srgbClr val="000000"/>
          </a:solidFill>
          <a:latin typeface="Arial Narrow"/>
          <a:ea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34774066797693"/>
          <c:y val="2.1472465001087782E-2"/>
          <c:w val="0.81728880157170969"/>
          <c:h val="0.72699631503682915"/>
        </c:manualLayout>
      </c:layout>
      <c:lineChart>
        <c:grouping val="standard"/>
        <c:varyColors val="0"/>
        <c:ser>
          <c:idx val="0"/>
          <c:order val="0"/>
          <c:tx>
            <c:strRef>
              <c:f>'GL-Sets'!$EH$7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'GL-Sets'!$EH$9:$EH$32</c:f>
              <c:numCache>
                <c:formatCode>0.00</c:formatCode>
                <c:ptCount val="24"/>
              </c:numCache>
            </c:numRef>
          </c:val>
          <c:smooth val="1"/>
          <c:extLst>
            <c:ext xmlns:c16="http://schemas.microsoft.com/office/drawing/2014/chart" uri="{C3380CC4-5D6E-409C-BE32-E72D297353CC}">
              <c16:uniqueId val="{00000000-0E18-4D14-9448-82744BC37DFE}"/>
            </c:ext>
          </c:extLst>
        </c:ser>
        <c:ser>
          <c:idx val="1"/>
          <c:order val="1"/>
          <c:tx>
            <c:strRef>
              <c:f>'GL-Sets'!$EI$7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'GL-Sets'!$EI$9:$EI$32</c:f>
              <c:numCache>
                <c:formatCode>0.00</c:formatCode>
                <c:ptCount val="24"/>
              </c:numCache>
            </c:numRef>
          </c:val>
          <c:smooth val="1"/>
          <c:extLst>
            <c:ext xmlns:c16="http://schemas.microsoft.com/office/drawing/2014/chart" uri="{C3380CC4-5D6E-409C-BE32-E72D297353CC}">
              <c16:uniqueId val="{00000001-0E18-4D14-9448-82744BC37DFE}"/>
            </c:ext>
          </c:extLst>
        </c:ser>
        <c:dLbls>
          <c:showLegendKey val="0"/>
          <c:showVal val="0"/>
          <c:showCatName val="0"/>
          <c:showSerName val="0"/>
          <c:showPercent val="0"/>
          <c:showBubbleSize val="0"/>
        </c:dLbls>
        <c:smooth val="0"/>
        <c:axId val="484724248"/>
        <c:axId val="484729344"/>
      </c:lineChart>
      <c:catAx>
        <c:axId val="484724248"/>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9344"/>
        <c:crosses val="autoZero"/>
        <c:auto val="1"/>
        <c:lblAlgn val="ctr"/>
        <c:lblOffset val="100"/>
        <c:tickLblSkip val="1"/>
        <c:tickMarkSkip val="1"/>
        <c:noMultiLvlLbl val="0"/>
      </c:catAx>
      <c:valAx>
        <c:axId val="48472934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4248"/>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charts/chart8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763825647485321"/>
          <c:y val="1.8404970000932431E-2"/>
          <c:w val="0.81299466565485923"/>
          <c:h val="0.73006381003698462"/>
        </c:manualLayout>
      </c:layout>
      <c:lineChart>
        <c:grouping val="standard"/>
        <c:varyColors val="0"/>
        <c:ser>
          <c:idx val="0"/>
          <c:order val="0"/>
          <c:tx>
            <c:strRef>
              <c:f>'GL-Sets'!$EJ$7</c:f>
              <c:strCache>
                <c:ptCount val="1"/>
                <c:pt idx="0">
                  <c:v>Quellverkehr</c:v>
                </c:pt>
              </c:strCache>
            </c:strRef>
          </c:tx>
          <c:spPr>
            <a:ln w="25400">
              <a:solidFill>
                <a:srgbClr val="0000FF"/>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'GL-Sets'!$EJ$9:$EJ$32</c:f>
              <c:numCache>
                <c:formatCode>0.00</c:formatCode>
                <c:ptCount val="24"/>
              </c:numCache>
            </c:numRef>
          </c:val>
          <c:smooth val="1"/>
          <c:extLst>
            <c:ext xmlns:c16="http://schemas.microsoft.com/office/drawing/2014/chart" uri="{C3380CC4-5D6E-409C-BE32-E72D297353CC}">
              <c16:uniqueId val="{00000000-BEF2-4C20-8B1D-7A057C1B39C5}"/>
            </c:ext>
          </c:extLst>
        </c:ser>
        <c:ser>
          <c:idx val="1"/>
          <c:order val="1"/>
          <c:tx>
            <c:strRef>
              <c:f>'GL-Sets'!$EK$7</c:f>
              <c:strCache>
                <c:ptCount val="1"/>
                <c:pt idx="0">
                  <c:v>Zielverkehr </c:v>
                </c:pt>
              </c:strCache>
            </c:strRef>
          </c:tx>
          <c:spPr>
            <a:ln w="25400">
              <a:solidFill>
                <a:srgbClr val="008000"/>
              </a:solidFill>
              <a:prstDash val="solid"/>
            </a:ln>
          </c:spPr>
          <c:marker>
            <c:symbol val="none"/>
          </c:marker>
          <c:cat>
            <c:strRef>
              <c:f>'GL-Sets'!$A$9:$A$32</c:f>
              <c:strCache>
                <c:ptCount val="24"/>
                <c:pt idx="0">
                  <c:v>00:00 - 01:00</c:v>
                </c:pt>
                <c:pt idx="1">
                  <c:v>01:00 - 02:00</c:v>
                </c:pt>
                <c:pt idx="2">
                  <c:v>02:00 - 03:00</c:v>
                </c:pt>
                <c:pt idx="3">
                  <c:v>03:00 - 04:00</c:v>
                </c:pt>
                <c:pt idx="4">
                  <c:v>04:00 - 05:00</c:v>
                </c:pt>
                <c:pt idx="5">
                  <c:v>05:00 - 06:00</c:v>
                </c:pt>
                <c:pt idx="6">
                  <c:v>06:00 - 07:00</c:v>
                </c:pt>
                <c:pt idx="7">
                  <c:v>07:00 - 08:00</c:v>
                </c:pt>
                <c:pt idx="8">
                  <c:v>08:00 - 09:00</c:v>
                </c:pt>
                <c:pt idx="9">
                  <c:v>09:00 - 10:00</c:v>
                </c:pt>
                <c:pt idx="10">
                  <c:v>10:00 - 11:00</c:v>
                </c:pt>
                <c:pt idx="11">
                  <c:v>11:00 - 12:00</c:v>
                </c:pt>
                <c:pt idx="12">
                  <c:v>12:00 - 13:00</c:v>
                </c:pt>
                <c:pt idx="13">
                  <c:v>13:00 - 14:00</c:v>
                </c:pt>
                <c:pt idx="14">
                  <c:v>14:00 - 15:00</c:v>
                </c:pt>
                <c:pt idx="15">
                  <c:v>15:00 - 16:00</c:v>
                </c:pt>
                <c:pt idx="16">
                  <c:v>16:00 - 17:00</c:v>
                </c:pt>
                <c:pt idx="17">
                  <c:v>17:00 - 18:00</c:v>
                </c:pt>
                <c:pt idx="18">
                  <c:v>18:00 - 19:00</c:v>
                </c:pt>
                <c:pt idx="19">
                  <c:v>19:00 - 20:00</c:v>
                </c:pt>
                <c:pt idx="20">
                  <c:v>20:00 - 21:00</c:v>
                </c:pt>
                <c:pt idx="21">
                  <c:v>21:00 - 22:00</c:v>
                </c:pt>
                <c:pt idx="22">
                  <c:v>22:00 - 23:00</c:v>
                </c:pt>
                <c:pt idx="23">
                  <c:v>23:00 - 24:00</c:v>
                </c:pt>
              </c:strCache>
            </c:strRef>
          </c:cat>
          <c:val>
            <c:numRef>
              <c:f>'GL-Sets'!$EK$9:$EK$32</c:f>
              <c:numCache>
                <c:formatCode>0.00</c:formatCode>
                <c:ptCount val="24"/>
              </c:numCache>
            </c:numRef>
          </c:val>
          <c:smooth val="1"/>
          <c:extLst>
            <c:ext xmlns:c16="http://schemas.microsoft.com/office/drawing/2014/chart" uri="{C3380CC4-5D6E-409C-BE32-E72D297353CC}">
              <c16:uniqueId val="{00000001-BEF2-4C20-8B1D-7A057C1B39C5}"/>
            </c:ext>
          </c:extLst>
        </c:ser>
        <c:dLbls>
          <c:showLegendKey val="0"/>
          <c:showVal val="0"/>
          <c:showCatName val="0"/>
          <c:showSerName val="0"/>
          <c:showPercent val="0"/>
          <c:showBubbleSize val="0"/>
        </c:dLbls>
        <c:smooth val="0"/>
        <c:axId val="484723072"/>
        <c:axId val="484723464"/>
      </c:lineChart>
      <c:catAx>
        <c:axId val="484723072"/>
        <c:scaling>
          <c:orientation val="minMax"/>
        </c:scaling>
        <c:delete val="0"/>
        <c:axPos val="b"/>
        <c:numFmt formatCode="General" sourceLinked="1"/>
        <c:majorTickMark val="out"/>
        <c:minorTickMark val="none"/>
        <c:tickLblPos val="low"/>
        <c:spPr>
          <a:ln w="3175">
            <a:solidFill>
              <a:srgbClr val="808080"/>
            </a:solidFill>
            <a:prstDash val="solid"/>
          </a:ln>
        </c:spPr>
        <c:txPr>
          <a:bodyPr/>
          <a:lstStyle/>
          <a:p>
            <a:pPr>
              <a:defRPr sz="800"/>
            </a:pPr>
            <a:endParaRPr lang="en-DE"/>
          </a:p>
        </c:txPr>
        <c:crossAx val="484723464"/>
        <c:crosses val="autoZero"/>
        <c:auto val="1"/>
        <c:lblAlgn val="ctr"/>
        <c:lblOffset val="100"/>
        <c:tickLblSkip val="1"/>
        <c:tickMarkSkip val="1"/>
        <c:noMultiLvlLbl val="0"/>
      </c:catAx>
      <c:valAx>
        <c:axId val="484723464"/>
        <c:scaling>
          <c:orientation val="minMax"/>
        </c:scaling>
        <c:delete val="0"/>
        <c:axPos val="l"/>
        <c:majorGridlines>
          <c:spPr>
            <a:ln w="3175">
              <a:solidFill>
                <a:srgbClr val="000000"/>
              </a:solidFill>
              <a:prstDash val="solid"/>
            </a:ln>
          </c:spPr>
        </c:majorGridlines>
        <c:title>
          <c:tx>
            <c:rich>
              <a:bodyPr/>
              <a:lstStyle/>
              <a:p>
                <a:pPr>
                  <a:defRPr/>
                </a:pPr>
                <a:r>
                  <a:rPr lang="de-DE"/>
                  <a:t>Anteilswerte [in %]</a:t>
                </a:r>
              </a:p>
            </c:rich>
          </c:tx>
          <c:overlay val="0"/>
          <c:spPr>
            <a:noFill/>
            <a:ln w="25400">
              <a:noFill/>
            </a:ln>
          </c:spPr>
        </c:title>
        <c:numFmt formatCode="0.00" sourceLinked="1"/>
        <c:majorTickMark val="out"/>
        <c:minorTickMark val="none"/>
        <c:tickLblPos val="nextTo"/>
        <c:spPr>
          <a:ln w="3175">
            <a:solidFill>
              <a:srgbClr val="808080"/>
            </a:solidFill>
            <a:prstDash val="solid"/>
          </a:ln>
        </c:spPr>
        <c:txPr>
          <a:bodyPr/>
          <a:lstStyle/>
          <a:p>
            <a:pPr>
              <a:defRPr sz="800"/>
            </a:pPr>
            <a:endParaRPr lang="en-DE"/>
          </a:p>
        </c:txPr>
        <c:crossAx val="484723072"/>
        <c:crosses val="autoZero"/>
        <c:crossBetween val="between"/>
      </c:valAx>
      <c:spPr>
        <a:noFill/>
        <a:ln w="12700">
          <a:solidFill>
            <a:srgbClr val="000000"/>
          </a:solidFill>
          <a:prstDash val="solid"/>
        </a:ln>
      </c:spPr>
    </c:plotArea>
    <c:plotVisOnly val="1"/>
    <c:dispBlanksAs val="gap"/>
    <c:showDLblsOverMax val="0"/>
  </c:chart>
  <c:spPr>
    <a:solidFill>
      <a:schemeClr val="bg1"/>
    </a:solidFill>
    <a:ln w="3175">
      <a:noFill/>
      <a:prstDash val="solid"/>
    </a:ln>
  </c:spPr>
  <c:txPr>
    <a:bodyPr/>
    <a:lstStyle/>
    <a:p>
      <a:pPr>
        <a:defRPr>
          <a:latin typeface="Arial Narrow"/>
          <a:cs typeface="Arial Narrow"/>
        </a:defRPr>
      </a:pPr>
      <a:endParaRPr lang="en-DE"/>
    </a:p>
  </c:txPr>
  <c:printSettings>
    <c:headerFooter alignWithMargins="0"/>
    <c:pageMargins b="0.98425196899999956" l="0.78740157499999996" r="0.78740157499999996" t="0.98425196899999956" header="0.49212598450000072" footer="0.4921259845000007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5" Type="http://schemas.openxmlformats.org/officeDocument/2006/relationships/chart" Target="../charts/chart32.xml"/><Relationship Id="rId4" Type="http://schemas.openxmlformats.org/officeDocument/2006/relationships/chart" Target="../charts/chart3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6" Type="http://schemas.openxmlformats.org/officeDocument/2006/relationships/chart" Target="../charts/chart39.xml"/><Relationship Id="rId5" Type="http://schemas.openxmlformats.org/officeDocument/2006/relationships/chart" Target="../charts/chart38.xml"/><Relationship Id="rId4" Type="http://schemas.openxmlformats.org/officeDocument/2006/relationships/chart" Target="../charts/chart3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2.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6" Type="http://schemas.openxmlformats.org/officeDocument/2006/relationships/chart" Target="../charts/chart51.xml"/><Relationship Id="rId5" Type="http://schemas.openxmlformats.org/officeDocument/2006/relationships/chart" Target="../charts/chart50.xml"/><Relationship Id="rId4" Type="http://schemas.openxmlformats.org/officeDocument/2006/relationships/chart" Target="../charts/chart49.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6" Type="http://schemas.openxmlformats.org/officeDocument/2006/relationships/chart" Target="../charts/chart57.xml"/><Relationship Id="rId5" Type="http://schemas.openxmlformats.org/officeDocument/2006/relationships/chart" Target="../charts/chart56.xml"/><Relationship Id="rId4" Type="http://schemas.openxmlformats.org/officeDocument/2006/relationships/chart" Target="../charts/chart5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6" Type="http://schemas.openxmlformats.org/officeDocument/2006/relationships/chart" Target="../charts/chart63.xml"/><Relationship Id="rId5" Type="http://schemas.openxmlformats.org/officeDocument/2006/relationships/chart" Target="../charts/chart62.xml"/><Relationship Id="rId4" Type="http://schemas.openxmlformats.org/officeDocument/2006/relationships/chart" Target="../charts/chart61.xml"/></Relationships>
</file>

<file path=xl/drawings/_rels/drawing12.xml.rels><?xml version="1.0" encoding="UTF-8" standalone="yes"?>
<Relationships xmlns="http://schemas.openxmlformats.org/package/2006/relationships"><Relationship Id="rId117" Type="http://schemas.openxmlformats.org/officeDocument/2006/relationships/chart" Target="../charts/chart180.xml"/><Relationship Id="rId671" Type="http://schemas.openxmlformats.org/officeDocument/2006/relationships/chart" Target="../charts/chart734.xml"/><Relationship Id="rId769" Type="http://schemas.openxmlformats.org/officeDocument/2006/relationships/chart" Target="../charts/chart832.xml"/><Relationship Id="rId21" Type="http://schemas.openxmlformats.org/officeDocument/2006/relationships/chart" Target="../charts/chart84.xml"/><Relationship Id="rId324" Type="http://schemas.openxmlformats.org/officeDocument/2006/relationships/chart" Target="../charts/chart387.xml"/><Relationship Id="rId531" Type="http://schemas.openxmlformats.org/officeDocument/2006/relationships/chart" Target="../charts/chart594.xml"/><Relationship Id="rId629" Type="http://schemas.openxmlformats.org/officeDocument/2006/relationships/chart" Target="../charts/chart692.xml"/><Relationship Id="rId170" Type="http://schemas.openxmlformats.org/officeDocument/2006/relationships/chart" Target="../charts/chart233.xml"/><Relationship Id="rId268" Type="http://schemas.openxmlformats.org/officeDocument/2006/relationships/chart" Target="../charts/chart331.xml"/><Relationship Id="rId475" Type="http://schemas.openxmlformats.org/officeDocument/2006/relationships/chart" Target="../charts/chart538.xml"/><Relationship Id="rId682" Type="http://schemas.openxmlformats.org/officeDocument/2006/relationships/chart" Target="../charts/chart745.xml"/><Relationship Id="rId32" Type="http://schemas.openxmlformats.org/officeDocument/2006/relationships/chart" Target="../charts/chart95.xml"/><Relationship Id="rId128" Type="http://schemas.openxmlformats.org/officeDocument/2006/relationships/chart" Target="../charts/chart191.xml"/><Relationship Id="rId335" Type="http://schemas.openxmlformats.org/officeDocument/2006/relationships/chart" Target="../charts/chart398.xml"/><Relationship Id="rId542" Type="http://schemas.openxmlformats.org/officeDocument/2006/relationships/chart" Target="../charts/chart605.xml"/><Relationship Id="rId181" Type="http://schemas.openxmlformats.org/officeDocument/2006/relationships/chart" Target="../charts/chart244.xml"/><Relationship Id="rId402" Type="http://schemas.openxmlformats.org/officeDocument/2006/relationships/chart" Target="../charts/chart465.xml"/><Relationship Id="rId279" Type="http://schemas.openxmlformats.org/officeDocument/2006/relationships/chart" Target="../charts/chart342.xml"/><Relationship Id="rId486" Type="http://schemas.openxmlformats.org/officeDocument/2006/relationships/chart" Target="../charts/chart549.xml"/><Relationship Id="rId693" Type="http://schemas.openxmlformats.org/officeDocument/2006/relationships/chart" Target="../charts/chart756.xml"/><Relationship Id="rId707" Type="http://schemas.openxmlformats.org/officeDocument/2006/relationships/chart" Target="../charts/chart770.xml"/><Relationship Id="rId43" Type="http://schemas.openxmlformats.org/officeDocument/2006/relationships/chart" Target="../charts/chart106.xml"/><Relationship Id="rId139" Type="http://schemas.openxmlformats.org/officeDocument/2006/relationships/chart" Target="../charts/chart202.xml"/><Relationship Id="rId346" Type="http://schemas.openxmlformats.org/officeDocument/2006/relationships/chart" Target="../charts/chart409.xml"/><Relationship Id="rId553" Type="http://schemas.openxmlformats.org/officeDocument/2006/relationships/chart" Target="../charts/chart616.xml"/><Relationship Id="rId760" Type="http://schemas.openxmlformats.org/officeDocument/2006/relationships/chart" Target="../charts/chart823.xml"/><Relationship Id="rId192" Type="http://schemas.openxmlformats.org/officeDocument/2006/relationships/chart" Target="../charts/chart255.xml"/><Relationship Id="rId206" Type="http://schemas.openxmlformats.org/officeDocument/2006/relationships/chart" Target="../charts/chart269.xml"/><Relationship Id="rId413" Type="http://schemas.openxmlformats.org/officeDocument/2006/relationships/chart" Target="../charts/chart476.xml"/><Relationship Id="rId497" Type="http://schemas.openxmlformats.org/officeDocument/2006/relationships/chart" Target="../charts/chart560.xml"/><Relationship Id="rId620" Type="http://schemas.openxmlformats.org/officeDocument/2006/relationships/chart" Target="../charts/chart683.xml"/><Relationship Id="rId718" Type="http://schemas.openxmlformats.org/officeDocument/2006/relationships/chart" Target="../charts/chart781.xml"/><Relationship Id="rId357" Type="http://schemas.openxmlformats.org/officeDocument/2006/relationships/chart" Target="../charts/chart420.xml"/><Relationship Id="rId54" Type="http://schemas.openxmlformats.org/officeDocument/2006/relationships/chart" Target="../charts/chart117.xml"/><Relationship Id="rId217" Type="http://schemas.openxmlformats.org/officeDocument/2006/relationships/chart" Target="../charts/chart280.xml"/><Relationship Id="rId564" Type="http://schemas.openxmlformats.org/officeDocument/2006/relationships/chart" Target="../charts/chart627.xml"/><Relationship Id="rId771" Type="http://schemas.openxmlformats.org/officeDocument/2006/relationships/chart" Target="../charts/chart834.xml"/><Relationship Id="rId424" Type="http://schemas.openxmlformats.org/officeDocument/2006/relationships/chart" Target="../charts/chart487.xml"/><Relationship Id="rId631" Type="http://schemas.openxmlformats.org/officeDocument/2006/relationships/chart" Target="../charts/chart694.xml"/><Relationship Id="rId729" Type="http://schemas.openxmlformats.org/officeDocument/2006/relationships/chart" Target="../charts/chart792.xml"/><Relationship Id="rId270" Type="http://schemas.openxmlformats.org/officeDocument/2006/relationships/chart" Target="../charts/chart333.xml"/><Relationship Id="rId65" Type="http://schemas.openxmlformats.org/officeDocument/2006/relationships/chart" Target="../charts/chart128.xml"/><Relationship Id="rId130" Type="http://schemas.openxmlformats.org/officeDocument/2006/relationships/chart" Target="../charts/chart193.xml"/><Relationship Id="rId368" Type="http://schemas.openxmlformats.org/officeDocument/2006/relationships/chart" Target="../charts/chart431.xml"/><Relationship Id="rId575" Type="http://schemas.openxmlformats.org/officeDocument/2006/relationships/chart" Target="../charts/chart638.xml"/><Relationship Id="rId782" Type="http://schemas.openxmlformats.org/officeDocument/2006/relationships/chart" Target="../charts/chart845.xml"/><Relationship Id="rId228" Type="http://schemas.openxmlformats.org/officeDocument/2006/relationships/chart" Target="../charts/chart291.xml"/><Relationship Id="rId435" Type="http://schemas.openxmlformats.org/officeDocument/2006/relationships/chart" Target="../charts/chart498.xml"/><Relationship Id="rId642" Type="http://schemas.openxmlformats.org/officeDocument/2006/relationships/chart" Target="../charts/chart705.xml"/><Relationship Id="rId281" Type="http://schemas.openxmlformats.org/officeDocument/2006/relationships/chart" Target="../charts/chart344.xml"/><Relationship Id="rId502" Type="http://schemas.openxmlformats.org/officeDocument/2006/relationships/chart" Target="../charts/chart565.xml"/><Relationship Id="rId76" Type="http://schemas.openxmlformats.org/officeDocument/2006/relationships/chart" Target="../charts/chart139.xml"/><Relationship Id="rId141" Type="http://schemas.openxmlformats.org/officeDocument/2006/relationships/chart" Target="../charts/chart204.xml"/><Relationship Id="rId379" Type="http://schemas.openxmlformats.org/officeDocument/2006/relationships/chart" Target="../charts/chart442.xml"/><Relationship Id="rId586" Type="http://schemas.openxmlformats.org/officeDocument/2006/relationships/chart" Target="../charts/chart649.xml"/><Relationship Id="rId793" Type="http://schemas.openxmlformats.org/officeDocument/2006/relationships/chart" Target="../charts/chart856.xml"/><Relationship Id="rId7" Type="http://schemas.openxmlformats.org/officeDocument/2006/relationships/chart" Target="../charts/chart70.xml"/><Relationship Id="rId239" Type="http://schemas.openxmlformats.org/officeDocument/2006/relationships/chart" Target="../charts/chart302.xml"/><Relationship Id="rId446" Type="http://schemas.openxmlformats.org/officeDocument/2006/relationships/chart" Target="../charts/chart509.xml"/><Relationship Id="rId653" Type="http://schemas.openxmlformats.org/officeDocument/2006/relationships/chart" Target="../charts/chart716.xml"/><Relationship Id="rId292" Type="http://schemas.openxmlformats.org/officeDocument/2006/relationships/chart" Target="../charts/chart355.xml"/><Relationship Id="rId306" Type="http://schemas.openxmlformats.org/officeDocument/2006/relationships/chart" Target="../charts/chart369.xml"/><Relationship Id="rId87" Type="http://schemas.openxmlformats.org/officeDocument/2006/relationships/chart" Target="../charts/chart150.xml"/><Relationship Id="rId513" Type="http://schemas.openxmlformats.org/officeDocument/2006/relationships/chart" Target="../charts/chart576.xml"/><Relationship Id="rId597" Type="http://schemas.openxmlformats.org/officeDocument/2006/relationships/chart" Target="../charts/chart660.xml"/><Relationship Id="rId720" Type="http://schemas.openxmlformats.org/officeDocument/2006/relationships/chart" Target="../charts/chart783.xml"/><Relationship Id="rId152" Type="http://schemas.openxmlformats.org/officeDocument/2006/relationships/chart" Target="../charts/chart215.xml"/><Relationship Id="rId457" Type="http://schemas.openxmlformats.org/officeDocument/2006/relationships/chart" Target="../charts/chart520.xml"/><Relationship Id="rId664" Type="http://schemas.openxmlformats.org/officeDocument/2006/relationships/chart" Target="../charts/chart727.xml"/><Relationship Id="rId14" Type="http://schemas.openxmlformats.org/officeDocument/2006/relationships/chart" Target="../charts/chart77.xml"/><Relationship Id="rId317" Type="http://schemas.openxmlformats.org/officeDocument/2006/relationships/chart" Target="../charts/chart380.xml"/><Relationship Id="rId524" Type="http://schemas.openxmlformats.org/officeDocument/2006/relationships/chart" Target="../charts/chart587.xml"/><Relationship Id="rId731" Type="http://schemas.openxmlformats.org/officeDocument/2006/relationships/chart" Target="../charts/chart794.xml"/><Relationship Id="rId98" Type="http://schemas.openxmlformats.org/officeDocument/2006/relationships/chart" Target="../charts/chart161.xml"/><Relationship Id="rId163" Type="http://schemas.openxmlformats.org/officeDocument/2006/relationships/chart" Target="../charts/chart226.xml"/><Relationship Id="rId370" Type="http://schemas.openxmlformats.org/officeDocument/2006/relationships/chart" Target="../charts/chart433.xml"/><Relationship Id="rId230" Type="http://schemas.openxmlformats.org/officeDocument/2006/relationships/chart" Target="../charts/chart293.xml"/><Relationship Id="rId468" Type="http://schemas.openxmlformats.org/officeDocument/2006/relationships/chart" Target="../charts/chart531.xml"/><Relationship Id="rId675" Type="http://schemas.openxmlformats.org/officeDocument/2006/relationships/chart" Target="../charts/chart738.xml"/><Relationship Id="rId25" Type="http://schemas.openxmlformats.org/officeDocument/2006/relationships/chart" Target="../charts/chart88.xml"/><Relationship Id="rId328" Type="http://schemas.openxmlformats.org/officeDocument/2006/relationships/chart" Target="../charts/chart391.xml"/><Relationship Id="rId535" Type="http://schemas.openxmlformats.org/officeDocument/2006/relationships/chart" Target="../charts/chart598.xml"/><Relationship Id="rId742" Type="http://schemas.openxmlformats.org/officeDocument/2006/relationships/chart" Target="../charts/chart805.xml"/><Relationship Id="rId174" Type="http://schemas.openxmlformats.org/officeDocument/2006/relationships/chart" Target="../charts/chart237.xml"/><Relationship Id="rId381" Type="http://schemas.openxmlformats.org/officeDocument/2006/relationships/chart" Target="../charts/chart444.xml"/><Relationship Id="rId602" Type="http://schemas.openxmlformats.org/officeDocument/2006/relationships/chart" Target="../charts/chart665.xml"/><Relationship Id="rId241" Type="http://schemas.openxmlformats.org/officeDocument/2006/relationships/chart" Target="../charts/chart304.xml"/><Relationship Id="rId479" Type="http://schemas.openxmlformats.org/officeDocument/2006/relationships/chart" Target="../charts/chart542.xml"/><Relationship Id="rId686" Type="http://schemas.openxmlformats.org/officeDocument/2006/relationships/chart" Target="../charts/chart749.xml"/><Relationship Id="rId36" Type="http://schemas.openxmlformats.org/officeDocument/2006/relationships/chart" Target="../charts/chart99.xml"/><Relationship Id="rId339" Type="http://schemas.openxmlformats.org/officeDocument/2006/relationships/chart" Target="../charts/chart402.xml"/><Relationship Id="rId546" Type="http://schemas.openxmlformats.org/officeDocument/2006/relationships/chart" Target="../charts/chart609.xml"/><Relationship Id="rId753" Type="http://schemas.openxmlformats.org/officeDocument/2006/relationships/chart" Target="../charts/chart816.xml"/><Relationship Id="rId101" Type="http://schemas.openxmlformats.org/officeDocument/2006/relationships/chart" Target="../charts/chart164.xml"/><Relationship Id="rId185" Type="http://schemas.openxmlformats.org/officeDocument/2006/relationships/chart" Target="../charts/chart248.xml"/><Relationship Id="rId406" Type="http://schemas.openxmlformats.org/officeDocument/2006/relationships/chart" Target="../charts/chart469.xml"/><Relationship Id="rId392" Type="http://schemas.openxmlformats.org/officeDocument/2006/relationships/chart" Target="../charts/chart455.xml"/><Relationship Id="rId613" Type="http://schemas.openxmlformats.org/officeDocument/2006/relationships/chart" Target="../charts/chart676.xml"/><Relationship Id="rId697" Type="http://schemas.openxmlformats.org/officeDocument/2006/relationships/chart" Target="../charts/chart760.xml"/><Relationship Id="rId252" Type="http://schemas.openxmlformats.org/officeDocument/2006/relationships/chart" Target="../charts/chart315.xml"/><Relationship Id="rId47" Type="http://schemas.openxmlformats.org/officeDocument/2006/relationships/chart" Target="../charts/chart110.xml"/><Relationship Id="rId112" Type="http://schemas.openxmlformats.org/officeDocument/2006/relationships/chart" Target="../charts/chart175.xml"/><Relationship Id="rId557" Type="http://schemas.openxmlformats.org/officeDocument/2006/relationships/chart" Target="../charts/chart620.xml"/><Relationship Id="rId764" Type="http://schemas.openxmlformats.org/officeDocument/2006/relationships/chart" Target="../charts/chart827.xml"/><Relationship Id="rId196" Type="http://schemas.openxmlformats.org/officeDocument/2006/relationships/chart" Target="../charts/chart259.xml"/><Relationship Id="rId417" Type="http://schemas.openxmlformats.org/officeDocument/2006/relationships/chart" Target="../charts/chart480.xml"/><Relationship Id="rId624" Type="http://schemas.openxmlformats.org/officeDocument/2006/relationships/chart" Target="../charts/chart687.xml"/><Relationship Id="rId263" Type="http://schemas.openxmlformats.org/officeDocument/2006/relationships/chart" Target="../charts/chart326.xml"/><Relationship Id="rId470" Type="http://schemas.openxmlformats.org/officeDocument/2006/relationships/chart" Target="../charts/chart533.xml"/><Relationship Id="rId58" Type="http://schemas.openxmlformats.org/officeDocument/2006/relationships/chart" Target="../charts/chart121.xml"/><Relationship Id="rId123" Type="http://schemas.openxmlformats.org/officeDocument/2006/relationships/chart" Target="../charts/chart186.xml"/><Relationship Id="rId330" Type="http://schemas.openxmlformats.org/officeDocument/2006/relationships/chart" Target="../charts/chart393.xml"/><Relationship Id="rId568" Type="http://schemas.openxmlformats.org/officeDocument/2006/relationships/chart" Target="../charts/chart631.xml"/><Relationship Id="rId775" Type="http://schemas.openxmlformats.org/officeDocument/2006/relationships/chart" Target="../charts/chart838.xml"/><Relationship Id="rId428" Type="http://schemas.openxmlformats.org/officeDocument/2006/relationships/chart" Target="../charts/chart491.xml"/><Relationship Id="rId635" Type="http://schemas.openxmlformats.org/officeDocument/2006/relationships/chart" Target="../charts/chart698.xml"/><Relationship Id="rId274" Type="http://schemas.openxmlformats.org/officeDocument/2006/relationships/chart" Target="../charts/chart337.xml"/><Relationship Id="rId481" Type="http://schemas.openxmlformats.org/officeDocument/2006/relationships/chart" Target="../charts/chart544.xml"/><Relationship Id="rId702" Type="http://schemas.openxmlformats.org/officeDocument/2006/relationships/chart" Target="../charts/chart765.xml"/><Relationship Id="rId69" Type="http://schemas.openxmlformats.org/officeDocument/2006/relationships/chart" Target="../charts/chart132.xml"/><Relationship Id="rId134" Type="http://schemas.openxmlformats.org/officeDocument/2006/relationships/chart" Target="../charts/chart197.xml"/><Relationship Id="rId579" Type="http://schemas.openxmlformats.org/officeDocument/2006/relationships/chart" Target="../charts/chart642.xml"/><Relationship Id="rId786" Type="http://schemas.openxmlformats.org/officeDocument/2006/relationships/chart" Target="../charts/chart849.xml"/><Relationship Id="rId341" Type="http://schemas.openxmlformats.org/officeDocument/2006/relationships/chart" Target="../charts/chart404.xml"/><Relationship Id="rId439" Type="http://schemas.openxmlformats.org/officeDocument/2006/relationships/chart" Target="../charts/chart502.xml"/><Relationship Id="rId646" Type="http://schemas.openxmlformats.org/officeDocument/2006/relationships/chart" Target="../charts/chart709.xml"/><Relationship Id="rId201" Type="http://schemas.openxmlformats.org/officeDocument/2006/relationships/chart" Target="../charts/chart264.xml"/><Relationship Id="rId285" Type="http://schemas.openxmlformats.org/officeDocument/2006/relationships/chart" Target="../charts/chart348.xml"/><Relationship Id="rId506" Type="http://schemas.openxmlformats.org/officeDocument/2006/relationships/chart" Target="../charts/chart569.xml"/><Relationship Id="rId492" Type="http://schemas.openxmlformats.org/officeDocument/2006/relationships/chart" Target="../charts/chart555.xml"/><Relationship Id="rId713" Type="http://schemas.openxmlformats.org/officeDocument/2006/relationships/chart" Target="../charts/chart776.xml"/><Relationship Id="rId797" Type="http://schemas.openxmlformats.org/officeDocument/2006/relationships/chart" Target="../charts/chart860.xml"/><Relationship Id="rId145" Type="http://schemas.openxmlformats.org/officeDocument/2006/relationships/chart" Target="../charts/chart208.xml"/><Relationship Id="rId352" Type="http://schemas.openxmlformats.org/officeDocument/2006/relationships/chart" Target="../charts/chart415.xml"/><Relationship Id="rId212" Type="http://schemas.openxmlformats.org/officeDocument/2006/relationships/chart" Target="../charts/chart275.xml"/><Relationship Id="rId657" Type="http://schemas.openxmlformats.org/officeDocument/2006/relationships/chart" Target="../charts/chart720.xml"/><Relationship Id="rId296" Type="http://schemas.openxmlformats.org/officeDocument/2006/relationships/chart" Target="../charts/chart359.xml"/><Relationship Id="rId517" Type="http://schemas.openxmlformats.org/officeDocument/2006/relationships/chart" Target="../charts/chart580.xml"/><Relationship Id="rId724" Type="http://schemas.openxmlformats.org/officeDocument/2006/relationships/chart" Target="../charts/chart787.xml"/><Relationship Id="rId60" Type="http://schemas.openxmlformats.org/officeDocument/2006/relationships/chart" Target="../charts/chart123.xml"/><Relationship Id="rId156" Type="http://schemas.openxmlformats.org/officeDocument/2006/relationships/chart" Target="../charts/chart219.xml"/><Relationship Id="rId363" Type="http://schemas.openxmlformats.org/officeDocument/2006/relationships/chart" Target="../charts/chart426.xml"/><Relationship Id="rId570" Type="http://schemas.openxmlformats.org/officeDocument/2006/relationships/chart" Target="../charts/chart633.xml"/><Relationship Id="rId223" Type="http://schemas.openxmlformats.org/officeDocument/2006/relationships/chart" Target="../charts/chart286.xml"/><Relationship Id="rId430" Type="http://schemas.openxmlformats.org/officeDocument/2006/relationships/chart" Target="../charts/chart493.xml"/><Relationship Id="rId668" Type="http://schemas.openxmlformats.org/officeDocument/2006/relationships/chart" Target="../charts/chart731.xml"/><Relationship Id="rId18" Type="http://schemas.openxmlformats.org/officeDocument/2006/relationships/chart" Target="../charts/chart81.xml"/><Relationship Id="rId528" Type="http://schemas.openxmlformats.org/officeDocument/2006/relationships/chart" Target="../charts/chart591.xml"/><Relationship Id="rId735" Type="http://schemas.openxmlformats.org/officeDocument/2006/relationships/chart" Target="../charts/chart798.xml"/><Relationship Id="rId167" Type="http://schemas.openxmlformats.org/officeDocument/2006/relationships/chart" Target="../charts/chart230.xml"/><Relationship Id="rId374" Type="http://schemas.openxmlformats.org/officeDocument/2006/relationships/chart" Target="../charts/chart437.xml"/><Relationship Id="rId581" Type="http://schemas.openxmlformats.org/officeDocument/2006/relationships/chart" Target="../charts/chart644.xml"/><Relationship Id="rId71" Type="http://schemas.openxmlformats.org/officeDocument/2006/relationships/chart" Target="../charts/chart134.xml"/><Relationship Id="rId234" Type="http://schemas.openxmlformats.org/officeDocument/2006/relationships/chart" Target="../charts/chart297.xml"/><Relationship Id="rId679" Type="http://schemas.openxmlformats.org/officeDocument/2006/relationships/chart" Target="../charts/chart742.xml"/><Relationship Id="rId2" Type="http://schemas.openxmlformats.org/officeDocument/2006/relationships/chart" Target="../charts/chart65.xml"/><Relationship Id="rId29" Type="http://schemas.openxmlformats.org/officeDocument/2006/relationships/chart" Target="../charts/chart92.xml"/><Relationship Id="rId441" Type="http://schemas.openxmlformats.org/officeDocument/2006/relationships/chart" Target="../charts/chart504.xml"/><Relationship Id="rId539" Type="http://schemas.openxmlformats.org/officeDocument/2006/relationships/chart" Target="../charts/chart602.xml"/><Relationship Id="rId746" Type="http://schemas.openxmlformats.org/officeDocument/2006/relationships/chart" Target="../charts/chart809.xml"/><Relationship Id="rId178" Type="http://schemas.openxmlformats.org/officeDocument/2006/relationships/chart" Target="../charts/chart241.xml"/><Relationship Id="rId301" Type="http://schemas.openxmlformats.org/officeDocument/2006/relationships/chart" Target="../charts/chart364.xml"/><Relationship Id="rId82" Type="http://schemas.openxmlformats.org/officeDocument/2006/relationships/chart" Target="../charts/chart145.xml"/><Relationship Id="rId385" Type="http://schemas.openxmlformats.org/officeDocument/2006/relationships/chart" Target="../charts/chart448.xml"/><Relationship Id="rId592" Type="http://schemas.openxmlformats.org/officeDocument/2006/relationships/chart" Target="../charts/chart655.xml"/><Relationship Id="rId606" Type="http://schemas.openxmlformats.org/officeDocument/2006/relationships/chart" Target="../charts/chart669.xml"/><Relationship Id="rId245" Type="http://schemas.openxmlformats.org/officeDocument/2006/relationships/chart" Target="../charts/chart308.xml"/><Relationship Id="rId452" Type="http://schemas.openxmlformats.org/officeDocument/2006/relationships/chart" Target="../charts/chart515.xml"/><Relationship Id="rId105" Type="http://schemas.openxmlformats.org/officeDocument/2006/relationships/chart" Target="../charts/chart168.xml"/><Relationship Id="rId312" Type="http://schemas.openxmlformats.org/officeDocument/2006/relationships/chart" Target="../charts/chart375.xml"/><Relationship Id="rId757" Type="http://schemas.openxmlformats.org/officeDocument/2006/relationships/chart" Target="../charts/chart820.xml"/><Relationship Id="rId93" Type="http://schemas.openxmlformats.org/officeDocument/2006/relationships/chart" Target="../charts/chart156.xml"/><Relationship Id="rId189" Type="http://schemas.openxmlformats.org/officeDocument/2006/relationships/chart" Target="../charts/chart252.xml"/><Relationship Id="rId396" Type="http://schemas.openxmlformats.org/officeDocument/2006/relationships/chart" Target="../charts/chart459.xml"/><Relationship Id="rId617" Type="http://schemas.openxmlformats.org/officeDocument/2006/relationships/chart" Target="../charts/chart680.xml"/><Relationship Id="rId256" Type="http://schemas.openxmlformats.org/officeDocument/2006/relationships/chart" Target="../charts/chart319.xml"/><Relationship Id="rId463" Type="http://schemas.openxmlformats.org/officeDocument/2006/relationships/chart" Target="../charts/chart526.xml"/><Relationship Id="rId670" Type="http://schemas.openxmlformats.org/officeDocument/2006/relationships/chart" Target="../charts/chart733.xml"/><Relationship Id="rId116" Type="http://schemas.openxmlformats.org/officeDocument/2006/relationships/chart" Target="../charts/chart179.xml"/><Relationship Id="rId323" Type="http://schemas.openxmlformats.org/officeDocument/2006/relationships/chart" Target="../charts/chart386.xml"/><Relationship Id="rId530" Type="http://schemas.openxmlformats.org/officeDocument/2006/relationships/chart" Target="../charts/chart593.xml"/><Relationship Id="rId768" Type="http://schemas.openxmlformats.org/officeDocument/2006/relationships/chart" Target="../charts/chart831.xml"/><Relationship Id="rId20" Type="http://schemas.openxmlformats.org/officeDocument/2006/relationships/chart" Target="../charts/chart83.xml"/><Relationship Id="rId628" Type="http://schemas.openxmlformats.org/officeDocument/2006/relationships/chart" Target="../charts/chart691.xml"/><Relationship Id="rId267" Type="http://schemas.openxmlformats.org/officeDocument/2006/relationships/chart" Target="../charts/chart330.xml"/><Relationship Id="rId474" Type="http://schemas.openxmlformats.org/officeDocument/2006/relationships/chart" Target="../charts/chart537.xml"/><Relationship Id="rId127" Type="http://schemas.openxmlformats.org/officeDocument/2006/relationships/chart" Target="../charts/chart190.xml"/><Relationship Id="rId681" Type="http://schemas.openxmlformats.org/officeDocument/2006/relationships/chart" Target="../charts/chart744.xml"/><Relationship Id="rId779" Type="http://schemas.openxmlformats.org/officeDocument/2006/relationships/chart" Target="../charts/chart842.xml"/><Relationship Id="rId31" Type="http://schemas.openxmlformats.org/officeDocument/2006/relationships/chart" Target="../charts/chart94.xml"/><Relationship Id="rId334" Type="http://schemas.openxmlformats.org/officeDocument/2006/relationships/chart" Target="../charts/chart397.xml"/><Relationship Id="rId541" Type="http://schemas.openxmlformats.org/officeDocument/2006/relationships/chart" Target="../charts/chart604.xml"/><Relationship Id="rId639" Type="http://schemas.openxmlformats.org/officeDocument/2006/relationships/chart" Target="../charts/chart702.xml"/><Relationship Id="rId180" Type="http://schemas.openxmlformats.org/officeDocument/2006/relationships/chart" Target="../charts/chart243.xml"/><Relationship Id="rId278" Type="http://schemas.openxmlformats.org/officeDocument/2006/relationships/chart" Target="../charts/chart341.xml"/><Relationship Id="rId401" Type="http://schemas.openxmlformats.org/officeDocument/2006/relationships/chart" Target="../charts/chart464.xml"/><Relationship Id="rId485" Type="http://schemas.openxmlformats.org/officeDocument/2006/relationships/chart" Target="../charts/chart548.xml"/><Relationship Id="rId692" Type="http://schemas.openxmlformats.org/officeDocument/2006/relationships/chart" Target="../charts/chart755.xml"/><Relationship Id="rId706" Type="http://schemas.openxmlformats.org/officeDocument/2006/relationships/chart" Target="../charts/chart769.xml"/><Relationship Id="rId42" Type="http://schemas.openxmlformats.org/officeDocument/2006/relationships/chart" Target="../charts/chart105.xml"/><Relationship Id="rId138" Type="http://schemas.openxmlformats.org/officeDocument/2006/relationships/chart" Target="../charts/chart201.xml"/><Relationship Id="rId345" Type="http://schemas.openxmlformats.org/officeDocument/2006/relationships/chart" Target="../charts/chart408.xml"/><Relationship Id="rId552" Type="http://schemas.openxmlformats.org/officeDocument/2006/relationships/chart" Target="../charts/chart615.xml"/><Relationship Id="rId191" Type="http://schemas.openxmlformats.org/officeDocument/2006/relationships/chart" Target="../charts/chart254.xml"/><Relationship Id="rId205" Type="http://schemas.openxmlformats.org/officeDocument/2006/relationships/chart" Target="../charts/chart268.xml"/><Relationship Id="rId412" Type="http://schemas.openxmlformats.org/officeDocument/2006/relationships/chart" Target="../charts/chart475.xml"/><Relationship Id="rId289" Type="http://schemas.openxmlformats.org/officeDocument/2006/relationships/chart" Target="../charts/chart352.xml"/><Relationship Id="rId496" Type="http://schemas.openxmlformats.org/officeDocument/2006/relationships/chart" Target="../charts/chart559.xml"/><Relationship Id="rId717" Type="http://schemas.openxmlformats.org/officeDocument/2006/relationships/chart" Target="../charts/chart780.xml"/><Relationship Id="rId53" Type="http://schemas.openxmlformats.org/officeDocument/2006/relationships/chart" Target="../charts/chart116.xml"/><Relationship Id="rId149" Type="http://schemas.openxmlformats.org/officeDocument/2006/relationships/chart" Target="../charts/chart212.xml"/><Relationship Id="rId356" Type="http://schemas.openxmlformats.org/officeDocument/2006/relationships/chart" Target="../charts/chart419.xml"/><Relationship Id="rId563" Type="http://schemas.openxmlformats.org/officeDocument/2006/relationships/chart" Target="../charts/chart626.xml"/><Relationship Id="rId770" Type="http://schemas.openxmlformats.org/officeDocument/2006/relationships/chart" Target="../charts/chart833.xml"/><Relationship Id="rId216" Type="http://schemas.openxmlformats.org/officeDocument/2006/relationships/chart" Target="../charts/chart279.xml"/><Relationship Id="rId423" Type="http://schemas.openxmlformats.org/officeDocument/2006/relationships/chart" Target="../charts/chart486.xml"/><Relationship Id="rId630" Type="http://schemas.openxmlformats.org/officeDocument/2006/relationships/chart" Target="../charts/chart693.xml"/><Relationship Id="rId728" Type="http://schemas.openxmlformats.org/officeDocument/2006/relationships/chart" Target="../charts/chart791.xml"/><Relationship Id="rId64" Type="http://schemas.openxmlformats.org/officeDocument/2006/relationships/chart" Target="../charts/chart127.xml"/><Relationship Id="rId367" Type="http://schemas.openxmlformats.org/officeDocument/2006/relationships/chart" Target="../charts/chart430.xml"/><Relationship Id="rId574" Type="http://schemas.openxmlformats.org/officeDocument/2006/relationships/chart" Target="../charts/chart637.xml"/><Relationship Id="rId227" Type="http://schemas.openxmlformats.org/officeDocument/2006/relationships/chart" Target="../charts/chart290.xml"/><Relationship Id="rId781" Type="http://schemas.openxmlformats.org/officeDocument/2006/relationships/chart" Target="../charts/chart844.xml"/><Relationship Id="rId269" Type="http://schemas.openxmlformats.org/officeDocument/2006/relationships/chart" Target="../charts/chart332.xml"/><Relationship Id="rId434" Type="http://schemas.openxmlformats.org/officeDocument/2006/relationships/chart" Target="../charts/chart497.xml"/><Relationship Id="rId476" Type="http://schemas.openxmlformats.org/officeDocument/2006/relationships/chart" Target="../charts/chart539.xml"/><Relationship Id="rId641" Type="http://schemas.openxmlformats.org/officeDocument/2006/relationships/chart" Target="../charts/chart704.xml"/><Relationship Id="rId683" Type="http://schemas.openxmlformats.org/officeDocument/2006/relationships/chart" Target="../charts/chart746.xml"/><Relationship Id="rId739" Type="http://schemas.openxmlformats.org/officeDocument/2006/relationships/chart" Target="../charts/chart802.xml"/><Relationship Id="rId33" Type="http://schemas.openxmlformats.org/officeDocument/2006/relationships/chart" Target="../charts/chart96.xml"/><Relationship Id="rId129" Type="http://schemas.openxmlformats.org/officeDocument/2006/relationships/chart" Target="../charts/chart192.xml"/><Relationship Id="rId280" Type="http://schemas.openxmlformats.org/officeDocument/2006/relationships/chart" Target="../charts/chart343.xml"/><Relationship Id="rId336" Type="http://schemas.openxmlformats.org/officeDocument/2006/relationships/chart" Target="../charts/chart399.xml"/><Relationship Id="rId501" Type="http://schemas.openxmlformats.org/officeDocument/2006/relationships/chart" Target="../charts/chart564.xml"/><Relationship Id="rId543" Type="http://schemas.openxmlformats.org/officeDocument/2006/relationships/chart" Target="../charts/chart606.xml"/><Relationship Id="rId75" Type="http://schemas.openxmlformats.org/officeDocument/2006/relationships/chart" Target="../charts/chart138.xml"/><Relationship Id="rId140" Type="http://schemas.openxmlformats.org/officeDocument/2006/relationships/chart" Target="../charts/chart203.xml"/><Relationship Id="rId182" Type="http://schemas.openxmlformats.org/officeDocument/2006/relationships/chart" Target="../charts/chart245.xml"/><Relationship Id="rId378" Type="http://schemas.openxmlformats.org/officeDocument/2006/relationships/chart" Target="../charts/chart441.xml"/><Relationship Id="rId403" Type="http://schemas.openxmlformats.org/officeDocument/2006/relationships/chart" Target="../charts/chart466.xml"/><Relationship Id="rId585" Type="http://schemas.openxmlformats.org/officeDocument/2006/relationships/chart" Target="../charts/chart648.xml"/><Relationship Id="rId750" Type="http://schemas.openxmlformats.org/officeDocument/2006/relationships/chart" Target="../charts/chart813.xml"/><Relationship Id="rId792" Type="http://schemas.openxmlformats.org/officeDocument/2006/relationships/chart" Target="../charts/chart855.xml"/><Relationship Id="rId6" Type="http://schemas.openxmlformats.org/officeDocument/2006/relationships/chart" Target="../charts/chart69.xml"/><Relationship Id="rId238" Type="http://schemas.openxmlformats.org/officeDocument/2006/relationships/chart" Target="../charts/chart301.xml"/><Relationship Id="rId445" Type="http://schemas.openxmlformats.org/officeDocument/2006/relationships/chart" Target="../charts/chart508.xml"/><Relationship Id="rId487" Type="http://schemas.openxmlformats.org/officeDocument/2006/relationships/chart" Target="../charts/chart550.xml"/><Relationship Id="rId610" Type="http://schemas.openxmlformats.org/officeDocument/2006/relationships/chart" Target="../charts/chart673.xml"/><Relationship Id="rId652" Type="http://schemas.openxmlformats.org/officeDocument/2006/relationships/chart" Target="../charts/chart715.xml"/><Relationship Id="rId694" Type="http://schemas.openxmlformats.org/officeDocument/2006/relationships/chart" Target="../charts/chart757.xml"/><Relationship Id="rId708" Type="http://schemas.openxmlformats.org/officeDocument/2006/relationships/chart" Target="../charts/chart771.xml"/><Relationship Id="rId291" Type="http://schemas.openxmlformats.org/officeDocument/2006/relationships/chart" Target="../charts/chart354.xml"/><Relationship Id="rId305" Type="http://schemas.openxmlformats.org/officeDocument/2006/relationships/chart" Target="../charts/chart368.xml"/><Relationship Id="rId347" Type="http://schemas.openxmlformats.org/officeDocument/2006/relationships/chart" Target="../charts/chart410.xml"/><Relationship Id="rId512" Type="http://schemas.openxmlformats.org/officeDocument/2006/relationships/chart" Target="../charts/chart575.xml"/><Relationship Id="rId44" Type="http://schemas.openxmlformats.org/officeDocument/2006/relationships/chart" Target="../charts/chart107.xml"/><Relationship Id="rId86" Type="http://schemas.openxmlformats.org/officeDocument/2006/relationships/chart" Target="../charts/chart149.xml"/><Relationship Id="rId151" Type="http://schemas.openxmlformats.org/officeDocument/2006/relationships/chart" Target="../charts/chart214.xml"/><Relationship Id="rId389" Type="http://schemas.openxmlformats.org/officeDocument/2006/relationships/chart" Target="../charts/chart452.xml"/><Relationship Id="rId554" Type="http://schemas.openxmlformats.org/officeDocument/2006/relationships/chart" Target="../charts/chart617.xml"/><Relationship Id="rId596" Type="http://schemas.openxmlformats.org/officeDocument/2006/relationships/chart" Target="../charts/chart659.xml"/><Relationship Id="rId761" Type="http://schemas.openxmlformats.org/officeDocument/2006/relationships/chart" Target="../charts/chart824.xml"/><Relationship Id="rId193" Type="http://schemas.openxmlformats.org/officeDocument/2006/relationships/chart" Target="../charts/chart256.xml"/><Relationship Id="rId207" Type="http://schemas.openxmlformats.org/officeDocument/2006/relationships/chart" Target="../charts/chart270.xml"/><Relationship Id="rId249" Type="http://schemas.openxmlformats.org/officeDocument/2006/relationships/chart" Target="../charts/chart312.xml"/><Relationship Id="rId414" Type="http://schemas.openxmlformats.org/officeDocument/2006/relationships/chart" Target="../charts/chart477.xml"/><Relationship Id="rId456" Type="http://schemas.openxmlformats.org/officeDocument/2006/relationships/chart" Target="../charts/chart519.xml"/><Relationship Id="rId498" Type="http://schemas.openxmlformats.org/officeDocument/2006/relationships/chart" Target="../charts/chart561.xml"/><Relationship Id="rId621" Type="http://schemas.openxmlformats.org/officeDocument/2006/relationships/chart" Target="../charts/chart684.xml"/><Relationship Id="rId663" Type="http://schemas.openxmlformats.org/officeDocument/2006/relationships/chart" Target="../charts/chart726.xml"/><Relationship Id="rId13" Type="http://schemas.openxmlformats.org/officeDocument/2006/relationships/chart" Target="../charts/chart76.xml"/><Relationship Id="rId109" Type="http://schemas.openxmlformats.org/officeDocument/2006/relationships/chart" Target="../charts/chart172.xml"/><Relationship Id="rId260" Type="http://schemas.openxmlformats.org/officeDocument/2006/relationships/chart" Target="../charts/chart323.xml"/><Relationship Id="rId316" Type="http://schemas.openxmlformats.org/officeDocument/2006/relationships/chart" Target="../charts/chart379.xml"/><Relationship Id="rId523" Type="http://schemas.openxmlformats.org/officeDocument/2006/relationships/chart" Target="../charts/chart586.xml"/><Relationship Id="rId719" Type="http://schemas.openxmlformats.org/officeDocument/2006/relationships/chart" Target="../charts/chart782.xml"/><Relationship Id="rId55" Type="http://schemas.openxmlformats.org/officeDocument/2006/relationships/chart" Target="../charts/chart118.xml"/><Relationship Id="rId97" Type="http://schemas.openxmlformats.org/officeDocument/2006/relationships/chart" Target="../charts/chart160.xml"/><Relationship Id="rId120" Type="http://schemas.openxmlformats.org/officeDocument/2006/relationships/chart" Target="../charts/chart183.xml"/><Relationship Id="rId358" Type="http://schemas.openxmlformats.org/officeDocument/2006/relationships/chart" Target="../charts/chart421.xml"/><Relationship Id="rId565" Type="http://schemas.openxmlformats.org/officeDocument/2006/relationships/chart" Target="../charts/chart628.xml"/><Relationship Id="rId730" Type="http://schemas.openxmlformats.org/officeDocument/2006/relationships/chart" Target="../charts/chart793.xml"/><Relationship Id="rId772" Type="http://schemas.openxmlformats.org/officeDocument/2006/relationships/chart" Target="../charts/chart835.xml"/><Relationship Id="rId162" Type="http://schemas.openxmlformats.org/officeDocument/2006/relationships/chart" Target="../charts/chart225.xml"/><Relationship Id="rId218" Type="http://schemas.openxmlformats.org/officeDocument/2006/relationships/chart" Target="../charts/chart281.xml"/><Relationship Id="rId425" Type="http://schemas.openxmlformats.org/officeDocument/2006/relationships/chart" Target="../charts/chart488.xml"/><Relationship Id="rId467" Type="http://schemas.openxmlformats.org/officeDocument/2006/relationships/chart" Target="../charts/chart530.xml"/><Relationship Id="rId632" Type="http://schemas.openxmlformats.org/officeDocument/2006/relationships/chart" Target="../charts/chart695.xml"/><Relationship Id="rId271" Type="http://schemas.openxmlformats.org/officeDocument/2006/relationships/chart" Target="../charts/chart334.xml"/><Relationship Id="rId674" Type="http://schemas.openxmlformats.org/officeDocument/2006/relationships/chart" Target="../charts/chart737.xml"/><Relationship Id="rId24" Type="http://schemas.openxmlformats.org/officeDocument/2006/relationships/chart" Target="../charts/chart87.xml"/><Relationship Id="rId66" Type="http://schemas.openxmlformats.org/officeDocument/2006/relationships/chart" Target="../charts/chart129.xml"/><Relationship Id="rId131" Type="http://schemas.openxmlformats.org/officeDocument/2006/relationships/chart" Target="../charts/chart194.xml"/><Relationship Id="rId327" Type="http://schemas.openxmlformats.org/officeDocument/2006/relationships/chart" Target="../charts/chart390.xml"/><Relationship Id="rId369" Type="http://schemas.openxmlformats.org/officeDocument/2006/relationships/chart" Target="../charts/chart432.xml"/><Relationship Id="rId534" Type="http://schemas.openxmlformats.org/officeDocument/2006/relationships/chart" Target="../charts/chart597.xml"/><Relationship Id="rId576" Type="http://schemas.openxmlformats.org/officeDocument/2006/relationships/chart" Target="../charts/chart639.xml"/><Relationship Id="rId741" Type="http://schemas.openxmlformats.org/officeDocument/2006/relationships/chart" Target="../charts/chart804.xml"/><Relationship Id="rId783" Type="http://schemas.openxmlformats.org/officeDocument/2006/relationships/chart" Target="../charts/chart846.xml"/><Relationship Id="rId173" Type="http://schemas.openxmlformats.org/officeDocument/2006/relationships/chart" Target="../charts/chart236.xml"/><Relationship Id="rId229" Type="http://schemas.openxmlformats.org/officeDocument/2006/relationships/chart" Target="../charts/chart292.xml"/><Relationship Id="rId380" Type="http://schemas.openxmlformats.org/officeDocument/2006/relationships/chart" Target="../charts/chart443.xml"/><Relationship Id="rId436" Type="http://schemas.openxmlformats.org/officeDocument/2006/relationships/chart" Target="../charts/chart499.xml"/><Relationship Id="rId601" Type="http://schemas.openxmlformats.org/officeDocument/2006/relationships/chart" Target="../charts/chart664.xml"/><Relationship Id="rId643" Type="http://schemas.openxmlformats.org/officeDocument/2006/relationships/chart" Target="../charts/chart706.xml"/><Relationship Id="rId240" Type="http://schemas.openxmlformats.org/officeDocument/2006/relationships/chart" Target="../charts/chart303.xml"/><Relationship Id="rId478" Type="http://schemas.openxmlformats.org/officeDocument/2006/relationships/chart" Target="../charts/chart541.xml"/><Relationship Id="rId685" Type="http://schemas.openxmlformats.org/officeDocument/2006/relationships/chart" Target="../charts/chart748.xml"/><Relationship Id="rId35" Type="http://schemas.openxmlformats.org/officeDocument/2006/relationships/chart" Target="../charts/chart98.xml"/><Relationship Id="rId77" Type="http://schemas.openxmlformats.org/officeDocument/2006/relationships/chart" Target="../charts/chart140.xml"/><Relationship Id="rId100" Type="http://schemas.openxmlformats.org/officeDocument/2006/relationships/chart" Target="../charts/chart163.xml"/><Relationship Id="rId282" Type="http://schemas.openxmlformats.org/officeDocument/2006/relationships/chart" Target="../charts/chart345.xml"/><Relationship Id="rId338" Type="http://schemas.openxmlformats.org/officeDocument/2006/relationships/chart" Target="../charts/chart401.xml"/><Relationship Id="rId503" Type="http://schemas.openxmlformats.org/officeDocument/2006/relationships/chart" Target="../charts/chart566.xml"/><Relationship Id="rId545" Type="http://schemas.openxmlformats.org/officeDocument/2006/relationships/chart" Target="../charts/chart608.xml"/><Relationship Id="rId587" Type="http://schemas.openxmlformats.org/officeDocument/2006/relationships/chart" Target="../charts/chart650.xml"/><Relationship Id="rId710" Type="http://schemas.openxmlformats.org/officeDocument/2006/relationships/chart" Target="../charts/chart773.xml"/><Relationship Id="rId752" Type="http://schemas.openxmlformats.org/officeDocument/2006/relationships/chart" Target="../charts/chart815.xml"/><Relationship Id="rId8" Type="http://schemas.openxmlformats.org/officeDocument/2006/relationships/chart" Target="../charts/chart71.xml"/><Relationship Id="rId142" Type="http://schemas.openxmlformats.org/officeDocument/2006/relationships/chart" Target="../charts/chart205.xml"/><Relationship Id="rId184" Type="http://schemas.openxmlformats.org/officeDocument/2006/relationships/chart" Target="../charts/chart247.xml"/><Relationship Id="rId391" Type="http://schemas.openxmlformats.org/officeDocument/2006/relationships/chart" Target="../charts/chart454.xml"/><Relationship Id="rId405" Type="http://schemas.openxmlformats.org/officeDocument/2006/relationships/chart" Target="../charts/chart468.xml"/><Relationship Id="rId447" Type="http://schemas.openxmlformats.org/officeDocument/2006/relationships/chart" Target="../charts/chart510.xml"/><Relationship Id="rId612" Type="http://schemas.openxmlformats.org/officeDocument/2006/relationships/chart" Target="../charts/chart675.xml"/><Relationship Id="rId794" Type="http://schemas.openxmlformats.org/officeDocument/2006/relationships/chart" Target="../charts/chart857.xml"/><Relationship Id="rId251" Type="http://schemas.openxmlformats.org/officeDocument/2006/relationships/chart" Target="../charts/chart314.xml"/><Relationship Id="rId489" Type="http://schemas.openxmlformats.org/officeDocument/2006/relationships/chart" Target="../charts/chart552.xml"/><Relationship Id="rId654" Type="http://schemas.openxmlformats.org/officeDocument/2006/relationships/chart" Target="../charts/chart717.xml"/><Relationship Id="rId696" Type="http://schemas.openxmlformats.org/officeDocument/2006/relationships/chart" Target="../charts/chart759.xml"/><Relationship Id="rId46" Type="http://schemas.openxmlformats.org/officeDocument/2006/relationships/chart" Target="../charts/chart109.xml"/><Relationship Id="rId293" Type="http://schemas.openxmlformats.org/officeDocument/2006/relationships/chart" Target="../charts/chart356.xml"/><Relationship Id="rId307" Type="http://schemas.openxmlformats.org/officeDocument/2006/relationships/chart" Target="../charts/chart370.xml"/><Relationship Id="rId349" Type="http://schemas.openxmlformats.org/officeDocument/2006/relationships/chart" Target="../charts/chart412.xml"/><Relationship Id="rId514" Type="http://schemas.openxmlformats.org/officeDocument/2006/relationships/chart" Target="../charts/chart577.xml"/><Relationship Id="rId556" Type="http://schemas.openxmlformats.org/officeDocument/2006/relationships/chart" Target="../charts/chart619.xml"/><Relationship Id="rId721" Type="http://schemas.openxmlformats.org/officeDocument/2006/relationships/chart" Target="../charts/chart784.xml"/><Relationship Id="rId763" Type="http://schemas.openxmlformats.org/officeDocument/2006/relationships/chart" Target="../charts/chart826.xml"/><Relationship Id="rId88" Type="http://schemas.openxmlformats.org/officeDocument/2006/relationships/chart" Target="../charts/chart151.xml"/><Relationship Id="rId111" Type="http://schemas.openxmlformats.org/officeDocument/2006/relationships/chart" Target="../charts/chart174.xml"/><Relationship Id="rId153" Type="http://schemas.openxmlformats.org/officeDocument/2006/relationships/chart" Target="../charts/chart216.xml"/><Relationship Id="rId195" Type="http://schemas.openxmlformats.org/officeDocument/2006/relationships/chart" Target="../charts/chart258.xml"/><Relationship Id="rId209" Type="http://schemas.openxmlformats.org/officeDocument/2006/relationships/chart" Target="../charts/chart272.xml"/><Relationship Id="rId360" Type="http://schemas.openxmlformats.org/officeDocument/2006/relationships/chart" Target="../charts/chart423.xml"/><Relationship Id="rId416" Type="http://schemas.openxmlformats.org/officeDocument/2006/relationships/chart" Target="../charts/chart479.xml"/><Relationship Id="rId598" Type="http://schemas.openxmlformats.org/officeDocument/2006/relationships/chart" Target="../charts/chart661.xml"/><Relationship Id="rId220" Type="http://schemas.openxmlformats.org/officeDocument/2006/relationships/chart" Target="../charts/chart283.xml"/><Relationship Id="rId458" Type="http://schemas.openxmlformats.org/officeDocument/2006/relationships/chart" Target="../charts/chart521.xml"/><Relationship Id="rId623" Type="http://schemas.openxmlformats.org/officeDocument/2006/relationships/chart" Target="../charts/chart686.xml"/><Relationship Id="rId665" Type="http://schemas.openxmlformats.org/officeDocument/2006/relationships/chart" Target="../charts/chart728.xml"/><Relationship Id="rId15" Type="http://schemas.openxmlformats.org/officeDocument/2006/relationships/chart" Target="../charts/chart78.xml"/><Relationship Id="rId57" Type="http://schemas.openxmlformats.org/officeDocument/2006/relationships/chart" Target="../charts/chart120.xml"/><Relationship Id="rId262" Type="http://schemas.openxmlformats.org/officeDocument/2006/relationships/chart" Target="../charts/chart325.xml"/><Relationship Id="rId318" Type="http://schemas.openxmlformats.org/officeDocument/2006/relationships/chart" Target="../charts/chart381.xml"/><Relationship Id="rId525" Type="http://schemas.openxmlformats.org/officeDocument/2006/relationships/chart" Target="../charts/chart588.xml"/><Relationship Id="rId567" Type="http://schemas.openxmlformats.org/officeDocument/2006/relationships/chart" Target="../charts/chart630.xml"/><Relationship Id="rId732" Type="http://schemas.openxmlformats.org/officeDocument/2006/relationships/chart" Target="../charts/chart795.xml"/><Relationship Id="rId99" Type="http://schemas.openxmlformats.org/officeDocument/2006/relationships/chart" Target="../charts/chart162.xml"/><Relationship Id="rId122" Type="http://schemas.openxmlformats.org/officeDocument/2006/relationships/chart" Target="../charts/chart185.xml"/><Relationship Id="rId164" Type="http://schemas.openxmlformats.org/officeDocument/2006/relationships/chart" Target="../charts/chart227.xml"/><Relationship Id="rId371" Type="http://schemas.openxmlformats.org/officeDocument/2006/relationships/chart" Target="../charts/chart434.xml"/><Relationship Id="rId774" Type="http://schemas.openxmlformats.org/officeDocument/2006/relationships/chart" Target="../charts/chart837.xml"/><Relationship Id="rId427" Type="http://schemas.openxmlformats.org/officeDocument/2006/relationships/chart" Target="../charts/chart490.xml"/><Relationship Id="rId469" Type="http://schemas.openxmlformats.org/officeDocument/2006/relationships/chart" Target="../charts/chart532.xml"/><Relationship Id="rId634" Type="http://schemas.openxmlformats.org/officeDocument/2006/relationships/chart" Target="../charts/chart697.xml"/><Relationship Id="rId676" Type="http://schemas.openxmlformats.org/officeDocument/2006/relationships/chart" Target="../charts/chart739.xml"/><Relationship Id="rId26" Type="http://schemas.openxmlformats.org/officeDocument/2006/relationships/chart" Target="../charts/chart89.xml"/><Relationship Id="rId231" Type="http://schemas.openxmlformats.org/officeDocument/2006/relationships/chart" Target="../charts/chart294.xml"/><Relationship Id="rId273" Type="http://schemas.openxmlformats.org/officeDocument/2006/relationships/chart" Target="../charts/chart336.xml"/><Relationship Id="rId329" Type="http://schemas.openxmlformats.org/officeDocument/2006/relationships/chart" Target="../charts/chart392.xml"/><Relationship Id="rId480" Type="http://schemas.openxmlformats.org/officeDocument/2006/relationships/chart" Target="../charts/chart543.xml"/><Relationship Id="rId536" Type="http://schemas.openxmlformats.org/officeDocument/2006/relationships/chart" Target="../charts/chart599.xml"/><Relationship Id="rId701" Type="http://schemas.openxmlformats.org/officeDocument/2006/relationships/chart" Target="../charts/chart764.xml"/><Relationship Id="rId68" Type="http://schemas.openxmlformats.org/officeDocument/2006/relationships/chart" Target="../charts/chart131.xml"/><Relationship Id="rId133" Type="http://schemas.openxmlformats.org/officeDocument/2006/relationships/chart" Target="../charts/chart196.xml"/><Relationship Id="rId175" Type="http://schemas.openxmlformats.org/officeDocument/2006/relationships/chart" Target="../charts/chart238.xml"/><Relationship Id="rId340" Type="http://schemas.openxmlformats.org/officeDocument/2006/relationships/chart" Target="../charts/chart403.xml"/><Relationship Id="rId578" Type="http://schemas.openxmlformats.org/officeDocument/2006/relationships/chart" Target="../charts/chart641.xml"/><Relationship Id="rId743" Type="http://schemas.openxmlformats.org/officeDocument/2006/relationships/chart" Target="../charts/chart806.xml"/><Relationship Id="rId785" Type="http://schemas.openxmlformats.org/officeDocument/2006/relationships/chart" Target="../charts/chart848.xml"/><Relationship Id="rId200" Type="http://schemas.openxmlformats.org/officeDocument/2006/relationships/chart" Target="../charts/chart263.xml"/><Relationship Id="rId382" Type="http://schemas.openxmlformats.org/officeDocument/2006/relationships/chart" Target="../charts/chart445.xml"/><Relationship Id="rId438" Type="http://schemas.openxmlformats.org/officeDocument/2006/relationships/chart" Target="../charts/chart501.xml"/><Relationship Id="rId603" Type="http://schemas.openxmlformats.org/officeDocument/2006/relationships/chart" Target="../charts/chart666.xml"/><Relationship Id="rId645" Type="http://schemas.openxmlformats.org/officeDocument/2006/relationships/chart" Target="../charts/chart708.xml"/><Relationship Id="rId687" Type="http://schemas.openxmlformats.org/officeDocument/2006/relationships/chart" Target="../charts/chart750.xml"/><Relationship Id="rId242" Type="http://schemas.openxmlformats.org/officeDocument/2006/relationships/chart" Target="../charts/chart305.xml"/><Relationship Id="rId284" Type="http://schemas.openxmlformats.org/officeDocument/2006/relationships/chart" Target="../charts/chart347.xml"/><Relationship Id="rId491" Type="http://schemas.openxmlformats.org/officeDocument/2006/relationships/chart" Target="../charts/chart554.xml"/><Relationship Id="rId505" Type="http://schemas.openxmlformats.org/officeDocument/2006/relationships/chart" Target="../charts/chart568.xml"/><Relationship Id="rId712" Type="http://schemas.openxmlformats.org/officeDocument/2006/relationships/chart" Target="../charts/chart775.xml"/><Relationship Id="rId37" Type="http://schemas.openxmlformats.org/officeDocument/2006/relationships/chart" Target="../charts/chart100.xml"/><Relationship Id="rId79" Type="http://schemas.openxmlformats.org/officeDocument/2006/relationships/chart" Target="../charts/chart142.xml"/><Relationship Id="rId102" Type="http://schemas.openxmlformats.org/officeDocument/2006/relationships/chart" Target="../charts/chart165.xml"/><Relationship Id="rId144" Type="http://schemas.openxmlformats.org/officeDocument/2006/relationships/chart" Target="../charts/chart207.xml"/><Relationship Id="rId547" Type="http://schemas.openxmlformats.org/officeDocument/2006/relationships/chart" Target="../charts/chart610.xml"/><Relationship Id="rId589" Type="http://schemas.openxmlformats.org/officeDocument/2006/relationships/chart" Target="../charts/chart652.xml"/><Relationship Id="rId754" Type="http://schemas.openxmlformats.org/officeDocument/2006/relationships/chart" Target="../charts/chart817.xml"/><Relationship Id="rId796" Type="http://schemas.openxmlformats.org/officeDocument/2006/relationships/chart" Target="../charts/chart859.xml"/><Relationship Id="rId90" Type="http://schemas.openxmlformats.org/officeDocument/2006/relationships/chart" Target="../charts/chart153.xml"/><Relationship Id="rId186" Type="http://schemas.openxmlformats.org/officeDocument/2006/relationships/chart" Target="../charts/chart249.xml"/><Relationship Id="rId351" Type="http://schemas.openxmlformats.org/officeDocument/2006/relationships/chart" Target="../charts/chart414.xml"/><Relationship Id="rId393" Type="http://schemas.openxmlformats.org/officeDocument/2006/relationships/chart" Target="../charts/chart456.xml"/><Relationship Id="rId407" Type="http://schemas.openxmlformats.org/officeDocument/2006/relationships/chart" Target="../charts/chart470.xml"/><Relationship Id="rId449" Type="http://schemas.openxmlformats.org/officeDocument/2006/relationships/chart" Target="../charts/chart512.xml"/><Relationship Id="rId614" Type="http://schemas.openxmlformats.org/officeDocument/2006/relationships/chart" Target="../charts/chart677.xml"/><Relationship Id="rId656" Type="http://schemas.openxmlformats.org/officeDocument/2006/relationships/chart" Target="../charts/chart719.xml"/><Relationship Id="rId211" Type="http://schemas.openxmlformats.org/officeDocument/2006/relationships/chart" Target="../charts/chart274.xml"/><Relationship Id="rId253" Type="http://schemas.openxmlformats.org/officeDocument/2006/relationships/chart" Target="../charts/chart316.xml"/><Relationship Id="rId295" Type="http://schemas.openxmlformats.org/officeDocument/2006/relationships/chart" Target="../charts/chart358.xml"/><Relationship Id="rId309" Type="http://schemas.openxmlformats.org/officeDocument/2006/relationships/chart" Target="../charts/chart372.xml"/><Relationship Id="rId460" Type="http://schemas.openxmlformats.org/officeDocument/2006/relationships/chart" Target="../charts/chart523.xml"/><Relationship Id="rId516" Type="http://schemas.openxmlformats.org/officeDocument/2006/relationships/chart" Target="../charts/chart579.xml"/><Relationship Id="rId698" Type="http://schemas.openxmlformats.org/officeDocument/2006/relationships/chart" Target="../charts/chart761.xml"/><Relationship Id="rId48" Type="http://schemas.openxmlformats.org/officeDocument/2006/relationships/chart" Target="../charts/chart111.xml"/><Relationship Id="rId113" Type="http://schemas.openxmlformats.org/officeDocument/2006/relationships/chart" Target="../charts/chart176.xml"/><Relationship Id="rId320" Type="http://schemas.openxmlformats.org/officeDocument/2006/relationships/chart" Target="../charts/chart383.xml"/><Relationship Id="rId558" Type="http://schemas.openxmlformats.org/officeDocument/2006/relationships/chart" Target="../charts/chart621.xml"/><Relationship Id="rId723" Type="http://schemas.openxmlformats.org/officeDocument/2006/relationships/chart" Target="../charts/chart786.xml"/><Relationship Id="rId765" Type="http://schemas.openxmlformats.org/officeDocument/2006/relationships/chart" Target="../charts/chart828.xml"/><Relationship Id="rId155" Type="http://schemas.openxmlformats.org/officeDocument/2006/relationships/chart" Target="../charts/chart218.xml"/><Relationship Id="rId197" Type="http://schemas.openxmlformats.org/officeDocument/2006/relationships/chart" Target="../charts/chart260.xml"/><Relationship Id="rId362" Type="http://schemas.openxmlformats.org/officeDocument/2006/relationships/chart" Target="../charts/chart425.xml"/><Relationship Id="rId418" Type="http://schemas.openxmlformats.org/officeDocument/2006/relationships/chart" Target="../charts/chart481.xml"/><Relationship Id="rId625" Type="http://schemas.openxmlformats.org/officeDocument/2006/relationships/chart" Target="../charts/chart688.xml"/><Relationship Id="rId222" Type="http://schemas.openxmlformats.org/officeDocument/2006/relationships/chart" Target="../charts/chart285.xml"/><Relationship Id="rId264" Type="http://schemas.openxmlformats.org/officeDocument/2006/relationships/chart" Target="../charts/chart327.xml"/><Relationship Id="rId471" Type="http://schemas.openxmlformats.org/officeDocument/2006/relationships/chart" Target="../charts/chart534.xml"/><Relationship Id="rId667" Type="http://schemas.openxmlformats.org/officeDocument/2006/relationships/chart" Target="../charts/chart730.xml"/><Relationship Id="rId17" Type="http://schemas.openxmlformats.org/officeDocument/2006/relationships/chart" Target="../charts/chart80.xml"/><Relationship Id="rId59" Type="http://schemas.openxmlformats.org/officeDocument/2006/relationships/chart" Target="../charts/chart122.xml"/><Relationship Id="rId124" Type="http://schemas.openxmlformats.org/officeDocument/2006/relationships/chart" Target="../charts/chart187.xml"/><Relationship Id="rId527" Type="http://schemas.openxmlformats.org/officeDocument/2006/relationships/chart" Target="../charts/chart590.xml"/><Relationship Id="rId569" Type="http://schemas.openxmlformats.org/officeDocument/2006/relationships/chart" Target="../charts/chart632.xml"/><Relationship Id="rId734" Type="http://schemas.openxmlformats.org/officeDocument/2006/relationships/chart" Target="../charts/chart797.xml"/><Relationship Id="rId776" Type="http://schemas.openxmlformats.org/officeDocument/2006/relationships/chart" Target="../charts/chart839.xml"/><Relationship Id="rId70" Type="http://schemas.openxmlformats.org/officeDocument/2006/relationships/chart" Target="../charts/chart133.xml"/><Relationship Id="rId166" Type="http://schemas.openxmlformats.org/officeDocument/2006/relationships/chart" Target="../charts/chart229.xml"/><Relationship Id="rId331" Type="http://schemas.openxmlformats.org/officeDocument/2006/relationships/chart" Target="../charts/chart394.xml"/><Relationship Id="rId373" Type="http://schemas.openxmlformats.org/officeDocument/2006/relationships/chart" Target="../charts/chart436.xml"/><Relationship Id="rId429" Type="http://schemas.openxmlformats.org/officeDocument/2006/relationships/chart" Target="../charts/chart492.xml"/><Relationship Id="rId580" Type="http://schemas.openxmlformats.org/officeDocument/2006/relationships/chart" Target="../charts/chart643.xml"/><Relationship Id="rId636" Type="http://schemas.openxmlformats.org/officeDocument/2006/relationships/chart" Target="../charts/chart699.xml"/><Relationship Id="rId801" Type="http://schemas.openxmlformats.org/officeDocument/2006/relationships/chart" Target="../charts/chart864.xml"/><Relationship Id="rId1" Type="http://schemas.openxmlformats.org/officeDocument/2006/relationships/chart" Target="../charts/chart64.xml"/><Relationship Id="rId233" Type="http://schemas.openxmlformats.org/officeDocument/2006/relationships/chart" Target="../charts/chart296.xml"/><Relationship Id="rId440" Type="http://schemas.openxmlformats.org/officeDocument/2006/relationships/chart" Target="../charts/chart503.xml"/><Relationship Id="rId678" Type="http://schemas.openxmlformats.org/officeDocument/2006/relationships/chart" Target="../charts/chart741.xml"/><Relationship Id="rId28" Type="http://schemas.openxmlformats.org/officeDocument/2006/relationships/chart" Target="../charts/chart91.xml"/><Relationship Id="rId275" Type="http://schemas.openxmlformats.org/officeDocument/2006/relationships/chart" Target="../charts/chart338.xml"/><Relationship Id="rId300" Type="http://schemas.openxmlformats.org/officeDocument/2006/relationships/chart" Target="../charts/chart363.xml"/><Relationship Id="rId482" Type="http://schemas.openxmlformats.org/officeDocument/2006/relationships/chart" Target="../charts/chart545.xml"/><Relationship Id="rId538" Type="http://schemas.openxmlformats.org/officeDocument/2006/relationships/chart" Target="../charts/chart601.xml"/><Relationship Id="rId703" Type="http://schemas.openxmlformats.org/officeDocument/2006/relationships/chart" Target="../charts/chart766.xml"/><Relationship Id="rId745" Type="http://schemas.openxmlformats.org/officeDocument/2006/relationships/chart" Target="../charts/chart808.xml"/><Relationship Id="rId81" Type="http://schemas.openxmlformats.org/officeDocument/2006/relationships/chart" Target="../charts/chart144.xml"/><Relationship Id="rId135" Type="http://schemas.openxmlformats.org/officeDocument/2006/relationships/chart" Target="../charts/chart198.xml"/><Relationship Id="rId177" Type="http://schemas.openxmlformats.org/officeDocument/2006/relationships/chart" Target="../charts/chart240.xml"/><Relationship Id="rId342" Type="http://schemas.openxmlformats.org/officeDocument/2006/relationships/chart" Target="../charts/chart405.xml"/><Relationship Id="rId384" Type="http://schemas.openxmlformats.org/officeDocument/2006/relationships/chart" Target="../charts/chart447.xml"/><Relationship Id="rId591" Type="http://schemas.openxmlformats.org/officeDocument/2006/relationships/chart" Target="../charts/chart654.xml"/><Relationship Id="rId605" Type="http://schemas.openxmlformats.org/officeDocument/2006/relationships/chart" Target="../charts/chart668.xml"/><Relationship Id="rId787" Type="http://schemas.openxmlformats.org/officeDocument/2006/relationships/chart" Target="../charts/chart850.xml"/><Relationship Id="rId202" Type="http://schemas.openxmlformats.org/officeDocument/2006/relationships/chart" Target="../charts/chart265.xml"/><Relationship Id="rId244" Type="http://schemas.openxmlformats.org/officeDocument/2006/relationships/chart" Target="../charts/chart307.xml"/><Relationship Id="rId647" Type="http://schemas.openxmlformats.org/officeDocument/2006/relationships/chart" Target="../charts/chart710.xml"/><Relationship Id="rId689" Type="http://schemas.openxmlformats.org/officeDocument/2006/relationships/chart" Target="../charts/chart752.xml"/><Relationship Id="rId39" Type="http://schemas.openxmlformats.org/officeDocument/2006/relationships/chart" Target="../charts/chart102.xml"/><Relationship Id="rId286" Type="http://schemas.openxmlformats.org/officeDocument/2006/relationships/chart" Target="../charts/chart349.xml"/><Relationship Id="rId451" Type="http://schemas.openxmlformats.org/officeDocument/2006/relationships/chart" Target="../charts/chart514.xml"/><Relationship Id="rId493" Type="http://schemas.openxmlformats.org/officeDocument/2006/relationships/chart" Target="../charts/chart556.xml"/><Relationship Id="rId507" Type="http://schemas.openxmlformats.org/officeDocument/2006/relationships/chart" Target="../charts/chart570.xml"/><Relationship Id="rId549" Type="http://schemas.openxmlformats.org/officeDocument/2006/relationships/chart" Target="../charts/chart612.xml"/><Relationship Id="rId714" Type="http://schemas.openxmlformats.org/officeDocument/2006/relationships/chart" Target="../charts/chart777.xml"/><Relationship Id="rId756" Type="http://schemas.openxmlformats.org/officeDocument/2006/relationships/chart" Target="../charts/chart819.xml"/><Relationship Id="rId50" Type="http://schemas.openxmlformats.org/officeDocument/2006/relationships/chart" Target="../charts/chart113.xml"/><Relationship Id="rId104" Type="http://schemas.openxmlformats.org/officeDocument/2006/relationships/chart" Target="../charts/chart167.xml"/><Relationship Id="rId146" Type="http://schemas.openxmlformats.org/officeDocument/2006/relationships/chart" Target="../charts/chart209.xml"/><Relationship Id="rId188" Type="http://schemas.openxmlformats.org/officeDocument/2006/relationships/chart" Target="../charts/chart251.xml"/><Relationship Id="rId311" Type="http://schemas.openxmlformats.org/officeDocument/2006/relationships/chart" Target="../charts/chart374.xml"/><Relationship Id="rId353" Type="http://schemas.openxmlformats.org/officeDocument/2006/relationships/chart" Target="../charts/chart416.xml"/><Relationship Id="rId395" Type="http://schemas.openxmlformats.org/officeDocument/2006/relationships/chart" Target="../charts/chart458.xml"/><Relationship Id="rId409" Type="http://schemas.openxmlformats.org/officeDocument/2006/relationships/chart" Target="../charts/chart472.xml"/><Relationship Id="rId560" Type="http://schemas.openxmlformats.org/officeDocument/2006/relationships/chart" Target="../charts/chart623.xml"/><Relationship Id="rId798" Type="http://schemas.openxmlformats.org/officeDocument/2006/relationships/chart" Target="../charts/chart861.xml"/><Relationship Id="rId92" Type="http://schemas.openxmlformats.org/officeDocument/2006/relationships/chart" Target="../charts/chart155.xml"/><Relationship Id="rId213" Type="http://schemas.openxmlformats.org/officeDocument/2006/relationships/chart" Target="../charts/chart276.xml"/><Relationship Id="rId420" Type="http://schemas.openxmlformats.org/officeDocument/2006/relationships/chart" Target="../charts/chart483.xml"/><Relationship Id="rId616" Type="http://schemas.openxmlformats.org/officeDocument/2006/relationships/chart" Target="../charts/chart679.xml"/><Relationship Id="rId658" Type="http://schemas.openxmlformats.org/officeDocument/2006/relationships/chart" Target="../charts/chart721.xml"/><Relationship Id="rId255" Type="http://schemas.openxmlformats.org/officeDocument/2006/relationships/chart" Target="../charts/chart318.xml"/><Relationship Id="rId297" Type="http://schemas.openxmlformats.org/officeDocument/2006/relationships/chart" Target="../charts/chart360.xml"/><Relationship Id="rId462" Type="http://schemas.openxmlformats.org/officeDocument/2006/relationships/chart" Target="../charts/chart525.xml"/><Relationship Id="rId518" Type="http://schemas.openxmlformats.org/officeDocument/2006/relationships/chart" Target="../charts/chart581.xml"/><Relationship Id="rId725" Type="http://schemas.openxmlformats.org/officeDocument/2006/relationships/chart" Target="../charts/chart788.xml"/><Relationship Id="rId115" Type="http://schemas.openxmlformats.org/officeDocument/2006/relationships/chart" Target="../charts/chart178.xml"/><Relationship Id="rId157" Type="http://schemas.openxmlformats.org/officeDocument/2006/relationships/chart" Target="../charts/chart220.xml"/><Relationship Id="rId322" Type="http://schemas.openxmlformats.org/officeDocument/2006/relationships/chart" Target="../charts/chart385.xml"/><Relationship Id="rId364" Type="http://schemas.openxmlformats.org/officeDocument/2006/relationships/chart" Target="../charts/chart427.xml"/><Relationship Id="rId767" Type="http://schemas.openxmlformats.org/officeDocument/2006/relationships/chart" Target="../charts/chart830.xml"/><Relationship Id="rId61" Type="http://schemas.openxmlformats.org/officeDocument/2006/relationships/chart" Target="../charts/chart124.xml"/><Relationship Id="rId199" Type="http://schemas.openxmlformats.org/officeDocument/2006/relationships/chart" Target="../charts/chart262.xml"/><Relationship Id="rId571" Type="http://schemas.openxmlformats.org/officeDocument/2006/relationships/chart" Target="../charts/chart634.xml"/><Relationship Id="rId627" Type="http://schemas.openxmlformats.org/officeDocument/2006/relationships/chart" Target="../charts/chart690.xml"/><Relationship Id="rId669" Type="http://schemas.openxmlformats.org/officeDocument/2006/relationships/chart" Target="../charts/chart732.xml"/><Relationship Id="rId19" Type="http://schemas.openxmlformats.org/officeDocument/2006/relationships/chart" Target="../charts/chart82.xml"/><Relationship Id="rId224" Type="http://schemas.openxmlformats.org/officeDocument/2006/relationships/chart" Target="../charts/chart287.xml"/><Relationship Id="rId266" Type="http://schemas.openxmlformats.org/officeDocument/2006/relationships/chart" Target="../charts/chart329.xml"/><Relationship Id="rId431" Type="http://schemas.openxmlformats.org/officeDocument/2006/relationships/chart" Target="../charts/chart494.xml"/><Relationship Id="rId473" Type="http://schemas.openxmlformats.org/officeDocument/2006/relationships/chart" Target="../charts/chart536.xml"/><Relationship Id="rId529" Type="http://schemas.openxmlformats.org/officeDocument/2006/relationships/chart" Target="../charts/chart592.xml"/><Relationship Id="rId680" Type="http://schemas.openxmlformats.org/officeDocument/2006/relationships/chart" Target="../charts/chart743.xml"/><Relationship Id="rId736" Type="http://schemas.openxmlformats.org/officeDocument/2006/relationships/chart" Target="../charts/chart799.xml"/><Relationship Id="rId30" Type="http://schemas.openxmlformats.org/officeDocument/2006/relationships/chart" Target="../charts/chart93.xml"/><Relationship Id="rId126" Type="http://schemas.openxmlformats.org/officeDocument/2006/relationships/chart" Target="../charts/chart189.xml"/><Relationship Id="rId168" Type="http://schemas.openxmlformats.org/officeDocument/2006/relationships/chart" Target="../charts/chart231.xml"/><Relationship Id="rId333" Type="http://schemas.openxmlformats.org/officeDocument/2006/relationships/chart" Target="../charts/chart396.xml"/><Relationship Id="rId540" Type="http://schemas.openxmlformats.org/officeDocument/2006/relationships/chart" Target="../charts/chart603.xml"/><Relationship Id="rId778" Type="http://schemas.openxmlformats.org/officeDocument/2006/relationships/chart" Target="../charts/chart841.xml"/><Relationship Id="rId72" Type="http://schemas.openxmlformats.org/officeDocument/2006/relationships/chart" Target="../charts/chart135.xml"/><Relationship Id="rId375" Type="http://schemas.openxmlformats.org/officeDocument/2006/relationships/chart" Target="../charts/chart438.xml"/><Relationship Id="rId582" Type="http://schemas.openxmlformats.org/officeDocument/2006/relationships/chart" Target="../charts/chart645.xml"/><Relationship Id="rId638" Type="http://schemas.openxmlformats.org/officeDocument/2006/relationships/chart" Target="../charts/chart701.xml"/><Relationship Id="rId3" Type="http://schemas.openxmlformats.org/officeDocument/2006/relationships/chart" Target="../charts/chart66.xml"/><Relationship Id="rId235" Type="http://schemas.openxmlformats.org/officeDocument/2006/relationships/chart" Target="../charts/chart298.xml"/><Relationship Id="rId277" Type="http://schemas.openxmlformats.org/officeDocument/2006/relationships/chart" Target="../charts/chart340.xml"/><Relationship Id="rId400" Type="http://schemas.openxmlformats.org/officeDocument/2006/relationships/chart" Target="../charts/chart463.xml"/><Relationship Id="rId442" Type="http://schemas.openxmlformats.org/officeDocument/2006/relationships/chart" Target="../charts/chart505.xml"/><Relationship Id="rId484" Type="http://schemas.openxmlformats.org/officeDocument/2006/relationships/chart" Target="../charts/chart547.xml"/><Relationship Id="rId705" Type="http://schemas.openxmlformats.org/officeDocument/2006/relationships/chart" Target="../charts/chart768.xml"/><Relationship Id="rId137" Type="http://schemas.openxmlformats.org/officeDocument/2006/relationships/chart" Target="../charts/chart200.xml"/><Relationship Id="rId302" Type="http://schemas.openxmlformats.org/officeDocument/2006/relationships/chart" Target="../charts/chart365.xml"/><Relationship Id="rId344" Type="http://schemas.openxmlformats.org/officeDocument/2006/relationships/chart" Target="../charts/chart407.xml"/><Relationship Id="rId691" Type="http://schemas.openxmlformats.org/officeDocument/2006/relationships/chart" Target="../charts/chart754.xml"/><Relationship Id="rId747" Type="http://schemas.openxmlformats.org/officeDocument/2006/relationships/chart" Target="../charts/chart810.xml"/><Relationship Id="rId789" Type="http://schemas.openxmlformats.org/officeDocument/2006/relationships/chart" Target="../charts/chart852.xml"/><Relationship Id="rId41" Type="http://schemas.openxmlformats.org/officeDocument/2006/relationships/chart" Target="../charts/chart104.xml"/><Relationship Id="rId83" Type="http://schemas.openxmlformats.org/officeDocument/2006/relationships/chart" Target="../charts/chart146.xml"/><Relationship Id="rId179" Type="http://schemas.openxmlformats.org/officeDocument/2006/relationships/chart" Target="../charts/chart242.xml"/><Relationship Id="rId386" Type="http://schemas.openxmlformats.org/officeDocument/2006/relationships/chart" Target="../charts/chart449.xml"/><Relationship Id="rId551" Type="http://schemas.openxmlformats.org/officeDocument/2006/relationships/chart" Target="../charts/chart614.xml"/><Relationship Id="rId593" Type="http://schemas.openxmlformats.org/officeDocument/2006/relationships/chart" Target="../charts/chart656.xml"/><Relationship Id="rId607" Type="http://schemas.openxmlformats.org/officeDocument/2006/relationships/chart" Target="../charts/chart670.xml"/><Relationship Id="rId649" Type="http://schemas.openxmlformats.org/officeDocument/2006/relationships/chart" Target="../charts/chart712.xml"/><Relationship Id="rId190" Type="http://schemas.openxmlformats.org/officeDocument/2006/relationships/chart" Target="../charts/chart253.xml"/><Relationship Id="rId204" Type="http://schemas.openxmlformats.org/officeDocument/2006/relationships/chart" Target="../charts/chart267.xml"/><Relationship Id="rId246" Type="http://schemas.openxmlformats.org/officeDocument/2006/relationships/chart" Target="../charts/chart309.xml"/><Relationship Id="rId288" Type="http://schemas.openxmlformats.org/officeDocument/2006/relationships/chart" Target="../charts/chart351.xml"/><Relationship Id="rId411" Type="http://schemas.openxmlformats.org/officeDocument/2006/relationships/chart" Target="../charts/chart474.xml"/><Relationship Id="rId453" Type="http://schemas.openxmlformats.org/officeDocument/2006/relationships/chart" Target="../charts/chart516.xml"/><Relationship Id="rId509" Type="http://schemas.openxmlformats.org/officeDocument/2006/relationships/chart" Target="../charts/chart572.xml"/><Relationship Id="rId660" Type="http://schemas.openxmlformats.org/officeDocument/2006/relationships/chart" Target="../charts/chart723.xml"/><Relationship Id="rId106" Type="http://schemas.openxmlformats.org/officeDocument/2006/relationships/chart" Target="../charts/chart169.xml"/><Relationship Id="rId313" Type="http://schemas.openxmlformats.org/officeDocument/2006/relationships/chart" Target="../charts/chart376.xml"/><Relationship Id="rId495" Type="http://schemas.openxmlformats.org/officeDocument/2006/relationships/chart" Target="../charts/chart558.xml"/><Relationship Id="rId716" Type="http://schemas.openxmlformats.org/officeDocument/2006/relationships/chart" Target="../charts/chart779.xml"/><Relationship Id="rId758" Type="http://schemas.openxmlformats.org/officeDocument/2006/relationships/chart" Target="../charts/chart821.xml"/><Relationship Id="rId10" Type="http://schemas.openxmlformats.org/officeDocument/2006/relationships/chart" Target="../charts/chart73.xml"/><Relationship Id="rId52" Type="http://schemas.openxmlformats.org/officeDocument/2006/relationships/chart" Target="../charts/chart115.xml"/><Relationship Id="rId94" Type="http://schemas.openxmlformats.org/officeDocument/2006/relationships/chart" Target="../charts/chart157.xml"/><Relationship Id="rId148" Type="http://schemas.openxmlformats.org/officeDocument/2006/relationships/chart" Target="../charts/chart211.xml"/><Relationship Id="rId355" Type="http://schemas.openxmlformats.org/officeDocument/2006/relationships/chart" Target="../charts/chart418.xml"/><Relationship Id="rId397" Type="http://schemas.openxmlformats.org/officeDocument/2006/relationships/chart" Target="../charts/chart460.xml"/><Relationship Id="rId520" Type="http://schemas.openxmlformats.org/officeDocument/2006/relationships/chart" Target="../charts/chart583.xml"/><Relationship Id="rId562" Type="http://schemas.openxmlformats.org/officeDocument/2006/relationships/chart" Target="../charts/chart625.xml"/><Relationship Id="rId618" Type="http://schemas.openxmlformats.org/officeDocument/2006/relationships/chart" Target="../charts/chart681.xml"/><Relationship Id="rId215" Type="http://schemas.openxmlformats.org/officeDocument/2006/relationships/chart" Target="../charts/chart278.xml"/><Relationship Id="rId257" Type="http://schemas.openxmlformats.org/officeDocument/2006/relationships/chart" Target="../charts/chart320.xml"/><Relationship Id="rId422" Type="http://schemas.openxmlformats.org/officeDocument/2006/relationships/chart" Target="../charts/chart485.xml"/><Relationship Id="rId464" Type="http://schemas.openxmlformats.org/officeDocument/2006/relationships/chart" Target="../charts/chart527.xml"/><Relationship Id="rId299" Type="http://schemas.openxmlformats.org/officeDocument/2006/relationships/chart" Target="../charts/chart362.xml"/><Relationship Id="rId727" Type="http://schemas.openxmlformats.org/officeDocument/2006/relationships/chart" Target="../charts/chart790.xml"/><Relationship Id="rId63" Type="http://schemas.openxmlformats.org/officeDocument/2006/relationships/chart" Target="../charts/chart126.xml"/><Relationship Id="rId159" Type="http://schemas.openxmlformats.org/officeDocument/2006/relationships/chart" Target="../charts/chart222.xml"/><Relationship Id="rId366" Type="http://schemas.openxmlformats.org/officeDocument/2006/relationships/chart" Target="../charts/chart429.xml"/><Relationship Id="rId573" Type="http://schemas.openxmlformats.org/officeDocument/2006/relationships/chart" Target="../charts/chart636.xml"/><Relationship Id="rId780" Type="http://schemas.openxmlformats.org/officeDocument/2006/relationships/chart" Target="../charts/chart843.xml"/><Relationship Id="rId226" Type="http://schemas.openxmlformats.org/officeDocument/2006/relationships/chart" Target="../charts/chart289.xml"/><Relationship Id="rId433" Type="http://schemas.openxmlformats.org/officeDocument/2006/relationships/chart" Target="../charts/chart496.xml"/><Relationship Id="rId640" Type="http://schemas.openxmlformats.org/officeDocument/2006/relationships/chart" Target="../charts/chart703.xml"/><Relationship Id="rId738" Type="http://schemas.openxmlformats.org/officeDocument/2006/relationships/chart" Target="../charts/chart801.xml"/><Relationship Id="rId74" Type="http://schemas.openxmlformats.org/officeDocument/2006/relationships/chart" Target="../charts/chart137.xml"/><Relationship Id="rId377" Type="http://schemas.openxmlformats.org/officeDocument/2006/relationships/chart" Target="../charts/chart440.xml"/><Relationship Id="rId500" Type="http://schemas.openxmlformats.org/officeDocument/2006/relationships/chart" Target="../charts/chart563.xml"/><Relationship Id="rId584" Type="http://schemas.openxmlformats.org/officeDocument/2006/relationships/chart" Target="../charts/chart647.xml"/><Relationship Id="rId5" Type="http://schemas.openxmlformats.org/officeDocument/2006/relationships/chart" Target="../charts/chart68.xml"/><Relationship Id="rId237" Type="http://schemas.openxmlformats.org/officeDocument/2006/relationships/chart" Target="../charts/chart300.xml"/><Relationship Id="rId791" Type="http://schemas.openxmlformats.org/officeDocument/2006/relationships/chart" Target="../charts/chart854.xml"/><Relationship Id="rId444" Type="http://schemas.openxmlformats.org/officeDocument/2006/relationships/chart" Target="../charts/chart507.xml"/><Relationship Id="rId651" Type="http://schemas.openxmlformats.org/officeDocument/2006/relationships/chart" Target="../charts/chart714.xml"/><Relationship Id="rId749" Type="http://schemas.openxmlformats.org/officeDocument/2006/relationships/chart" Target="../charts/chart812.xml"/><Relationship Id="rId290" Type="http://schemas.openxmlformats.org/officeDocument/2006/relationships/chart" Target="../charts/chart353.xml"/><Relationship Id="rId304" Type="http://schemas.openxmlformats.org/officeDocument/2006/relationships/chart" Target="../charts/chart367.xml"/><Relationship Id="rId388" Type="http://schemas.openxmlformats.org/officeDocument/2006/relationships/chart" Target="../charts/chart451.xml"/><Relationship Id="rId511" Type="http://schemas.openxmlformats.org/officeDocument/2006/relationships/chart" Target="../charts/chart574.xml"/><Relationship Id="rId609" Type="http://schemas.openxmlformats.org/officeDocument/2006/relationships/chart" Target="../charts/chart672.xml"/><Relationship Id="rId85" Type="http://schemas.openxmlformats.org/officeDocument/2006/relationships/chart" Target="../charts/chart148.xml"/><Relationship Id="rId150" Type="http://schemas.openxmlformats.org/officeDocument/2006/relationships/chart" Target="../charts/chart213.xml"/><Relationship Id="rId595" Type="http://schemas.openxmlformats.org/officeDocument/2006/relationships/chart" Target="../charts/chart658.xml"/><Relationship Id="rId248" Type="http://schemas.openxmlformats.org/officeDocument/2006/relationships/chart" Target="../charts/chart311.xml"/><Relationship Id="rId455" Type="http://schemas.openxmlformats.org/officeDocument/2006/relationships/chart" Target="../charts/chart518.xml"/><Relationship Id="rId662" Type="http://schemas.openxmlformats.org/officeDocument/2006/relationships/chart" Target="../charts/chart725.xml"/><Relationship Id="rId12" Type="http://schemas.openxmlformats.org/officeDocument/2006/relationships/chart" Target="../charts/chart75.xml"/><Relationship Id="rId108" Type="http://schemas.openxmlformats.org/officeDocument/2006/relationships/chart" Target="../charts/chart171.xml"/><Relationship Id="rId315" Type="http://schemas.openxmlformats.org/officeDocument/2006/relationships/chart" Target="../charts/chart378.xml"/><Relationship Id="rId522" Type="http://schemas.openxmlformats.org/officeDocument/2006/relationships/chart" Target="../charts/chart585.xml"/><Relationship Id="rId96" Type="http://schemas.openxmlformats.org/officeDocument/2006/relationships/chart" Target="../charts/chart159.xml"/><Relationship Id="rId161" Type="http://schemas.openxmlformats.org/officeDocument/2006/relationships/chart" Target="../charts/chart224.xml"/><Relationship Id="rId399" Type="http://schemas.openxmlformats.org/officeDocument/2006/relationships/chart" Target="../charts/chart462.xml"/><Relationship Id="rId259" Type="http://schemas.openxmlformats.org/officeDocument/2006/relationships/chart" Target="../charts/chart322.xml"/><Relationship Id="rId466" Type="http://schemas.openxmlformats.org/officeDocument/2006/relationships/chart" Target="../charts/chart529.xml"/><Relationship Id="rId673" Type="http://schemas.openxmlformats.org/officeDocument/2006/relationships/chart" Target="../charts/chart736.xml"/><Relationship Id="rId23" Type="http://schemas.openxmlformats.org/officeDocument/2006/relationships/chart" Target="../charts/chart86.xml"/><Relationship Id="rId119" Type="http://schemas.openxmlformats.org/officeDocument/2006/relationships/chart" Target="../charts/chart182.xml"/><Relationship Id="rId326" Type="http://schemas.openxmlformats.org/officeDocument/2006/relationships/chart" Target="../charts/chart389.xml"/><Relationship Id="rId533" Type="http://schemas.openxmlformats.org/officeDocument/2006/relationships/chart" Target="../charts/chart596.xml"/><Relationship Id="rId740" Type="http://schemas.openxmlformats.org/officeDocument/2006/relationships/chart" Target="../charts/chart803.xml"/><Relationship Id="rId172" Type="http://schemas.openxmlformats.org/officeDocument/2006/relationships/chart" Target="../charts/chart235.xml"/><Relationship Id="rId477" Type="http://schemas.openxmlformats.org/officeDocument/2006/relationships/chart" Target="../charts/chart540.xml"/><Relationship Id="rId600" Type="http://schemas.openxmlformats.org/officeDocument/2006/relationships/chart" Target="../charts/chart663.xml"/><Relationship Id="rId684" Type="http://schemas.openxmlformats.org/officeDocument/2006/relationships/chart" Target="../charts/chart747.xml"/><Relationship Id="rId337" Type="http://schemas.openxmlformats.org/officeDocument/2006/relationships/chart" Target="../charts/chart400.xml"/><Relationship Id="rId34" Type="http://schemas.openxmlformats.org/officeDocument/2006/relationships/chart" Target="../charts/chart97.xml"/><Relationship Id="rId544" Type="http://schemas.openxmlformats.org/officeDocument/2006/relationships/chart" Target="../charts/chart607.xml"/><Relationship Id="rId751" Type="http://schemas.openxmlformats.org/officeDocument/2006/relationships/chart" Target="../charts/chart814.xml"/><Relationship Id="rId183" Type="http://schemas.openxmlformats.org/officeDocument/2006/relationships/chart" Target="../charts/chart246.xml"/><Relationship Id="rId390" Type="http://schemas.openxmlformats.org/officeDocument/2006/relationships/chart" Target="../charts/chart453.xml"/><Relationship Id="rId404" Type="http://schemas.openxmlformats.org/officeDocument/2006/relationships/chart" Target="../charts/chart467.xml"/><Relationship Id="rId611" Type="http://schemas.openxmlformats.org/officeDocument/2006/relationships/chart" Target="../charts/chart674.xml"/><Relationship Id="rId250" Type="http://schemas.openxmlformats.org/officeDocument/2006/relationships/chart" Target="../charts/chart313.xml"/><Relationship Id="rId488" Type="http://schemas.openxmlformats.org/officeDocument/2006/relationships/chart" Target="../charts/chart551.xml"/><Relationship Id="rId695" Type="http://schemas.openxmlformats.org/officeDocument/2006/relationships/chart" Target="../charts/chart758.xml"/><Relationship Id="rId709" Type="http://schemas.openxmlformats.org/officeDocument/2006/relationships/chart" Target="../charts/chart772.xml"/><Relationship Id="rId45" Type="http://schemas.openxmlformats.org/officeDocument/2006/relationships/chart" Target="../charts/chart108.xml"/><Relationship Id="rId110" Type="http://schemas.openxmlformats.org/officeDocument/2006/relationships/chart" Target="../charts/chart173.xml"/><Relationship Id="rId348" Type="http://schemas.openxmlformats.org/officeDocument/2006/relationships/chart" Target="../charts/chart411.xml"/><Relationship Id="rId555" Type="http://schemas.openxmlformats.org/officeDocument/2006/relationships/chart" Target="../charts/chart618.xml"/><Relationship Id="rId762" Type="http://schemas.openxmlformats.org/officeDocument/2006/relationships/chart" Target="../charts/chart825.xml"/><Relationship Id="rId194" Type="http://schemas.openxmlformats.org/officeDocument/2006/relationships/chart" Target="../charts/chart257.xml"/><Relationship Id="rId208" Type="http://schemas.openxmlformats.org/officeDocument/2006/relationships/chart" Target="../charts/chart271.xml"/><Relationship Id="rId415" Type="http://schemas.openxmlformats.org/officeDocument/2006/relationships/chart" Target="../charts/chart478.xml"/><Relationship Id="rId622" Type="http://schemas.openxmlformats.org/officeDocument/2006/relationships/chart" Target="../charts/chart685.xml"/><Relationship Id="rId261" Type="http://schemas.openxmlformats.org/officeDocument/2006/relationships/chart" Target="../charts/chart324.xml"/><Relationship Id="rId499" Type="http://schemas.openxmlformats.org/officeDocument/2006/relationships/chart" Target="../charts/chart562.xml"/><Relationship Id="rId56" Type="http://schemas.openxmlformats.org/officeDocument/2006/relationships/chart" Target="../charts/chart119.xml"/><Relationship Id="rId359" Type="http://schemas.openxmlformats.org/officeDocument/2006/relationships/chart" Target="../charts/chart422.xml"/><Relationship Id="rId566" Type="http://schemas.openxmlformats.org/officeDocument/2006/relationships/chart" Target="../charts/chart629.xml"/><Relationship Id="rId773" Type="http://schemas.openxmlformats.org/officeDocument/2006/relationships/chart" Target="../charts/chart836.xml"/><Relationship Id="rId121" Type="http://schemas.openxmlformats.org/officeDocument/2006/relationships/chart" Target="../charts/chart184.xml"/><Relationship Id="rId219" Type="http://schemas.openxmlformats.org/officeDocument/2006/relationships/chart" Target="../charts/chart282.xml"/><Relationship Id="rId426" Type="http://schemas.openxmlformats.org/officeDocument/2006/relationships/chart" Target="../charts/chart489.xml"/><Relationship Id="rId633" Type="http://schemas.openxmlformats.org/officeDocument/2006/relationships/chart" Target="../charts/chart696.xml"/><Relationship Id="rId67" Type="http://schemas.openxmlformats.org/officeDocument/2006/relationships/chart" Target="../charts/chart130.xml"/><Relationship Id="rId272" Type="http://schemas.openxmlformats.org/officeDocument/2006/relationships/chart" Target="../charts/chart335.xml"/><Relationship Id="rId577" Type="http://schemas.openxmlformats.org/officeDocument/2006/relationships/chart" Target="../charts/chart640.xml"/><Relationship Id="rId700" Type="http://schemas.openxmlformats.org/officeDocument/2006/relationships/chart" Target="../charts/chart763.xml"/><Relationship Id="rId132" Type="http://schemas.openxmlformats.org/officeDocument/2006/relationships/chart" Target="../charts/chart195.xml"/><Relationship Id="rId784" Type="http://schemas.openxmlformats.org/officeDocument/2006/relationships/chart" Target="../charts/chart847.xml"/><Relationship Id="rId437" Type="http://schemas.openxmlformats.org/officeDocument/2006/relationships/chart" Target="../charts/chart500.xml"/><Relationship Id="rId644" Type="http://schemas.openxmlformats.org/officeDocument/2006/relationships/chart" Target="../charts/chart707.xml"/><Relationship Id="rId283" Type="http://schemas.openxmlformats.org/officeDocument/2006/relationships/chart" Target="../charts/chart346.xml"/><Relationship Id="rId490" Type="http://schemas.openxmlformats.org/officeDocument/2006/relationships/chart" Target="../charts/chart553.xml"/><Relationship Id="rId504" Type="http://schemas.openxmlformats.org/officeDocument/2006/relationships/chart" Target="../charts/chart567.xml"/><Relationship Id="rId711" Type="http://schemas.openxmlformats.org/officeDocument/2006/relationships/chart" Target="../charts/chart774.xml"/><Relationship Id="rId78" Type="http://schemas.openxmlformats.org/officeDocument/2006/relationships/chart" Target="../charts/chart141.xml"/><Relationship Id="rId143" Type="http://schemas.openxmlformats.org/officeDocument/2006/relationships/chart" Target="../charts/chart206.xml"/><Relationship Id="rId350" Type="http://schemas.openxmlformats.org/officeDocument/2006/relationships/chart" Target="../charts/chart413.xml"/><Relationship Id="rId588" Type="http://schemas.openxmlformats.org/officeDocument/2006/relationships/chart" Target="../charts/chart651.xml"/><Relationship Id="rId795" Type="http://schemas.openxmlformats.org/officeDocument/2006/relationships/chart" Target="../charts/chart858.xml"/><Relationship Id="rId9" Type="http://schemas.openxmlformats.org/officeDocument/2006/relationships/chart" Target="../charts/chart72.xml"/><Relationship Id="rId210" Type="http://schemas.openxmlformats.org/officeDocument/2006/relationships/chart" Target="../charts/chart273.xml"/><Relationship Id="rId448" Type="http://schemas.openxmlformats.org/officeDocument/2006/relationships/chart" Target="../charts/chart511.xml"/><Relationship Id="rId655" Type="http://schemas.openxmlformats.org/officeDocument/2006/relationships/chart" Target="../charts/chart718.xml"/><Relationship Id="rId294" Type="http://schemas.openxmlformats.org/officeDocument/2006/relationships/chart" Target="../charts/chart357.xml"/><Relationship Id="rId308" Type="http://schemas.openxmlformats.org/officeDocument/2006/relationships/chart" Target="../charts/chart371.xml"/><Relationship Id="rId515" Type="http://schemas.openxmlformats.org/officeDocument/2006/relationships/chart" Target="../charts/chart578.xml"/><Relationship Id="rId722" Type="http://schemas.openxmlformats.org/officeDocument/2006/relationships/chart" Target="../charts/chart785.xml"/><Relationship Id="rId89" Type="http://schemas.openxmlformats.org/officeDocument/2006/relationships/chart" Target="../charts/chart152.xml"/><Relationship Id="rId154" Type="http://schemas.openxmlformats.org/officeDocument/2006/relationships/chart" Target="../charts/chart217.xml"/><Relationship Id="rId361" Type="http://schemas.openxmlformats.org/officeDocument/2006/relationships/chart" Target="../charts/chart424.xml"/><Relationship Id="rId599" Type="http://schemas.openxmlformats.org/officeDocument/2006/relationships/chart" Target="../charts/chart662.xml"/><Relationship Id="rId459" Type="http://schemas.openxmlformats.org/officeDocument/2006/relationships/chart" Target="../charts/chart522.xml"/><Relationship Id="rId666" Type="http://schemas.openxmlformats.org/officeDocument/2006/relationships/chart" Target="../charts/chart729.xml"/><Relationship Id="rId16" Type="http://schemas.openxmlformats.org/officeDocument/2006/relationships/chart" Target="../charts/chart79.xml"/><Relationship Id="rId221" Type="http://schemas.openxmlformats.org/officeDocument/2006/relationships/chart" Target="../charts/chart284.xml"/><Relationship Id="rId319" Type="http://schemas.openxmlformats.org/officeDocument/2006/relationships/chart" Target="../charts/chart382.xml"/><Relationship Id="rId526" Type="http://schemas.openxmlformats.org/officeDocument/2006/relationships/chart" Target="../charts/chart589.xml"/><Relationship Id="rId733" Type="http://schemas.openxmlformats.org/officeDocument/2006/relationships/chart" Target="../charts/chart796.xml"/><Relationship Id="rId165" Type="http://schemas.openxmlformats.org/officeDocument/2006/relationships/chart" Target="../charts/chart228.xml"/><Relationship Id="rId372" Type="http://schemas.openxmlformats.org/officeDocument/2006/relationships/chart" Target="../charts/chart435.xml"/><Relationship Id="rId677" Type="http://schemas.openxmlformats.org/officeDocument/2006/relationships/chart" Target="../charts/chart740.xml"/><Relationship Id="rId800" Type="http://schemas.openxmlformats.org/officeDocument/2006/relationships/chart" Target="../charts/chart863.xml"/><Relationship Id="rId232" Type="http://schemas.openxmlformats.org/officeDocument/2006/relationships/chart" Target="../charts/chart295.xml"/><Relationship Id="rId27" Type="http://schemas.openxmlformats.org/officeDocument/2006/relationships/chart" Target="../charts/chart90.xml"/><Relationship Id="rId537" Type="http://schemas.openxmlformats.org/officeDocument/2006/relationships/chart" Target="../charts/chart600.xml"/><Relationship Id="rId744" Type="http://schemas.openxmlformats.org/officeDocument/2006/relationships/chart" Target="../charts/chart807.xml"/><Relationship Id="rId80" Type="http://schemas.openxmlformats.org/officeDocument/2006/relationships/chart" Target="../charts/chart143.xml"/><Relationship Id="rId176" Type="http://schemas.openxmlformats.org/officeDocument/2006/relationships/chart" Target="../charts/chart239.xml"/><Relationship Id="rId383" Type="http://schemas.openxmlformats.org/officeDocument/2006/relationships/chart" Target="../charts/chart446.xml"/><Relationship Id="rId590" Type="http://schemas.openxmlformats.org/officeDocument/2006/relationships/chart" Target="../charts/chart653.xml"/><Relationship Id="rId604" Type="http://schemas.openxmlformats.org/officeDocument/2006/relationships/chart" Target="../charts/chart667.xml"/><Relationship Id="rId243" Type="http://schemas.openxmlformats.org/officeDocument/2006/relationships/chart" Target="../charts/chart306.xml"/><Relationship Id="rId450" Type="http://schemas.openxmlformats.org/officeDocument/2006/relationships/chart" Target="../charts/chart513.xml"/><Relationship Id="rId688" Type="http://schemas.openxmlformats.org/officeDocument/2006/relationships/chart" Target="../charts/chart751.xml"/><Relationship Id="rId38" Type="http://schemas.openxmlformats.org/officeDocument/2006/relationships/chart" Target="../charts/chart101.xml"/><Relationship Id="rId103" Type="http://schemas.openxmlformats.org/officeDocument/2006/relationships/chart" Target="../charts/chart166.xml"/><Relationship Id="rId310" Type="http://schemas.openxmlformats.org/officeDocument/2006/relationships/chart" Target="../charts/chart373.xml"/><Relationship Id="rId548" Type="http://schemas.openxmlformats.org/officeDocument/2006/relationships/chart" Target="../charts/chart611.xml"/><Relationship Id="rId755" Type="http://schemas.openxmlformats.org/officeDocument/2006/relationships/chart" Target="../charts/chart818.xml"/><Relationship Id="rId91" Type="http://schemas.openxmlformats.org/officeDocument/2006/relationships/chart" Target="../charts/chart154.xml"/><Relationship Id="rId187" Type="http://schemas.openxmlformats.org/officeDocument/2006/relationships/chart" Target="../charts/chart250.xml"/><Relationship Id="rId394" Type="http://schemas.openxmlformats.org/officeDocument/2006/relationships/chart" Target="../charts/chart457.xml"/><Relationship Id="rId408" Type="http://schemas.openxmlformats.org/officeDocument/2006/relationships/chart" Target="../charts/chart471.xml"/><Relationship Id="rId615" Type="http://schemas.openxmlformats.org/officeDocument/2006/relationships/chart" Target="../charts/chart678.xml"/><Relationship Id="rId254" Type="http://schemas.openxmlformats.org/officeDocument/2006/relationships/chart" Target="../charts/chart317.xml"/><Relationship Id="rId699" Type="http://schemas.openxmlformats.org/officeDocument/2006/relationships/chart" Target="../charts/chart762.xml"/><Relationship Id="rId49" Type="http://schemas.openxmlformats.org/officeDocument/2006/relationships/chart" Target="../charts/chart112.xml"/><Relationship Id="rId114" Type="http://schemas.openxmlformats.org/officeDocument/2006/relationships/chart" Target="../charts/chart177.xml"/><Relationship Id="rId461" Type="http://schemas.openxmlformats.org/officeDocument/2006/relationships/chart" Target="../charts/chart524.xml"/><Relationship Id="rId559" Type="http://schemas.openxmlformats.org/officeDocument/2006/relationships/chart" Target="../charts/chart622.xml"/><Relationship Id="rId766" Type="http://schemas.openxmlformats.org/officeDocument/2006/relationships/chart" Target="../charts/chart829.xml"/><Relationship Id="rId198" Type="http://schemas.openxmlformats.org/officeDocument/2006/relationships/chart" Target="../charts/chart261.xml"/><Relationship Id="rId321" Type="http://schemas.openxmlformats.org/officeDocument/2006/relationships/chart" Target="../charts/chart384.xml"/><Relationship Id="rId419" Type="http://schemas.openxmlformats.org/officeDocument/2006/relationships/chart" Target="../charts/chart482.xml"/><Relationship Id="rId626" Type="http://schemas.openxmlformats.org/officeDocument/2006/relationships/chart" Target="../charts/chart689.xml"/><Relationship Id="rId265" Type="http://schemas.openxmlformats.org/officeDocument/2006/relationships/chart" Target="../charts/chart328.xml"/><Relationship Id="rId472" Type="http://schemas.openxmlformats.org/officeDocument/2006/relationships/chart" Target="../charts/chart535.xml"/><Relationship Id="rId125" Type="http://schemas.openxmlformats.org/officeDocument/2006/relationships/chart" Target="../charts/chart188.xml"/><Relationship Id="rId332" Type="http://schemas.openxmlformats.org/officeDocument/2006/relationships/chart" Target="../charts/chart395.xml"/><Relationship Id="rId777" Type="http://schemas.openxmlformats.org/officeDocument/2006/relationships/chart" Target="../charts/chart840.xml"/><Relationship Id="rId637" Type="http://schemas.openxmlformats.org/officeDocument/2006/relationships/chart" Target="../charts/chart700.xml"/><Relationship Id="rId276" Type="http://schemas.openxmlformats.org/officeDocument/2006/relationships/chart" Target="../charts/chart339.xml"/><Relationship Id="rId483" Type="http://schemas.openxmlformats.org/officeDocument/2006/relationships/chart" Target="../charts/chart546.xml"/><Relationship Id="rId690" Type="http://schemas.openxmlformats.org/officeDocument/2006/relationships/chart" Target="../charts/chart753.xml"/><Relationship Id="rId704" Type="http://schemas.openxmlformats.org/officeDocument/2006/relationships/chart" Target="../charts/chart767.xml"/><Relationship Id="rId40" Type="http://schemas.openxmlformats.org/officeDocument/2006/relationships/chart" Target="../charts/chart103.xml"/><Relationship Id="rId136" Type="http://schemas.openxmlformats.org/officeDocument/2006/relationships/chart" Target="../charts/chart199.xml"/><Relationship Id="rId343" Type="http://schemas.openxmlformats.org/officeDocument/2006/relationships/chart" Target="../charts/chart406.xml"/><Relationship Id="rId550" Type="http://schemas.openxmlformats.org/officeDocument/2006/relationships/chart" Target="../charts/chart613.xml"/><Relationship Id="rId788" Type="http://schemas.openxmlformats.org/officeDocument/2006/relationships/chart" Target="../charts/chart851.xml"/><Relationship Id="rId203" Type="http://schemas.openxmlformats.org/officeDocument/2006/relationships/chart" Target="../charts/chart266.xml"/><Relationship Id="rId648" Type="http://schemas.openxmlformats.org/officeDocument/2006/relationships/chart" Target="../charts/chart711.xml"/><Relationship Id="rId287" Type="http://schemas.openxmlformats.org/officeDocument/2006/relationships/chart" Target="../charts/chart350.xml"/><Relationship Id="rId410" Type="http://schemas.openxmlformats.org/officeDocument/2006/relationships/chart" Target="../charts/chart473.xml"/><Relationship Id="rId494" Type="http://schemas.openxmlformats.org/officeDocument/2006/relationships/chart" Target="../charts/chart557.xml"/><Relationship Id="rId508" Type="http://schemas.openxmlformats.org/officeDocument/2006/relationships/chart" Target="../charts/chart571.xml"/><Relationship Id="rId715" Type="http://schemas.openxmlformats.org/officeDocument/2006/relationships/chart" Target="../charts/chart778.xml"/><Relationship Id="rId147" Type="http://schemas.openxmlformats.org/officeDocument/2006/relationships/chart" Target="../charts/chart210.xml"/><Relationship Id="rId354" Type="http://schemas.openxmlformats.org/officeDocument/2006/relationships/chart" Target="../charts/chart417.xml"/><Relationship Id="rId799" Type="http://schemas.openxmlformats.org/officeDocument/2006/relationships/chart" Target="../charts/chart862.xml"/><Relationship Id="rId51" Type="http://schemas.openxmlformats.org/officeDocument/2006/relationships/chart" Target="../charts/chart114.xml"/><Relationship Id="rId561" Type="http://schemas.openxmlformats.org/officeDocument/2006/relationships/chart" Target="../charts/chart624.xml"/><Relationship Id="rId659" Type="http://schemas.openxmlformats.org/officeDocument/2006/relationships/chart" Target="../charts/chart722.xml"/><Relationship Id="rId214" Type="http://schemas.openxmlformats.org/officeDocument/2006/relationships/chart" Target="../charts/chart277.xml"/><Relationship Id="rId298" Type="http://schemas.openxmlformats.org/officeDocument/2006/relationships/chart" Target="../charts/chart361.xml"/><Relationship Id="rId421" Type="http://schemas.openxmlformats.org/officeDocument/2006/relationships/chart" Target="../charts/chart484.xml"/><Relationship Id="rId519" Type="http://schemas.openxmlformats.org/officeDocument/2006/relationships/chart" Target="../charts/chart582.xml"/><Relationship Id="rId158" Type="http://schemas.openxmlformats.org/officeDocument/2006/relationships/chart" Target="../charts/chart221.xml"/><Relationship Id="rId726" Type="http://schemas.openxmlformats.org/officeDocument/2006/relationships/chart" Target="../charts/chart789.xml"/><Relationship Id="rId62" Type="http://schemas.openxmlformats.org/officeDocument/2006/relationships/chart" Target="../charts/chart125.xml"/><Relationship Id="rId365" Type="http://schemas.openxmlformats.org/officeDocument/2006/relationships/chart" Target="../charts/chart428.xml"/><Relationship Id="rId572" Type="http://schemas.openxmlformats.org/officeDocument/2006/relationships/chart" Target="../charts/chart635.xml"/><Relationship Id="rId225" Type="http://schemas.openxmlformats.org/officeDocument/2006/relationships/chart" Target="../charts/chart288.xml"/><Relationship Id="rId432" Type="http://schemas.openxmlformats.org/officeDocument/2006/relationships/chart" Target="../charts/chart495.xml"/><Relationship Id="rId737" Type="http://schemas.openxmlformats.org/officeDocument/2006/relationships/chart" Target="../charts/chart800.xml"/><Relationship Id="rId73" Type="http://schemas.openxmlformats.org/officeDocument/2006/relationships/chart" Target="../charts/chart136.xml"/><Relationship Id="rId169" Type="http://schemas.openxmlformats.org/officeDocument/2006/relationships/chart" Target="../charts/chart232.xml"/><Relationship Id="rId376" Type="http://schemas.openxmlformats.org/officeDocument/2006/relationships/chart" Target="../charts/chart439.xml"/><Relationship Id="rId583" Type="http://schemas.openxmlformats.org/officeDocument/2006/relationships/chart" Target="../charts/chart646.xml"/><Relationship Id="rId790" Type="http://schemas.openxmlformats.org/officeDocument/2006/relationships/chart" Target="../charts/chart853.xml"/><Relationship Id="rId4" Type="http://schemas.openxmlformats.org/officeDocument/2006/relationships/chart" Target="../charts/chart67.xml"/><Relationship Id="rId236" Type="http://schemas.openxmlformats.org/officeDocument/2006/relationships/chart" Target="../charts/chart299.xml"/><Relationship Id="rId443" Type="http://schemas.openxmlformats.org/officeDocument/2006/relationships/chart" Target="../charts/chart506.xml"/><Relationship Id="rId650" Type="http://schemas.openxmlformats.org/officeDocument/2006/relationships/chart" Target="../charts/chart713.xml"/><Relationship Id="rId303" Type="http://schemas.openxmlformats.org/officeDocument/2006/relationships/chart" Target="../charts/chart366.xml"/><Relationship Id="rId748" Type="http://schemas.openxmlformats.org/officeDocument/2006/relationships/chart" Target="../charts/chart811.xml"/><Relationship Id="rId84" Type="http://schemas.openxmlformats.org/officeDocument/2006/relationships/chart" Target="../charts/chart147.xml"/><Relationship Id="rId387" Type="http://schemas.openxmlformats.org/officeDocument/2006/relationships/chart" Target="../charts/chart450.xml"/><Relationship Id="rId510" Type="http://schemas.openxmlformats.org/officeDocument/2006/relationships/chart" Target="../charts/chart573.xml"/><Relationship Id="rId594" Type="http://schemas.openxmlformats.org/officeDocument/2006/relationships/chart" Target="../charts/chart657.xml"/><Relationship Id="rId608" Type="http://schemas.openxmlformats.org/officeDocument/2006/relationships/chart" Target="../charts/chart671.xml"/><Relationship Id="rId247" Type="http://schemas.openxmlformats.org/officeDocument/2006/relationships/chart" Target="../charts/chart310.xml"/><Relationship Id="rId107" Type="http://schemas.openxmlformats.org/officeDocument/2006/relationships/chart" Target="../charts/chart170.xml"/><Relationship Id="rId454" Type="http://schemas.openxmlformats.org/officeDocument/2006/relationships/chart" Target="../charts/chart517.xml"/><Relationship Id="rId661" Type="http://schemas.openxmlformats.org/officeDocument/2006/relationships/chart" Target="../charts/chart724.xml"/><Relationship Id="rId759" Type="http://schemas.openxmlformats.org/officeDocument/2006/relationships/chart" Target="../charts/chart822.xml"/><Relationship Id="rId11" Type="http://schemas.openxmlformats.org/officeDocument/2006/relationships/chart" Target="../charts/chart74.xml"/><Relationship Id="rId314" Type="http://schemas.openxmlformats.org/officeDocument/2006/relationships/chart" Target="../charts/chart377.xml"/><Relationship Id="rId398" Type="http://schemas.openxmlformats.org/officeDocument/2006/relationships/chart" Target="../charts/chart461.xml"/><Relationship Id="rId521" Type="http://schemas.openxmlformats.org/officeDocument/2006/relationships/chart" Target="../charts/chart584.xml"/><Relationship Id="rId619" Type="http://schemas.openxmlformats.org/officeDocument/2006/relationships/chart" Target="../charts/chart682.xml"/><Relationship Id="rId95" Type="http://schemas.openxmlformats.org/officeDocument/2006/relationships/chart" Target="../charts/chart158.xml"/><Relationship Id="rId160" Type="http://schemas.openxmlformats.org/officeDocument/2006/relationships/chart" Target="../charts/chart223.xml"/><Relationship Id="rId258" Type="http://schemas.openxmlformats.org/officeDocument/2006/relationships/chart" Target="../charts/chart321.xml"/><Relationship Id="rId465" Type="http://schemas.openxmlformats.org/officeDocument/2006/relationships/chart" Target="../charts/chart528.xml"/><Relationship Id="rId672" Type="http://schemas.openxmlformats.org/officeDocument/2006/relationships/chart" Target="../charts/chart735.xml"/><Relationship Id="rId22" Type="http://schemas.openxmlformats.org/officeDocument/2006/relationships/chart" Target="../charts/chart85.xml"/><Relationship Id="rId118" Type="http://schemas.openxmlformats.org/officeDocument/2006/relationships/chart" Target="../charts/chart181.xml"/><Relationship Id="rId325" Type="http://schemas.openxmlformats.org/officeDocument/2006/relationships/chart" Target="../charts/chart388.xml"/><Relationship Id="rId532" Type="http://schemas.openxmlformats.org/officeDocument/2006/relationships/chart" Target="../charts/chart595.xml"/><Relationship Id="rId171" Type="http://schemas.openxmlformats.org/officeDocument/2006/relationships/chart" Target="../charts/chart23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289560</xdr:colOff>
      <xdr:row>39</xdr:row>
      <xdr:rowOff>0</xdr:rowOff>
    </xdr:from>
    <xdr:to>
      <xdr:col>28</xdr:col>
      <xdr:colOff>2223</xdr:colOff>
      <xdr:row>56</xdr:row>
      <xdr:rowOff>19050</xdr:rowOff>
    </xdr:to>
    <xdr:graphicFrame macro="">
      <xdr:nvGraphicFramePr>
        <xdr:cNvPr id="39696533" name="Diagramm 21">
          <a:extLst>
            <a:ext uri="{FF2B5EF4-FFF2-40B4-BE49-F238E27FC236}">
              <a16:creationId xmlns:a16="http://schemas.microsoft.com/office/drawing/2014/main" id="{00000000-0008-0000-0100-000095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289560</xdr:colOff>
      <xdr:row>56</xdr:row>
      <xdr:rowOff>7620</xdr:rowOff>
    </xdr:from>
    <xdr:to>
      <xdr:col>28</xdr:col>
      <xdr:colOff>2223</xdr:colOff>
      <xdr:row>72</xdr:row>
      <xdr:rowOff>205740</xdr:rowOff>
    </xdr:to>
    <xdr:graphicFrame macro="">
      <xdr:nvGraphicFramePr>
        <xdr:cNvPr id="39696534" name="Diagramm 21">
          <a:extLst>
            <a:ext uri="{FF2B5EF4-FFF2-40B4-BE49-F238E27FC236}">
              <a16:creationId xmlns:a16="http://schemas.microsoft.com/office/drawing/2014/main" id="{00000000-0008-0000-0100-000096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7620</xdr:colOff>
      <xdr:row>80</xdr:row>
      <xdr:rowOff>754380</xdr:rowOff>
    </xdr:from>
    <xdr:to>
      <xdr:col>28</xdr:col>
      <xdr:colOff>0</xdr:colOff>
      <xdr:row>108</xdr:row>
      <xdr:rowOff>211455</xdr:rowOff>
    </xdr:to>
    <xdr:graphicFrame macro="">
      <xdr:nvGraphicFramePr>
        <xdr:cNvPr id="39696535" name="Diagramm 21">
          <a:extLst>
            <a:ext uri="{FF2B5EF4-FFF2-40B4-BE49-F238E27FC236}">
              <a16:creationId xmlns:a16="http://schemas.microsoft.com/office/drawing/2014/main" id="{00000000-0008-0000-0100-000097B85D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342900</xdr:colOff>
          <xdr:row>51</xdr:row>
          <xdr:rowOff>30480</xdr:rowOff>
        </xdr:from>
        <xdr:to>
          <xdr:col>27</xdr:col>
          <xdr:colOff>38100</xdr:colOff>
          <xdr:row>54</xdr:row>
          <xdr:rowOff>15240</xdr:rowOff>
        </xdr:to>
        <xdr:sp macro="" textlink="">
          <xdr:nvSpPr>
            <xdr:cNvPr id="39696462" name="ToggleButton1" hidden="1">
              <a:extLst>
                <a:ext uri="{63B3BB69-23CF-44E3-9099-C40C66FF867C}">
                  <a14:compatExt spid="_x0000_s39696462"/>
                </a:ext>
                <a:ext uri="{FF2B5EF4-FFF2-40B4-BE49-F238E27FC236}">
                  <a16:creationId xmlns:a16="http://schemas.microsoft.com/office/drawing/2014/main" id="{00000000-0008-0000-0100-00004EB85D02}"/>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350520</xdr:colOff>
          <xdr:row>54</xdr:row>
          <xdr:rowOff>83820</xdr:rowOff>
        </xdr:from>
        <xdr:to>
          <xdr:col>27</xdr:col>
          <xdr:colOff>45720</xdr:colOff>
          <xdr:row>57</xdr:row>
          <xdr:rowOff>68580</xdr:rowOff>
        </xdr:to>
        <xdr:sp macro="" textlink="">
          <xdr:nvSpPr>
            <xdr:cNvPr id="39696509" name="ToggleButton2" hidden="1">
              <a:extLst>
                <a:ext uri="{63B3BB69-23CF-44E3-9099-C40C66FF867C}">
                  <a14:compatExt spid="_x0000_s39696509"/>
                </a:ext>
                <a:ext uri="{FF2B5EF4-FFF2-40B4-BE49-F238E27FC236}">
                  <a16:creationId xmlns:a16="http://schemas.microsoft.com/office/drawing/2014/main" id="{00000000-0008-0000-0100-00007D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0</xdr:row>
          <xdr:rowOff>83820</xdr:rowOff>
        </xdr:from>
        <xdr:to>
          <xdr:col>4</xdr:col>
          <xdr:colOff>342900</xdr:colOff>
          <xdr:row>1</xdr:row>
          <xdr:rowOff>190500</xdr:rowOff>
        </xdr:to>
        <xdr:sp macro="" textlink="">
          <xdr:nvSpPr>
            <xdr:cNvPr id="39696536" name="ToggleButton3" hidden="1">
              <a:extLst>
                <a:ext uri="{63B3BB69-23CF-44E3-9099-C40C66FF867C}">
                  <a14:compatExt spid="_x0000_s39696536"/>
                </a:ext>
                <a:ext uri="{FF2B5EF4-FFF2-40B4-BE49-F238E27FC236}">
                  <a16:creationId xmlns:a16="http://schemas.microsoft.com/office/drawing/2014/main" id="{00000000-0008-0000-0100-000098B85D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0119506" name="Diagramm 21">
          <a:extLst>
            <a:ext uri="{FF2B5EF4-FFF2-40B4-BE49-F238E27FC236}">
              <a16:creationId xmlns:a16="http://schemas.microsoft.com/office/drawing/2014/main" id="{00000000-0008-0000-0300-0000D2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0119507" name="Diagramm 23">
          <a:extLst>
            <a:ext uri="{FF2B5EF4-FFF2-40B4-BE49-F238E27FC236}">
              <a16:creationId xmlns:a16="http://schemas.microsoft.com/office/drawing/2014/main" id="{00000000-0008-0000-0300-0000D3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0119508" name="Diagramm 24">
          <a:extLst>
            <a:ext uri="{FF2B5EF4-FFF2-40B4-BE49-F238E27FC236}">
              <a16:creationId xmlns:a16="http://schemas.microsoft.com/office/drawing/2014/main" id="{00000000-0008-0000-0300-0000D4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0119509" name="Diagramm 25">
          <a:extLst>
            <a:ext uri="{FF2B5EF4-FFF2-40B4-BE49-F238E27FC236}">
              <a16:creationId xmlns:a16="http://schemas.microsoft.com/office/drawing/2014/main" id="{00000000-0008-0000-0300-0000D5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0119510" name="Diagramm 21">
          <a:extLst>
            <a:ext uri="{FF2B5EF4-FFF2-40B4-BE49-F238E27FC236}">
              <a16:creationId xmlns:a16="http://schemas.microsoft.com/office/drawing/2014/main" id="{00000000-0008-0000-0300-0000D6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0119511" name="Diagramm 6569">
          <a:extLst>
            <a:ext uri="{FF2B5EF4-FFF2-40B4-BE49-F238E27FC236}">
              <a16:creationId xmlns:a16="http://schemas.microsoft.com/office/drawing/2014/main" id="{00000000-0008-0000-0300-0000D7599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0119519" name="ToggleButton1" hidden="1">
              <a:extLst>
                <a:ext uri="{63B3BB69-23CF-44E3-9099-C40C66FF867C}">
                  <a14:compatExt spid="_x0000_s60119519"/>
                </a:ext>
                <a:ext uri="{FF2B5EF4-FFF2-40B4-BE49-F238E27FC236}">
                  <a16:creationId xmlns:a16="http://schemas.microsoft.com/office/drawing/2014/main" id="{00000000-0008-0000-0300-0000DF599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33417" name="Diagramm 21">
          <a:extLst>
            <a:ext uri="{FF2B5EF4-FFF2-40B4-BE49-F238E27FC236}">
              <a16:creationId xmlns:a16="http://schemas.microsoft.com/office/drawing/2014/main" id="{00000000-0008-0000-0400-000009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33418" name="Diagramm 23">
          <a:extLst>
            <a:ext uri="{FF2B5EF4-FFF2-40B4-BE49-F238E27FC236}">
              <a16:creationId xmlns:a16="http://schemas.microsoft.com/office/drawing/2014/main" id="{00000000-0008-0000-0400-00000A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33419" name="Diagramm 24">
          <a:extLst>
            <a:ext uri="{FF2B5EF4-FFF2-40B4-BE49-F238E27FC236}">
              <a16:creationId xmlns:a16="http://schemas.microsoft.com/office/drawing/2014/main" id="{00000000-0008-0000-0400-00000B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33420" name="Diagramm 25">
          <a:extLst>
            <a:ext uri="{FF2B5EF4-FFF2-40B4-BE49-F238E27FC236}">
              <a16:creationId xmlns:a16="http://schemas.microsoft.com/office/drawing/2014/main" id="{00000000-0008-0000-0400-00000C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33421" name="Diagramm 21">
          <a:extLst>
            <a:ext uri="{FF2B5EF4-FFF2-40B4-BE49-F238E27FC236}">
              <a16:creationId xmlns:a16="http://schemas.microsoft.com/office/drawing/2014/main" id="{00000000-0008-0000-0400-00000D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33422" name="Diagramm 6569">
          <a:extLst>
            <a:ext uri="{FF2B5EF4-FFF2-40B4-BE49-F238E27FC236}">
              <a16:creationId xmlns:a16="http://schemas.microsoft.com/office/drawing/2014/main" id="{00000000-0008-0000-0400-00000ECC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33424" name="ToggleButton1" hidden="1">
              <a:extLst>
                <a:ext uri="{63B3BB69-23CF-44E3-9099-C40C66FF867C}">
                  <a14:compatExt spid="_x0000_s66833424"/>
                </a:ext>
                <a:ext uri="{FF2B5EF4-FFF2-40B4-BE49-F238E27FC236}">
                  <a16:creationId xmlns:a16="http://schemas.microsoft.com/office/drawing/2014/main" id="{00000000-0008-0000-0400-000010CC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2089" name="Diagramm 21">
          <a:extLst>
            <a:ext uri="{FF2B5EF4-FFF2-40B4-BE49-F238E27FC236}">
              <a16:creationId xmlns:a16="http://schemas.microsoft.com/office/drawing/2014/main" id="{00000000-0008-0000-0500-000009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2090" name="Diagramm 23">
          <a:extLst>
            <a:ext uri="{FF2B5EF4-FFF2-40B4-BE49-F238E27FC236}">
              <a16:creationId xmlns:a16="http://schemas.microsoft.com/office/drawing/2014/main" id="{00000000-0008-0000-0500-00000A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2091" name="Diagramm 24">
          <a:extLst>
            <a:ext uri="{FF2B5EF4-FFF2-40B4-BE49-F238E27FC236}">
              <a16:creationId xmlns:a16="http://schemas.microsoft.com/office/drawing/2014/main" id="{00000000-0008-0000-0500-00000B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2092" name="Diagramm 25">
          <a:extLst>
            <a:ext uri="{FF2B5EF4-FFF2-40B4-BE49-F238E27FC236}">
              <a16:creationId xmlns:a16="http://schemas.microsoft.com/office/drawing/2014/main" id="{00000000-0008-0000-0500-00000C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2093" name="Diagramm 21">
          <a:extLst>
            <a:ext uri="{FF2B5EF4-FFF2-40B4-BE49-F238E27FC236}">
              <a16:creationId xmlns:a16="http://schemas.microsoft.com/office/drawing/2014/main" id="{00000000-0008-0000-0500-00000D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2094" name="Diagramm 6569">
          <a:extLst>
            <a:ext uri="{FF2B5EF4-FFF2-40B4-BE49-F238E27FC236}">
              <a16:creationId xmlns:a16="http://schemas.microsoft.com/office/drawing/2014/main" id="{00000000-0008-0000-0500-00000E3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2095" name="ToggleButton1" hidden="1">
              <a:extLst>
                <a:ext uri="{63B3BB69-23CF-44E3-9099-C40C66FF867C}">
                  <a14:compatExt spid="_x0000_s66862095"/>
                </a:ext>
                <a:ext uri="{FF2B5EF4-FFF2-40B4-BE49-F238E27FC236}">
                  <a16:creationId xmlns:a16="http://schemas.microsoft.com/office/drawing/2014/main" id="{00000000-0008-0000-0500-00000F3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0585" name="Diagramm 21">
          <a:extLst>
            <a:ext uri="{FF2B5EF4-FFF2-40B4-BE49-F238E27FC236}">
              <a16:creationId xmlns:a16="http://schemas.microsoft.com/office/drawing/2014/main" id="{00000000-0008-0000-0600-000009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0586" name="Diagramm 23">
          <a:extLst>
            <a:ext uri="{FF2B5EF4-FFF2-40B4-BE49-F238E27FC236}">
              <a16:creationId xmlns:a16="http://schemas.microsoft.com/office/drawing/2014/main" id="{00000000-0008-0000-0600-00000A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0587" name="Diagramm 24">
          <a:extLst>
            <a:ext uri="{FF2B5EF4-FFF2-40B4-BE49-F238E27FC236}">
              <a16:creationId xmlns:a16="http://schemas.microsoft.com/office/drawing/2014/main" id="{00000000-0008-0000-0600-00000B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0588" name="Diagramm 25">
          <a:extLst>
            <a:ext uri="{FF2B5EF4-FFF2-40B4-BE49-F238E27FC236}">
              <a16:creationId xmlns:a16="http://schemas.microsoft.com/office/drawing/2014/main" id="{00000000-0008-0000-0600-00000C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0589" name="Diagramm 21">
          <a:extLst>
            <a:ext uri="{FF2B5EF4-FFF2-40B4-BE49-F238E27FC236}">
              <a16:creationId xmlns:a16="http://schemas.microsoft.com/office/drawing/2014/main" id="{00000000-0008-0000-0600-00000D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0590" name="Diagramm 6569">
          <a:extLst>
            <a:ext uri="{FF2B5EF4-FFF2-40B4-BE49-F238E27FC236}">
              <a16:creationId xmlns:a16="http://schemas.microsoft.com/office/drawing/2014/main" id="{00000000-0008-0000-0600-00000EE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0592" name="ToggleButton1" hidden="1">
              <a:extLst>
                <a:ext uri="{63B3BB69-23CF-44E3-9099-C40C66FF867C}">
                  <a14:compatExt spid="_x0000_s66840592"/>
                </a:ext>
                <a:ext uri="{FF2B5EF4-FFF2-40B4-BE49-F238E27FC236}">
                  <a16:creationId xmlns:a16="http://schemas.microsoft.com/office/drawing/2014/main" id="{00000000-0008-0000-0600-000010E8FB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47753" name="Diagramm 21">
          <a:extLst>
            <a:ext uri="{FF2B5EF4-FFF2-40B4-BE49-F238E27FC236}">
              <a16:creationId xmlns:a16="http://schemas.microsoft.com/office/drawing/2014/main" id="{00000000-0008-0000-0700-000009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47754" name="Diagramm 23">
          <a:extLst>
            <a:ext uri="{FF2B5EF4-FFF2-40B4-BE49-F238E27FC236}">
              <a16:creationId xmlns:a16="http://schemas.microsoft.com/office/drawing/2014/main" id="{00000000-0008-0000-0700-00000A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47755" name="Diagramm 24">
          <a:extLst>
            <a:ext uri="{FF2B5EF4-FFF2-40B4-BE49-F238E27FC236}">
              <a16:creationId xmlns:a16="http://schemas.microsoft.com/office/drawing/2014/main" id="{00000000-0008-0000-0700-00000B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47756" name="Diagramm 25">
          <a:extLst>
            <a:ext uri="{FF2B5EF4-FFF2-40B4-BE49-F238E27FC236}">
              <a16:creationId xmlns:a16="http://schemas.microsoft.com/office/drawing/2014/main" id="{00000000-0008-0000-0700-00000C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47757" name="Diagramm 21">
          <a:extLst>
            <a:ext uri="{FF2B5EF4-FFF2-40B4-BE49-F238E27FC236}">
              <a16:creationId xmlns:a16="http://schemas.microsoft.com/office/drawing/2014/main" id="{00000000-0008-0000-0700-00000D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47758" name="Diagramm 6569">
          <a:extLst>
            <a:ext uri="{FF2B5EF4-FFF2-40B4-BE49-F238E27FC236}">
              <a16:creationId xmlns:a16="http://schemas.microsoft.com/office/drawing/2014/main" id="{00000000-0008-0000-0700-00000E0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47760" name="ToggleButton1" hidden="1">
              <a:extLst>
                <a:ext uri="{63B3BB69-23CF-44E3-9099-C40C66FF867C}">
                  <a14:compatExt spid="_x0000_s66847760"/>
                </a:ext>
                <a:ext uri="{FF2B5EF4-FFF2-40B4-BE49-F238E27FC236}">
                  <a16:creationId xmlns:a16="http://schemas.microsoft.com/office/drawing/2014/main" id="{00000000-0008-0000-0700-0000100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54921" name="Diagramm 21">
          <a:extLst>
            <a:ext uri="{FF2B5EF4-FFF2-40B4-BE49-F238E27FC236}">
              <a16:creationId xmlns:a16="http://schemas.microsoft.com/office/drawing/2014/main" id="{00000000-0008-0000-0800-000009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54922" name="Diagramm 23">
          <a:extLst>
            <a:ext uri="{FF2B5EF4-FFF2-40B4-BE49-F238E27FC236}">
              <a16:creationId xmlns:a16="http://schemas.microsoft.com/office/drawing/2014/main" id="{00000000-0008-0000-0800-00000A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54923" name="Diagramm 24">
          <a:extLst>
            <a:ext uri="{FF2B5EF4-FFF2-40B4-BE49-F238E27FC236}">
              <a16:creationId xmlns:a16="http://schemas.microsoft.com/office/drawing/2014/main" id="{00000000-0008-0000-0800-00000B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54924" name="Diagramm 25">
          <a:extLst>
            <a:ext uri="{FF2B5EF4-FFF2-40B4-BE49-F238E27FC236}">
              <a16:creationId xmlns:a16="http://schemas.microsoft.com/office/drawing/2014/main" id="{00000000-0008-0000-0800-00000C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54925" name="Diagramm 21">
          <a:extLst>
            <a:ext uri="{FF2B5EF4-FFF2-40B4-BE49-F238E27FC236}">
              <a16:creationId xmlns:a16="http://schemas.microsoft.com/office/drawing/2014/main" id="{00000000-0008-0000-0800-00000D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54926" name="Diagramm 6569">
          <a:extLst>
            <a:ext uri="{FF2B5EF4-FFF2-40B4-BE49-F238E27FC236}">
              <a16:creationId xmlns:a16="http://schemas.microsoft.com/office/drawing/2014/main" id="{00000000-0008-0000-0800-00000E2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54927" name="ToggleButton1" hidden="1">
              <a:extLst>
                <a:ext uri="{63B3BB69-23CF-44E3-9099-C40C66FF867C}">
                  <a14:compatExt spid="_x0000_s66854927"/>
                </a:ext>
                <a:ext uri="{FF2B5EF4-FFF2-40B4-BE49-F238E27FC236}">
                  <a16:creationId xmlns:a16="http://schemas.microsoft.com/office/drawing/2014/main" id="{00000000-0008-0000-0800-00000F2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69257" name="Diagramm 21">
          <a:extLst>
            <a:ext uri="{FF2B5EF4-FFF2-40B4-BE49-F238E27FC236}">
              <a16:creationId xmlns:a16="http://schemas.microsoft.com/office/drawing/2014/main" id="{00000000-0008-0000-0900-000009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69258" name="Diagramm 23">
          <a:extLst>
            <a:ext uri="{FF2B5EF4-FFF2-40B4-BE49-F238E27FC236}">
              <a16:creationId xmlns:a16="http://schemas.microsoft.com/office/drawing/2014/main" id="{00000000-0008-0000-0900-00000A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69259" name="Diagramm 24">
          <a:extLst>
            <a:ext uri="{FF2B5EF4-FFF2-40B4-BE49-F238E27FC236}">
              <a16:creationId xmlns:a16="http://schemas.microsoft.com/office/drawing/2014/main" id="{00000000-0008-0000-0900-00000B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69260" name="Diagramm 25">
          <a:extLst>
            <a:ext uri="{FF2B5EF4-FFF2-40B4-BE49-F238E27FC236}">
              <a16:creationId xmlns:a16="http://schemas.microsoft.com/office/drawing/2014/main" id="{00000000-0008-0000-0900-00000C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69261" name="Diagramm 21">
          <a:extLst>
            <a:ext uri="{FF2B5EF4-FFF2-40B4-BE49-F238E27FC236}">
              <a16:creationId xmlns:a16="http://schemas.microsoft.com/office/drawing/2014/main" id="{00000000-0008-0000-0900-00000D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69262" name="Diagramm 6569">
          <a:extLst>
            <a:ext uri="{FF2B5EF4-FFF2-40B4-BE49-F238E27FC236}">
              <a16:creationId xmlns:a16="http://schemas.microsoft.com/office/drawing/2014/main" id="{00000000-0008-0000-0900-00000E58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69263" name="ToggleButton1" hidden="1">
              <a:extLst>
                <a:ext uri="{63B3BB69-23CF-44E3-9099-C40C66FF867C}">
                  <a14:compatExt spid="_x0000_s66869263"/>
                </a:ext>
                <a:ext uri="{FF2B5EF4-FFF2-40B4-BE49-F238E27FC236}">
                  <a16:creationId xmlns:a16="http://schemas.microsoft.com/office/drawing/2014/main" id="{00000000-0008-0000-0900-00000F58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76425" name="Diagramm 21">
          <a:extLst>
            <a:ext uri="{FF2B5EF4-FFF2-40B4-BE49-F238E27FC236}">
              <a16:creationId xmlns:a16="http://schemas.microsoft.com/office/drawing/2014/main" id="{00000000-0008-0000-0A00-000009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76426" name="Diagramm 23">
          <a:extLst>
            <a:ext uri="{FF2B5EF4-FFF2-40B4-BE49-F238E27FC236}">
              <a16:creationId xmlns:a16="http://schemas.microsoft.com/office/drawing/2014/main" id="{00000000-0008-0000-0A00-00000A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76427" name="Diagramm 24">
          <a:extLst>
            <a:ext uri="{FF2B5EF4-FFF2-40B4-BE49-F238E27FC236}">
              <a16:creationId xmlns:a16="http://schemas.microsoft.com/office/drawing/2014/main" id="{00000000-0008-0000-0A00-00000B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76428" name="Diagramm 25">
          <a:extLst>
            <a:ext uri="{FF2B5EF4-FFF2-40B4-BE49-F238E27FC236}">
              <a16:creationId xmlns:a16="http://schemas.microsoft.com/office/drawing/2014/main" id="{00000000-0008-0000-0A00-00000C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76429" name="Diagramm 21">
          <a:extLst>
            <a:ext uri="{FF2B5EF4-FFF2-40B4-BE49-F238E27FC236}">
              <a16:creationId xmlns:a16="http://schemas.microsoft.com/office/drawing/2014/main" id="{00000000-0008-0000-0A00-00000D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76430" name="Diagramm 6569">
          <a:extLst>
            <a:ext uri="{FF2B5EF4-FFF2-40B4-BE49-F238E27FC236}">
              <a16:creationId xmlns:a16="http://schemas.microsoft.com/office/drawing/2014/main" id="{00000000-0008-0000-0A00-00000E74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76431" name="ToggleButton1" hidden="1">
              <a:extLst>
                <a:ext uri="{63B3BB69-23CF-44E3-9099-C40C66FF867C}">
                  <a14:compatExt spid="_x0000_s66876431"/>
                </a:ext>
                <a:ext uri="{FF2B5EF4-FFF2-40B4-BE49-F238E27FC236}">
                  <a16:creationId xmlns:a16="http://schemas.microsoft.com/office/drawing/2014/main" id="{00000000-0008-0000-0A00-00000F74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83593" name="Diagramm 21">
          <a:extLst>
            <a:ext uri="{FF2B5EF4-FFF2-40B4-BE49-F238E27FC236}">
              <a16:creationId xmlns:a16="http://schemas.microsoft.com/office/drawing/2014/main" id="{00000000-0008-0000-0B00-000009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83594" name="Diagramm 23">
          <a:extLst>
            <a:ext uri="{FF2B5EF4-FFF2-40B4-BE49-F238E27FC236}">
              <a16:creationId xmlns:a16="http://schemas.microsoft.com/office/drawing/2014/main" id="{00000000-0008-0000-0B00-00000A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83595" name="Diagramm 24">
          <a:extLst>
            <a:ext uri="{FF2B5EF4-FFF2-40B4-BE49-F238E27FC236}">
              <a16:creationId xmlns:a16="http://schemas.microsoft.com/office/drawing/2014/main" id="{00000000-0008-0000-0B00-00000B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83596" name="Diagramm 25">
          <a:extLst>
            <a:ext uri="{FF2B5EF4-FFF2-40B4-BE49-F238E27FC236}">
              <a16:creationId xmlns:a16="http://schemas.microsoft.com/office/drawing/2014/main" id="{00000000-0008-0000-0B00-00000C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83597" name="Diagramm 21">
          <a:extLst>
            <a:ext uri="{FF2B5EF4-FFF2-40B4-BE49-F238E27FC236}">
              <a16:creationId xmlns:a16="http://schemas.microsoft.com/office/drawing/2014/main" id="{00000000-0008-0000-0B00-00000D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83598" name="Diagramm 6569">
          <a:extLst>
            <a:ext uri="{FF2B5EF4-FFF2-40B4-BE49-F238E27FC236}">
              <a16:creationId xmlns:a16="http://schemas.microsoft.com/office/drawing/2014/main" id="{00000000-0008-0000-0B00-00000E90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83599" name="ToggleButton1" hidden="1">
              <a:extLst>
                <a:ext uri="{63B3BB69-23CF-44E3-9099-C40C66FF867C}">
                  <a14:compatExt spid="_x0000_s66883599"/>
                </a:ext>
                <a:ext uri="{FF2B5EF4-FFF2-40B4-BE49-F238E27FC236}">
                  <a16:creationId xmlns:a16="http://schemas.microsoft.com/office/drawing/2014/main" id="{00000000-0008-0000-0B00-00000F90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9</xdr:col>
      <xdr:colOff>30480</xdr:colOff>
      <xdr:row>72</xdr:row>
      <xdr:rowOff>144780</xdr:rowOff>
    </xdr:from>
    <xdr:to>
      <xdr:col>26</xdr:col>
      <xdr:colOff>579120</xdr:colOff>
      <xdr:row>90</xdr:row>
      <xdr:rowOff>144780</xdr:rowOff>
    </xdr:to>
    <xdr:graphicFrame macro="">
      <xdr:nvGraphicFramePr>
        <xdr:cNvPr id="66890761" name="Diagramm 21">
          <a:extLst>
            <a:ext uri="{FF2B5EF4-FFF2-40B4-BE49-F238E27FC236}">
              <a16:creationId xmlns:a16="http://schemas.microsoft.com/office/drawing/2014/main" id="{00000000-0008-0000-0C00-000009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7620</xdr:colOff>
      <xdr:row>2</xdr:row>
      <xdr:rowOff>91440</xdr:rowOff>
    </xdr:from>
    <xdr:to>
      <xdr:col>34</xdr:col>
      <xdr:colOff>38100</xdr:colOff>
      <xdr:row>11</xdr:row>
      <xdr:rowOff>0</xdr:rowOff>
    </xdr:to>
    <xdr:graphicFrame macro="">
      <xdr:nvGraphicFramePr>
        <xdr:cNvPr id="66890762" name="Diagramm 23">
          <a:extLst>
            <a:ext uri="{FF2B5EF4-FFF2-40B4-BE49-F238E27FC236}">
              <a16:creationId xmlns:a16="http://schemas.microsoft.com/office/drawing/2014/main" id="{00000000-0008-0000-0C00-00000A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106680</xdr:colOff>
      <xdr:row>2</xdr:row>
      <xdr:rowOff>83820</xdr:rowOff>
    </xdr:from>
    <xdr:to>
      <xdr:col>41</xdr:col>
      <xdr:colOff>289560</xdr:colOff>
      <xdr:row>11</xdr:row>
      <xdr:rowOff>0</xdr:rowOff>
    </xdr:to>
    <xdr:graphicFrame macro="">
      <xdr:nvGraphicFramePr>
        <xdr:cNvPr id="66890763" name="Diagramm 24">
          <a:extLst>
            <a:ext uri="{FF2B5EF4-FFF2-40B4-BE49-F238E27FC236}">
              <a16:creationId xmlns:a16="http://schemas.microsoft.com/office/drawing/2014/main" id="{00000000-0008-0000-0C00-00000B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358140</xdr:colOff>
      <xdr:row>2</xdr:row>
      <xdr:rowOff>83820</xdr:rowOff>
    </xdr:from>
    <xdr:to>
      <xdr:col>48</xdr:col>
      <xdr:colOff>441960</xdr:colOff>
      <xdr:row>11</xdr:row>
      <xdr:rowOff>0</xdr:rowOff>
    </xdr:to>
    <xdr:graphicFrame macro="">
      <xdr:nvGraphicFramePr>
        <xdr:cNvPr id="66890764" name="Diagramm 25">
          <a:extLst>
            <a:ext uri="{FF2B5EF4-FFF2-40B4-BE49-F238E27FC236}">
              <a16:creationId xmlns:a16="http://schemas.microsoft.com/office/drawing/2014/main" id="{00000000-0008-0000-0C00-00000C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7620</xdr:colOff>
      <xdr:row>51</xdr:row>
      <xdr:rowOff>0</xdr:rowOff>
    </xdr:from>
    <xdr:to>
      <xdr:col>26</xdr:col>
      <xdr:colOff>579120</xdr:colOff>
      <xdr:row>72</xdr:row>
      <xdr:rowOff>167640</xdr:rowOff>
    </xdr:to>
    <xdr:graphicFrame macro="">
      <xdr:nvGraphicFramePr>
        <xdr:cNvPr id="66890765" name="Diagramm 21">
          <a:extLst>
            <a:ext uri="{FF2B5EF4-FFF2-40B4-BE49-F238E27FC236}">
              <a16:creationId xmlns:a16="http://schemas.microsoft.com/office/drawing/2014/main" id="{00000000-0008-0000-0C00-00000D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100</xdr:row>
      <xdr:rowOff>7620</xdr:rowOff>
    </xdr:from>
    <xdr:to>
      <xdr:col>19</xdr:col>
      <xdr:colOff>45720</xdr:colOff>
      <xdr:row>132</xdr:row>
      <xdr:rowOff>167640</xdr:rowOff>
    </xdr:to>
    <xdr:graphicFrame macro="">
      <xdr:nvGraphicFramePr>
        <xdr:cNvPr id="66890766" name="Diagramm 6569">
          <a:extLst>
            <a:ext uri="{FF2B5EF4-FFF2-40B4-BE49-F238E27FC236}">
              <a16:creationId xmlns:a16="http://schemas.microsoft.com/office/drawing/2014/main" id="{00000000-0008-0000-0C00-00000EACF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7620</xdr:colOff>
          <xdr:row>0</xdr:row>
          <xdr:rowOff>45720</xdr:rowOff>
        </xdr:from>
        <xdr:to>
          <xdr:col>9</xdr:col>
          <xdr:colOff>1783080</xdr:colOff>
          <xdr:row>0</xdr:row>
          <xdr:rowOff>403860</xdr:rowOff>
        </xdr:to>
        <xdr:sp macro="" textlink="">
          <xdr:nvSpPr>
            <xdr:cNvPr id="66890767" name="ToggleButton1" hidden="1">
              <a:extLst>
                <a:ext uri="{63B3BB69-23CF-44E3-9099-C40C66FF867C}">
                  <a14:compatExt spid="_x0000_s66890767"/>
                </a:ext>
                <a:ext uri="{FF2B5EF4-FFF2-40B4-BE49-F238E27FC236}">
                  <a16:creationId xmlns:a16="http://schemas.microsoft.com/office/drawing/2014/main" id="{00000000-0008-0000-0C00-00000FACFC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0</xdr:colOff>
      <xdr:row>36</xdr:row>
      <xdr:rowOff>0</xdr:rowOff>
    </xdr:from>
    <xdr:to>
      <xdr:col>7</xdr:col>
      <xdr:colOff>640080</xdr:colOff>
      <xdr:row>50</xdr:row>
      <xdr:rowOff>137160</xdr:rowOff>
    </xdr:to>
    <xdr:graphicFrame macro="">
      <xdr:nvGraphicFramePr>
        <xdr:cNvPr id="65799393" name="Diagramm 1">
          <a:extLst>
            <a:ext uri="{FF2B5EF4-FFF2-40B4-BE49-F238E27FC236}">
              <a16:creationId xmlns:a16="http://schemas.microsoft.com/office/drawing/2014/main" id="{00000000-0008-0000-0D00-0000E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7620</xdr:colOff>
      <xdr:row>52</xdr:row>
      <xdr:rowOff>0</xdr:rowOff>
    </xdr:from>
    <xdr:to>
      <xdr:col>7</xdr:col>
      <xdr:colOff>640080</xdr:colOff>
      <xdr:row>66</xdr:row>
      <xdr:rowOff>137160</xdr:rowOff>
    </xdr:to>
    <xdr:graphicFrame macro="">
      <xdr:nvGraphicFramePr>
        <xdr:cNvPr id="65799394" name="Diagramm 2">
          <a:extLst>
            <a:ext uri="{FF2B5EF4-FFF2-40B4-BE49-F238E27FC236}">
              <a16:creationId xmlns:a16="http://schemas.microsoft.com/office/drawing/2014/main" id="{00000000-0008-0000-0D00-0000E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68</xdr:row>
      <xdr:rowOff>0</xdr:rowOff>
    </xdr:from>
    <xdr:to>
      <xdr:col>7</xdr:col>
      <xdr:colOff>640080</xdr:colOff>
      <xdr:row>82</xdr:row>
      <xdr:rowOff>137160</xdr:rowOff>
    </xdr:to>
    <xdr:graphicFrame macro="">
      <xdr:nvGraphicFramePr>
        <xdr:cNvPr id="65799395" name="Diagramm 3">
          <a:extLst>
            <a:ext uri="{FF2B5EF4-FFF2-40B4-BE49-F238E27FC236}">
              <a16:creationId xmlns:a16="http://schemas.microsoft.com/office/drawing/2014/main" id="{00000000-0008-0000-0D00-0000E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36</xdr:row>
      <xdr:rowOff>0</xdr:rowOff>
    </xdr:from>
    <xdr:to>
      <xdr:col>14</xdr:col>
      <xdr:colOff>640080</xdr:colOff>
      <xdr:row>50</xdr:row>
      <xdr:rowOff>137160</xdr:rowOff>
    </xdr:to>
    <xdr:graphicFrame macro="">
      <xdr:nvGraphicFramePr>
        <xdr:cNvPr id="65799396" name="Diagramm 4">
          <a:extLst>
            <a:ext uri="{FF2B5EF4-FFF2-40B4-BE49-F238E27FC236}">
              <a16:creationId xmlns:a16="http://schemas.microsoft.com/office/drawing/2014/main" id="{00000000-0008-0000-0D00-0000E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52</xdr:row>
      <xdr:rowOff>0</xdr:rowOff>
    </xdr:from>
    <xdr:to>
      <xdr:col>14</xdr:col>
      <xdr:colOff>640080</xdr:colOff>
      <xdr:row>66</xdr:row>
      <xdr:rowOff>137160</xdr:rowOff>
    </xdr:to>
    <xdr:graphicFrame macro="">
      <xdr:nvGraphicFramePr>
        <xdr:cNvPr id="65799397" name="Diagramm 5">
          <a:extLst>
            <a:ext uri="{FF2B5EF4-FFF2-40B4-BE49-F238E27FC236}">
              <a16:creationId xmlns:a16="http://schemas.microsoft.com/office/drawing/2014/main" id="{00000000-0008-0000-0D00-0000E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7620</xdr:colOff>
      <xdr:row>68</xdr:row>
      <xdr:rowOff>0</xdr:rowOff>
    </xdr:from>
    <xdr:to>
      <xdr:col>14</xdr:col>
      <xdr:colOff>640080</xdr:colOff>
      <xdr:row>82</xdr:row>
      <xdr:rowOff>137160</xdr:rowOff>
    </xdr:to>
    <xdr:graphicFrame macro="">
      <xdr:nvGraphicFramePr>
        <xdr:cNvPr id="65799398" name="Diagramm 6">
          <a:extLst>
            <a:ext uri="{FF2B5EF4-FFF2-40B4-BE49-F238E27FC236}">
              <a16:creationId xmlns:a16="http://schemas.microsoft.com/office/drawing/2014/main" id="{00000000-0008-0000-0D00-0000E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36</xdr:row>
      <xdr:rowOff>0</xdr:rowOff>
    </xdr:from>
    <xdr:to>
      <xdr:col>21</xdr:col>
      <xdr:colOff>640080</xdr:colOff>
      <xdr:row>50</xdr:row>
      <xdr:rowOff>137160</xdr:rowOff>
    </xdr:to>
    <xdr:graphicFrame macro="">
      <xdr:nvGraphicFramePr>
        <xdr:cNvPr id="65799399" name="Diagramm 8">
          <a:extLst>
            <a:ext uri="{FF2B5EF4-FFF2-40B4-BE49-F238E27FC236}">
              <a16:creationId xmlns:a16="http://schemas.microsoft.com/office/drawing/2014/main" id="{00000000-0008-0000-0D00-0000E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52</xdr:row>
      <xdr:rowOff>0</xdr:rowOff>
    </xdr:from>
    <xdr:to>
      <xdr:col>21</xdr:col>
      <xdr:colOff>640080</xdr:colOff>
      <xdr:row>66</xdr:row>
      <xdr:rowOff>137160</xdr:rowOff>
    </xdr:to>
    <xdr:graphicFrame macro="">
      <xdr:nvGraphicFramePr>
        <xdr:cNvPr id="65799400" name="Diagramm 9">
          <a:extLst>
            <a:ext uri="{FF2B5EF4-FFF2-40B4-BE49-F238E27FC236}">
              <a16:creationId xmlns:a16="http://schemas.microsoft.com/office/drawing/2014/main" id="{00000000-0008-0000-0D00-0000E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7620</xdr:colOff>
      <xdr:row>68</xdr:row>
      <xdr:rowOff>0</xdr:rowOff>
    </xdr:from>
    <xdr:to>
      <xdr:col>21</xdr:col>
      <xdr:colOff>640080</xdr:colOff>
      <xdr:row>82</xdr:row>
      <xdr:rowOff>137160</xdr:rowOff>
    </xdr:to>
    <xdr:graphicFrame macro="">
      <xdr:nvGraphicFramePr>
        <xdr:cNvPr id="65799401" name="Diagramm 10">
          <a:extLst>
            <a:ext uri="{FF2B5EF4-FFF2-40B4-BE49-F238E27FC236}">
              <a16:creationId xmlns:a16="http://schemas.microsoft.com/office/drawing/2014/main" id="{00000000-0008-0000-0D00-0000E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0</xdr:colOff>
      <xdr:row>36</xdr:row>
      <xdr:rowOff>0</xdr:rowOff>
    </xdr:from>
    <xdr:to>
      <xdr:col>28</xdr:col>
      <xdr:colOff>640080</xdr:colOff>
      <xdr:row>50</xdr:row>
      <xdr:rowOff>137160</xdr:rowOff>
    </xdr:to>
    <xdr:graphicFrame macro="">
      <xdr:nvGraphicFramePr>
        <xdr:cNvPr id="65799402" name="Diagramm 11">
          <a:extLst>
            <a:ext uri="{FF2B5EF4-FFF2-40B4-BE49-F238E27FC236}">
              <a16:creationId xmlns:a16="http://schemas.microsoft.com/office/drawing/2014/main" id="{00000000-0008-0000-0D00-0000E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52</xdr:row>
      <xdr:rowOff>0</xdr:rowOff>
    </xdr:from>
    <xdr:to>
      <xdr:col>28</xdr:col>
      <xdr:colOff>640080</xdr:colOff>
      <xdr:row>66</xdr:row>
      <xdr:rowOff>137160</xdr:rowOff>
    </xdr:to>
    <xdr:graphicFrame macro="">
      <xdr:nvGraphicFramePr>
        <xdr:cNvPr id="65799403" name="Diagramm 12">
          <a:extLst>
            <a:ext uri="{FF2B5EF4-FFF2-40B4-BE49-F238E27FC236}">
              <a16:creationId xmlns:a16="http://schemas.microsoft.com/office/drawing/2014/main" id="{00000000-0008-0000-0D00-0000E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23</xdr:col>
      <xdr:colOff>7620</xdr:colOff>
      <xdr:row>68</xdr:row>
      <xdr:rowOff>0</xdr:rowOff>
    </xdr:from>
    <xdr:to>
      <xdr:col>28</xdr:col>
      <xdr:colOff>640080</xdr:colOff>
      <xdr:row>82</xdr:row>
      <xdr:rowOff>137160</xdr:rowOff>
    </xdr:to>
    <xdr:graphicFrame macro="">
      <xdr:nvGraphicFramePr>
        <xdr:cNvPr id="65799404" name="Diagramm 13">
          <a:extLst>
            <a:ext uri="{FF2B5EF4-FFF2-40B4-BE49-F238E27FC236}">
              <a16:creationId xmlns:a16="http://schemas.microsoft.com/office/drawing/2014/main" id="{00000000-0008-0000-0D00-0000E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30</xdr:col>
      <xdr:colOff>0</xdr:colOff>
      <xdr:row>36</xdr:row>
      <xdr:rowOff>0</xdr:rowOff>
    </xdr:from>
    <xdr:to>
      <xdr:col>35</xdr:col>
      <xdr:colOff>640080</xdr:colOff>
      <xdr:row>50</xdr:row>
      <xdr:rowOff>137160</xdr:rowOff>
    </xdr:to>
    <xdr:graphicFrame macro="">
      <xdr:nvGraphicFramePr>
        <xdr:cNvPr id="65799405" name="Diagramm 14">
          <a:extLst>
            <a:ext uri="{FF2B5EF4-FFF2-40B4-BE49-F238E27FC236}">
              <a16:creationId xmlns:a16="http://schemas.microsoft.com/office/drawing/2014/main" id="{00000000-0008-0000-0D00-0000E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0</xdr:colOff>
      <xdr:row>52</xdr:row>
      <xdr:rowOff>0</xdr:rowOff>
    </xdr:from>
    <xdr:to>
      <xdr:col>35</xdr:col>
      <xdr:colOff>640080</xdr:colOff>
      <xdr:row>66</xdr:row>
      <xdr:rowOff>137160</xdr:rowOff>
    </xdr:to>
    <xdr:graphicFrame macro="">
      <xdr:nvGraphicFramePr>
        <xdr:cNvPr id="65799406" name="Diagramm 15">
          <a:extLst>
            <a:ext uri="{FF2B5EF4-FFF2-40B4-BE49-F238E27FC236}">
              <a16:creationId xmlns:a16="http://schemas.microsoft.com/office/drawing/2014/main" id="{00000000-0008-0000-0D00-0000E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30</xdr:col>
      <xdr:colOff>7620</xdr:colOff>
      <xdr:row>68</xdr:row>
      <xdr:rowOff>0</xdr:rowOff>
    </xdr:from>
    <xdr:to>
      <xdr:col>35</xdr:col>
      <xdr:colOff>640080</xdr:colOff>
      <xdr:row>82</xdr:row>
      <xdr:rowOff>137160</xdr:rowOff>
    </xdr:to>
    <xdr:graphicFrame macro="">
      <xdr:nvGraphicFramePr>
        <xdr:cNvPr id="65799407" name="Diagramm 16">
          <a:extLst>
            <a:ext uri="{FF2B5EF4-FFF2-40B4-BE49-F238E27FC236}">
              <a16:creationId xmlns:a16="http://schemas.microsoft.com/office/drawing/2014/main" id="{00000000-0008-0000-0D00-0000E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37</xdr:col>
      <xdr:colOff>0</xdr:colOff>
      <xdr:row>36</xdr:row>
      <xdr:rowOff>0</xdr:rowOff>
    </xdr:from>
    <xdr:to>
      <xdr:col>42</xdr:col>
      <xdr:colOff>640080</xdr:colOff>
      <xdr:row>50</xdr:row>
      <xdr:rowOff>137160</xdr:rowOff>
    </xdr:to>
    <xdr:graphicFrame macro="">
      <xdr:nvGraphicFramePr>
        <xdr:cNvPr id="65799408" name="Diagramm 17">
          <a:extLst>
            <a:ext uri="{FF2B5EF4-FFF2-40B4-BE49-F238E27FC236}">
              <a16:creationId xmlns:a16="http://schemas.microsoft.com/office/drawing/2014/main" id="{00000000-0008-0000-0D00-0000F0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0</xdr:colOff>
      <xdr:row>52</xdr:row>
      <xdr:rowOff>0</xdr:rowOff>
    </xdr:from>
    <xdr:to>
      <xdr:col>42</xdr:col>
      <xdr:colOff>640080</xdr:colOff>
      <xdr:row>66</xdr:row>
      <xdr:rowOff>137160</xdr:rowOff>
    </xdr:to>
    <xdr:graphicFrame macro="">
      <xdr:nvGraphicFramePr>
        <xdr:cNvPr id="65799409" name="Diagramm 18">
          <a:extLst>
            <a:ext uri="{FF2B5EF4-FFF2-40B4-BE49-F238E27FC236}">
              <a16:creationId xmlns:a16="http://schemas.microsoft.com/office/drawing/2014/main" id="{00000000-0008-0000-0D00-0000F1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37</xdr:col>
      <xdr:colOff>7620</xdr:colOff>
      <xdr:row>68</xdr:row>
      <xdr:rowOff>0</xdr:rowOff>
    </xdr:from>
    <xdr:to>
      <xdr:col>42</xdr:col>
      <xdr:colOff>640080</xdr:colOff>
      <xdr:row>82</xdr:row>
      <xdr:rowOff>137160</xdr:rowOff>
    </xdr:to>
    <xdr:graphicFrame macro="">
      <xdr:nvGraphicFramePr>
        <xdr:cNvPr id="65799410" name="Diagramm 19">
          <a:extLst>
            <a:ext uri="{FF2B5EF4-FFF2-40B4-BE49-F238E27FC236}">
              <a16:creationId xmlns:a16="http://schemas.microsoft.com/office/drawing/2014/main" id="{00000000-0008-0000-0D00-0000F2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44</xdr:col>
      <xdr:colOff>0</xdr:colOff>
      <xdr:row>36</xdr:row>
      <xdr:rowOff>0</xdr:rowOff>
    </xdr:from>
    <xdr:to>
      <xdr:col>49</xdr:col>
      <xdr:colOff>640080</xdr:colOff>
      <xdr:row>50</xdr:row>
      <xdr:rowOff>137160</xdr:rowOff>
    </xdr:to>
    <xdr:graphicFrame macro="">
      <xdr:nvGraphicFramePr>
        <xdr:cNvPr id="65799411" name="Diagramm 20">
          <a:extLst>
            <a:ext uri="{FF2B5EF4-FFF2-40B4-BE49-F238E27FC236}">
              <a16:creationId xmlns:a16="http://schemas.microsoft.com/office/drawing/2014/main" id="{00000000-0008-0000-0D00-0000F3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44</xdr:col>
      <xdr:colOff>0</xdr:colOff>
      <xdr:row>52</xdr:row>
      <xdr:rowOff>0</xdr:rowOff>
    </xdr:from>
    <xdr:to>
      <xdr:col>49</xdr:col>
      <xdr:colOff>640080</xdr:colOff>
      <xdr:row>66</xdr:row>
      <xdr:rowOff>137160</xdr:rowOff>
    </xdr:to>
    <xdr:graphicFrame macro="">
      <xdr:nvGraphicFramePr>
        <xdr:cNvPr id="65799412" name="Diagramm 21">
          <a:extLst>
            <a:ext uri="{FF2B5EF4-FFF2-40B4-BE49-F238E27FC236}">
              <a16:creationId xmlns:a16="http://schemas.microsoft.com/office/drawing/2014/main" id="{00000000-0008-0000-0D00-0000F4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44</xdr:col>
      <xdr:colOff>7620</xdr:colOff>
      <xdr:row>68</xdr:row>
      <xdr:rowOff>0</xdr:rowOff>
    </xdr:from>
    <xdr:to>
      <xdr:col>49</xdr:col>
      <xdr:colOff>640080</xdr:colOff>
      <xdr:row>82</xdr:row>
      <xdr:rowOff>137160</xdr:rowOff>
    </xdr:to>
    <xdr:graphicFrame macro="">
      <xdr:nvGraphicFramePr>
        <xdr:cNvPr id="65799413" name="Diagramm 22">
          <a:extLst>
            <a:ext uri="{FF2B5EF4-FFF2-40B4-BE49-F238E27FC236}">
              <a16:creationId xmlns:a16="http://schemas.microsoft.com/office/drawing/2014/main" id="{00000000-0008-0000-0D00-0000F5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4" name="Diagramm 23">
          <a:extLst>
            <a:ext uri="{FF2B5EF4-FFF2-40B4-BE49-F238E27FC236}">
              <a16:creationId xmlns:a16="http://schemas.microsoft.com/office/drawing/2014/main" id="{00000000-0008-0000-0D00-0000F6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5" name="Diagramm 24">
          <a:extLst>
            <a:ext uri="{FF2B5EF4-FFF2-40B4-BE49-F238E27FC236}">
              <a16:creationId xmlns:a16="http://schemas.microsoft.com/office/drawing/2014/main" id="{00000000-0008-0000-0D00-0000F7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6" name="Diagramm 25">
          <a:extLst>
            <a:ext uri="{FF2B5EF4-FFF2-40B4-BE49-F238E27FC236}">
              <a16:creationId xmlns:a16="http://schemas.microsoft.com/office/drawing/2014/main" id="{00000000-0008-0000-0D00-0000F8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17" name="Diagramm 26">
          <a:extLst>
            <a:ext uri="{FF2B5EF4-FFF2-40B4-BE49-F238E27FC236}">
              <a16:creationId xmlns:a16="http://schemas.microsoft.com/office/drawing/2014/main" id="{00000000-0008-0000-0D00-0000F9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18" name="Diagramm 27">
          <a:extLst>
            <a:ext uri="{FF2B5EF4-FFF2-40B4-BE49-F238E27FC236}">
              <a16:creationId xmlns:a16="http://schemas.microsoft.com/office/drawing/2014/main" id="{00000000-0008-0000-0D00-0000FA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19" name="Diagramm 28">
          <a:extLst>
            <a:ext uri="{FF2B5EF4-FFF2-40B4-BE49-F238E27FC236}">
              <a16:creationId xmlns:a16="http://schemas.microsoft.com/office/drawing/2014/main" id="{00000000-0008-0000-0D00-0000FB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0" name="Diagramm 26">
          <a:extLst>
            <a:ext uri="{FF2B5EF4-FFF2-40B4-BE49-F238E27FC236}">
              <a16:creationId xmlns:a16="http://schemas.microsoft.com/office/drawing/2014/main" id="{00000000-0008-0000-0D00-0000FC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1" name="Diagramm 27">
          <a:extLst>
            <a:ext uri="{FF2B5EF4-FFF2-40B4-BE49-F238E27FC236}">
              <a16:creationId xmlns:a16="http://schemas.microsoft.com/office/drawing/2014/main" id="{00000000-0008-0000-0D00-0000FD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2" name="Diagramm 28">
          <a:extLst>
            <a:ext uri="{FF2B5EF4-FFF2-40B4-BE49-F238E27FC236}">
              <a16:creationId xmlns:a16="http://schemas.microsoft.com/office/drawing/2014/main" id="{00000000-0008-0000-0D00-0000FE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3" name="Diagramm 26">
          <a:extLst>
            <a:ext uri="{FF2B5EF4-FFF2-40B4-BE49-F238E27FC236}">
              <a16:creationId xmlns:a16="http://schemas.microsoft.com/office/drawing/2014/main" id="{00000000-0008-0000-0D00-0000FF04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4" name="Diagramm 27">
          <a:extLst>
            <a:ext uri="{FF2B5EF4-FFF2-40B4-BE49-F238E27FC236}">
              <a16:creationId xmlns:a16="http://schemas.microsoft.com/office/drawing/2014/main" id="{00000000-0008-0000-0D00-00000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5" name="Diagramm 28">
          <a:extLst>
            <a:ext uri="{FF2B5EF4-FFF2-40B4-BE49-F238E27FC236}">
              <a16:creationId xmlns:a16="http://schemas.microsoft.com/office/drawing/2014/main" id="{00000000-0008-0000-0D00-00000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6" name="Diagramm 26">
          <a:extLst>
            <a:ext uri="{FF2B5EF4-FFF2-40B4-BE49-F238E27FC236}">
              <a16:creationId xmlns:a16="http://schemas.microsoft.com/office/drawing/2014/main" id="{00000000-0008-0000-0D00-00000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27" name="Diagramm 27">
          <a:extLst>
            <a:ext uri="{FF2B5EF4-FFF2-40B4-BE49-F238E27FC236}">
              <a16:creationId xmlns:a16="http://schemas.microsoft.com/office/drawing/2014/main" id="{00000000-0008-0000-0D00-00000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28" name="Diagramm 28">
          <a:extLst>
            <a:ext uri="{FF2B5EF4-FFF2-40B4-BE49-F238E27FC236}">
              <a16:creationId xmlns:a16="http://schemas.microsoft.com/office/drawing/2014/main" id="{00000000-0008-0000-0D00-00000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29" name="Diagramm 26">
          <a:extLst>
            <a:ext uri="{FF2B5EF4-FFF2-40B4-BE49-F238E27FC236}">
              <a16:creationId xmlns:a16="http://schemas.microsoft.com/office/drawing/2014/main" id="{00000000-0008-0000-0D00-00000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0" name="Diagramm 27">
          <a:extLst>
            <a:ext uri="{FF2B5EF4-FFF2-40B4-BE49-F238E27FC236}">
              <a16:creationId xmlns:a16="http://schemas.microsoft.com/office/drawing/2014/main" id="{00000000-0008-0000-0D00-00000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1" name="Diagramm 28">
          <a:extLst>
            <a:ext uri="{FF2B5EF4-FFF2-40B4-BE49-F238E27FC236}">
              <a16:creationId xmlns:a16="http://schemas.microsoft.com/office/drawing/2014/main" id="{00000000-0008-0000-0D00-00000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2" name="Diagramm 26">
          <a:extLst>
            <a:ext uri="{FF2B5EF4-FFF2-40B4-BE49-F238E27FC236}">
              <a16:creationId xmlns:a16="http://schemas.microsoft.com/office/drawing/2014/main" id="{00000000-0008-0000-0D00-00000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3" name="Diagramm 27">
          <a:extLst>
            <a:ext uri="{FF2B5EF4-FFF2-40B4-BE49-F238E27FC236}">
              <a16:creationId xmlns:a16="http://schemas.microsoft.com/office/drawing/2014/main" id="{00000000-0008-0000-0D00-00000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4" name="Diagramm 28">
          <a:extLst>
            <a:ext uri="{FF2B5EF4-FFF2-40B4-BE49-F238E27FC236}">
              <a16:creationId xmlns:a16="http://schemas.microsoft.com/office/drawing/2014/main" id="{00000000-0008-0000-0D00-00000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5" name="Diagramm 26">
          <a:extLst>
            <a:ext uri="{FF2B5EF4-FFF2-40B4-BE49-F238E27FC236}">
              <a16:creationId xmlns:a16="http://schemas.microsoft.com/office/drawing/2014/main" id="{00000000-0008-0000-0D00-00000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6" name="Diagramm 27">
          <a:extLst>
            <a:ext uri="{FF2B5EF4-FFF2-40B4-BE49-F238E27FC236}">
              <a16:creationId xmlns:a16="http://schemas.microsoft.com/office/drawing/2014/main" id="{00000000-0008-0000-0D00-00000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37" name="Diagramm 28">
          <a:extLst>
            <a:ext uri="{FF2B5EF4-FFF2-40B4-BE49-F238E27FC236}">
              <a16:creationId xmlns:a16="http://schemas.microsoft.com/office/drawing/2014/main" id="{00000000-0008-0000-0D00-00000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38" name="Diagramm 26">
          <a:extLst>
            <a:ext uri="{FF2B5EF4-FFF2-40B4-BE49-F238E27FC236}">
              <a16:creationId xmlns:a16="http://schemas.microsoft.com/office/drawing/2014/main" id="{00000000-0008-0000-0D00-00000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39" name="Diagramm 27">
          <a:extLst>
            <a:ext uri="{FF2B5EF4-FFF2-40B4-BE49-F238E27FC236}">
              <a16:creationId xmlns:a16="http://schemas.microsoft.com/office/drawing/2014/main" id="{00000000-0008-0000-0D00-00000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0" name="Diagramm 28">
          <a:extLst>
            <a:ext uri="{FF2B5EF4-FFF2-40B4-BE49-F238E27FC236}">
              <a16:creationId xmlns:a16="http://schemas.microsoft.com/office/drawing/2014/main" id="{00000000-0008-0000-0D00-00001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1" name="Diagramm 26">
          <a:extLst>
            <a:ext uri="{FF2B5EF4-FFF2-40B4-BE49-F238E27FC236}">
              <a16:creationId xmlns:a16="http://schemas.microsoft.com/office/drawing/2014/main" id="{00000000-0008-0000-0D00-00001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2" name="Diagramm 27">
          <a:extLst>
            <a:ext uri="{FF2B5EF4-FFF2-40B4-BE49-F238E27FC236}">
              <a16:creationId xmlns:a16="http://schemas.microsoft.com/office/drawing/2014/main" id="{00000000-0008-0000-0D00-00001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3" name="Diagramm 28">
          <a:extLst>
            <a:ext uri="{FF2B5EF4-FFF2-40B4-BE49-F238E27FC236}">
              <a16:creationId xmlns:a16="http://schemas.microsoft.com/office/drawing/2014/main" id="{00000000-0008-0000-0D00-00001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4" name="Diagramm 26">
          <a:extLst>
            <a:ext uri="{FF2B5EF4-FFF2-40B4-BE49-F238E27FC236}">
              <a16:creationId xmlns:a16="http://schemas.microsoft.com/office/drawing/2014/main" id="{00000000-0008-0000-0D00-00001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5" name="Diagramm 27">
          <a:extLst>
            <a:ext uri="{FF2B5EF4-FFF2-40B4-BE49-F238E27FC236}">
              <a16:creationId xmlns:a16="http://schemas.microsoft.com/office/drawing/2014/main" id="{00000000-0008-0000-0D00-00001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6" name="Diagramm 28">
          <a:extLst>
            <a:ext uri="{FF2B5EF4-FFF2-40B4-BE49-F238E27FC236}">
              <a16:creationId xmlns:a16="http://schemas.microsoft.com/office/drawing/2014/main" id="{00000000-0008-0000-0D00-00001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47" name="Diagramm 26">
          <a:extLst>
            <a:ext uri="{FF2B5EF4-FFF2-40B4-BE49-F238E27FC236}">
              <a16:creationId xmlns:a16="http://schemas.microsoft.com/office/drawing/2014/main" id="{00000000-0008-0000-0D00-00001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48" name="Diagramm 27">
          <a:extLst>
            <a:ext uri="{FF2B5EF4-FFF2-40B4-BE49-F238E27FC236}">
              <a16:creationId xmlns:a16="http://schemas.microsoft.com/office/drawing/2014/main" id="{00000000-0008-0000-0D00-00001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49" name="Diagramm 28">
          <a:extLst>
            <a:ext uri="{FF2B5EF4-FFF2-40B4-BE49-F238E27FC236}">
              <a16:creationId xmlns:a16="http://schemas.microsoft.com/office/drawing/2014/main" id="{00000000-0008-0000-0D00-00001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0" name="Diagramm 26">
          <a:extLst>
            <a:ext uri="{FF2B5EF4-FFF2-40B4-BE49-F238E27FC236}">
              <a16:creationId xmlns:a16="http://schemas.microsoft.com/office/drawing/2014/main" id="{00000000-0008-0000-0D00-00001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1" name="Diagramm 27">
          <a:extLst>
            <a:ext uri="{FF2B5EF4-FFF2-40B4-BE49-F238E27FC236}">
              <a16:creationId xmlns:a16="http://schemas.microsoft.com/office/drawing/2014/main" id="{00000000-0008-0000-0D00-00001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2" name="Diagramm 28">
          <a:extLst>
            <a:ext uri="{FF2B5EF4-FFF2-40B4-BE49-F238E27FC236}">
              <a16:creationId xmlns:a16="http://schemas.microsoft.com/office/drawing/2014/main" id="{00000000-0008-0000-0D00-00001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3" name="Diagramm 26">
          <a:extLst>
            <a:ext uri="{FF2B5EF4-FFF2-40B4-BE49-F238E27FC236}">
              <a16:creationId xmlns:a16="http://schemas.microsoft.com/office/drawing/2014/main" id="{00000000-0008-0000-0D00-00001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4" name="Diagramm 27">
          <a:extLst>
            <a:ext uri="{FF2B5EF4-FFF2-40B4-BE49-F238E27FC236}">
              <a16:creationId xmlns:a16="http://schemas.microsoft.com/office/drawing/2014/main" id="{00000000-0008-0000-0D00-00001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5" name="Diagramm 28">
          <a:extLst>
            <a:ext uri="{FF2B5EF4-FFF2-40B4-BE49-F238E27FC236}">
              <a16:creationId xmlns:a16="http://schemas.microsoft.com/office/drawing/2014/main" id="{00000000-0008-0000-0D00-00001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6" name="Diagramm 26">
          <a:extLst>
            <a:ext uri="{FF2B5EF4-FFF2-40B4-BE49-F238E27FC236}">
              <a16:creationId xmlns:a16="http://schemas.microsoft.com/office/drawing/2014/main" id="{00000000-0008-0000-0D00-00002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57" name="Diagramm 27">
          <a:extLst>
            <a:ext uri="{FF2B5EF4-FFF2-40B4-BE49-F238E27FC236}">
              <a16:creationId xmlns:a16="http://schemas.microsoft.com/office/drawing/2014/main" id="{00000000-0008-0000-0D00-00002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58" name="Diagramm 28">
          <a:extLst>
            <a:ext uri="{FF2B5EF4-FFF2-40B4-BE49-F238E27FC236}">
              <a16:creationId xmlns:a16="http://schemas.microsoft.com/office/drawing/2014/main" id="{00000000-0008-0000-0D00-00002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59" name="Diagramm 26">
          <a:extLst>
            <a:ext uri="{FF2B5EF4-FFF2-40B4-BE49-F238E27FC236}">
              <a16:creationId xmlns:a16="http://schemas.microsoft.com/office/drawing/2014/main" id="{00000000-0008-0000-0D00-00002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0" name="Diagramm 27">
          <a:extLst>
            <a:ext uri="{FF2B5EF4-FFF2-40B4-BE49-F238E27FC236}">
              <a16:creationId xmlns:a16="http://schemas.microsoft.com/office/drawing/2014/main" id="{00000000-0008-0000-0D00-00002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1" name="Diagramm 28">
          <a:extLst>
            <a:ext uri="{FF2B5EF4-FFF2-40B4-BE49-F238E27FC236}">
              <a16:creationId xmlns:a16="http://schemas.microsoft.com/office/drawing/2014/main" id="{00000000-0008-0000-0D00-00002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2" name="Diagramm 26">
          <a:extLst>
            <a:ext uri="{FF2B5EF4-FFF2-40B4-BE49-F238E27FC236}">
              <a16:creationId xmlns:a16="http://schemas.microsoft.com/office/drawing/2014/main" id="{00000000-0008-0000-0D00-00002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3" name="Diagramm 27">
          <a:extLst>
            <a:ext uri="{FF2B5EF4-FFF2-40B4-BE49-F238E27FC236}">
              <a16:creationId xmlns:a16="http://schemas.microsoft.com/office/drawing/2014/main" id="{00000000-0008-0000-0D00-00002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4" name="Diagramm 28">
          <a:extLst>
            <a:ext uri="{FF2B5EF4-FFF2-40B4-BE49-F238E27FC236}">
              <a16:creationId xmlns:a16="http://schemas.microsoft.com/office/drawing/2014/main" id="{00000000-0008-0000-0D00-00002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5" name="Diagramm 26">
          <a:extLst>
            <a:ext uri="{FF2B5EF4-FFF2-40B4-BE49-F238E27FC236}">
              <a16:creationId xmlns:a16="http://schemas.microsoft.com/office/drawing/2014/main" id="{00000000-0008-0000-0D00-00002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6" name="Diagramm 27">
          <a:extLst>
            <a:ext uri="{FF2B5EF4-FFF2-40B4-BE49-F238E27FC236}">
              <a16:creationId xmlns:a16="http://schemas.microsoft.com/office/drawing/2014/main" id="{00000000-0008-0000-0D00-00002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67" name="Diagramm 28">
          <a:extLst>
            <a:ext uri="{FF2B5EF4-FFF2-40B4-BE49-F238E27FC236}">
              <a16:creationId xmlns:a16="http://schemas.microsoft.com/office/drawing/2014/main" id="{00000000-0008-0000-0D00-00002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68" name="Diagramm 26">
          <a:extLst>
            <a:ext uri="{FF2B5EF4-FFF2-40B4-BE49-F238E27FC236}">
              <a16:creationId xmlns:a16="http://schemas.microsoft.com/office/drawing/2014/main" id="{00000000-0008-0000-0D00-00002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69" name="Diagramm 27">
          <a:extLst>
            <a:ext uri="{FF2B5EF4-FFF2-40B4-BE49-F238E27FC236}">
              <a16:creationId xmlns:a16="http://schemas.microsoft.com/office/drawing/2014/main" id="{00000000-0008-0000-0D00-00002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0" name="Diagramm 28">
          <a:extLst>
            <a:ext uri="{FF2B5EF4-FFF2-40B4-BE49-F238E27FC236}">
              <a16:creationId xmlns:a16="http://schemas.microsoft.com/office/drawing/2014/main" id="{00000000-0008-0000-0D00-00002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1" name="Diagramm 26">
          <a:extLst>
            <a:ext uri="{FF2B5EF4-FFF2-40B4-BE49-F238E27FC236}">
              <a16:creationId xmlns:a16="http://schemas.microsoft.com/office/drawing/2014/main" id="{00000000-0008-0000-0D00-00002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2" name="Diagramm 27">
          <a:extLst>
            <a:ext uri="{FF2B5EF4-FFF2-40B4-BE49-F238E27FC236}">
              <a16:creationId xmlns:a16="http://schemas.microsoft.com/office/drawing/2014/main" id="{00000000-0008-0000-0D00-00003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3" name="Diagramm 28">
          <a:extLst>
            <a:ext uri="{FF2B5EF4-FFF2-40B4-BE49-F238E27FC236}">
              <a16:creationId xmlns:a16="http://schemas.microsoft.com/office/drawing/2014/main" id="{00000000-0008-0000-0D00-00003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4" name="Diagramm 26">
          <a:extLst>
            <a:ext uri="{FF2B5EF4-FFF2-40B4-BE49-F238E27FC236}">
              <a16:creationId xmlns:a16="http://schemas.microsoft.com/office/drawing/2014/main" id="{00000000-0008-0000-0D00-00003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5" name="Diagramm 27">
          <a:extLst>
            <a:ext uri="{FF2B5EF4-FFF2-40B4-BE49-F238E27FC236}">
              <a16:creationId xmlns:a16="http://schemas.microsoft.com/office/drawing/2014/main" id="{00000000-0008-0000-0D00-00003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6" name="Diagramm 28">
          <a:extLst>
            <a:ext uri="{FF2B5EF4-FFF2-40B4-BE49-F238E27FC236}">
              <a16:creationId xmlns:a16="http://schemas.microsoft.com/office/drawing/2014/main" id="{00000000-0008-0000-0D00-00003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77" name="Diagramm 26">
          <a:extLst>
            <a:ext uri="{FF2B5EF4-FFF2-40B4-BE49-F238E27FC236}">
              <a16:creationId xmlns:a16="http://schemas.microsoft.com/office/drawing/2014/main" id="{00000000-0008-0000-0D00-00003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78" name="Diagramm 27">
          <a:extLst>
            <a:ext uri="{FF2B5EF4-FFF2-40B4-BE49-F238E27FC236}">
              <a16:creationId xmlns:a16="http://schemas.microsoft.com/office/drawing/2014/main" id="{00000000-0008-0000-0D00-00003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79" name="Diagramm 28">
          <a:extLst>
            <a:ext uri="{FF2B5EF4-FFF2-40B4-BE49-F238E27FC236}">
              <a16:creationId xmlns:a16="http://schemas.microsoft.com/office/drawing/2014/main" id="{00000000-0008-0000-0D00-00003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0" name="Diagramm 26">
          <a:extLst>
            <a:ext uri="{FF2B5EF4-FFF2-40B4-BE49-F238E27FC236}">
              <a16:creationId xmlns:a16="http://schemas.microsoft.com/office/drawing/2014/main" id="{00000000-0008-0000-0D00-00003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1" name="Diagramm 27">
          <a:extLst>
            <a:ext uri="{FF2B5EF4-FFF2-40B4-BE49-F238E27FC236}">
              <a16:creationId xmlns:a16="http://schemas.microsoft.com/office/drawing/2014/main" id="{00000000-0008-0000-0D00-00003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2" name="Diagramm 28">
          <a:extLst>
            <a:ext uri="{FF2B5EF4-FFF2-40B4-BE49-F238E27FC236}">
              <a16:creationId xmlns:a16="http://schemas.microsoft.com/office/drawing/2014/main" id="{00000000-0008-0000-0D00-00003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3" name="Diagramm 26">
          <a:extLst>
            <a:ext uri="{FF2B5EF4-FFF2-40B4-BE49-F238E27FC236}">
              <a16:creationId xmlns:a16="http://schemas.microsoft.com/office/drawing/2014/main" id="{00000000-0008-0000-0D00-00003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4" name="Diagramm 27">
          <a:extLst>
            <a:ext uri="{FF2B5EF4-FFF2-40B4-BE49-F238E27FC236}">
              <a16:creationId xmlns:a16="http://schemas.microsoft.com/office/drawing/2014/main" id="{00000000-0008-0000-0D00-00003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5" name="Diagramm 28">
          <a:extLst>
            <a:ext uri="{FF2B5EF4-FFF2-40B4-BE49-F238E27FC236}">
              <a16:creationId xmlns:a16="http://schemas.microsoft.com/office/drawing/2014/main" id="{00000000-0008-0000-0D00-00003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6" name="Diagramm 26">
          <a:extLst>
            <a:ext uri="{FF2B5EF4-FFF2-40B4-BE49-F238E27FC236}">
              <a16:creationId xmlns:a16="http://schemas.microsoft.com/office/drawing/2014/main" id="{00000000-0008-0000-0D00-00003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87" name="Diagramm 27">
          <a:extLst>
            <a:ext uri="{FF2B5EF4-FFF2-40B4-BE49-F238E27FC236}">
              <a16:creationId xmlns:a16="http://schemas.microsoft.com/office/drawing/2014/main" id="{00000000-0008-0000-0D00-00003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88" name="Diagramm 28">
          <a:extLst>
            <a:ext uri="{FF2B5EF4-FFF2-40B4-BE49-F238E27FC236}">
              <a16:creationId xmlns:a16="http://schemas.microsoft.com/office/drawing/2014/main" id="{00000000-0008-0000-0D00-00004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89" name="Diagramm 26">
          <a:extLst>
            <a:ext uri="{FF2B5EF4-FFF2-40B4-BE49-F238E27FC236}">
              <a16:creationId xmlns:a16="http://schemas.microsoft.com/office/drawing/2014/main" id="{00000000-0008-0000-0D00-00004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0" name="Diagramm 27">
          <a:extLst>
            <a:ext uri="{FF2B5EF4-FFF2-40B4-BE49-F238E27FC236}">
              <a16:creationId xmlns:a16="http://schemas.microsoft.com/office/drawing/2014/main" id="{00000000-0008-0000-0D00-00004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1" name="Diagramm 28">
          <a:extLst>
            <a:ext uri="{FF2B5EF4-FFF2-40B4-BE49-F238E27FC236}">
              <a16:creationId xmlns:a16="http://schemas.microsoft.com/office/drawing/2014/main" id="{00000000-0008-0000-0D00-00004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2" name="Diagramm 26">
          <a:extLst>
            <a:ext uri="{FF2B5EF4-FFF2-40B4-BE49-F238E27FC236}">
              <a16:creationId xmlns:a16="http://schemas.microsoft.com/office/drawing/2014/main" id="{00000000-0008-0000-0D00-00004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3" name="Diagramm 27">
          <a:extLst>
            <a:ext uri="{FF2B5EF4-FFF2-40B4-BE49-F238E27FC236}">
              <a16:creationId xmlns:a16="http://schemas.microsoft.com/office/drawing/2014/main" id="{00000000-0008-0000-0D00-00004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4" name="Diagramm 28">
          <a:extLst>
            <a:ext uri="{FF2B5EF4-FFF2-40B4-BE49-F238E27FC236}">
              <a16:creationId xmlns:a16="http://schemas.microsoft.com/office/drawing/2014/main" id="{00000000-0008-0000-0D00-00004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5" name="Diagramm 26">
          <a:extLst>
            <a:ext uri="{FF2B5EF4-FFF2-40B4-BE49-F238E27FC236}">
              <a16:creationId xmlns:a16="http://schemas.microsoft.com/office/drawing/2014/main" id="{00000000-0008-0000-0D00-00004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6" name="Diagramm 27">
          <a:extLst>
            <a:ext uri="{FF2B5EF4-FFF2-40B4-BE49-F238E27FC236}">
              <a16:creationId xmlns:a16="http://schemas.microsoft.com/office/drawing/2014/main" id="{00000000-0008-0000-0D00-00004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497" name="Diagramm 28">
          <a:extLst>
            <a:ext uri="{FF2B5EF4-FFF2-40B4-BE49-F238E27FC236}">
              <a16:creationId xmlns:a16="http://schemas.microsoft.com/office/drawing/2014/main" id="{00000000-0008-0000-0D00-00004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498" name="Diagramm 26">
          <a:extLst>
            <a:ext uri="{FF2B5EF4-FFF2-40B4-BE49-F238E27FC236}">
              <a16:creationId xmlns:a16="http://schemas.microsoft.com/office/drawing/2014/main" id="{00000000-0008-0000-0D00-00004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499" name="Diagramm 27">
          <a:extLst>
            <a:ext uri="{FF2B5EF4-FFF2-40B4-BE49-F238E27FC236}">
              <a16:creationId xmlns:a16="http://schemas.microsoft.com/office/drawing/2014/main" id="{00000000-0008-0000-0D00-00004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0" name="Diagramm 28">
          <a:extLst>
            <a:ext uri="{FF2B5EF4-FFF2-40B4-BE49-F238E27FC236}">
              <a16:creationId xmlns:a16="http://schemas.microsoft.com/office/drawing/2014/main" id="{00000000-0008-0000-0D00-00004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1" name="Diagramm 26">
          <a:extLst>
            <a:ext uri="{FF2B5EF4-FFF2-40B4-BE49-F238E27FC236}">
              <a16:creationId xmlns:a16="http://schemas.microsoft.com/office/drawing/2014/main" id="{00000000-0008-0000-0D00-00004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2" name="Diagramm 27">
          <a:extLst>
            <a:ext uri="{FF2B5EF4-FFF2-40B4-BE49-F238E27FC236}">
              <a16:creationId xmlns:a16="http://schemas.microsoft.com/office/drawing/2014/main" id="{00000000-0008-0000-0D00-00004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3" name="Diagramm 28">
          <a:extLst>
            <a:ext uri="{FF2B5EF4-FFF2-40B4-BE49-F238E27FC236}">
              <a16:creationId xmlns:a16="http://schemas.microsoft.com/office/drawing/2014/main" id="{00000000-0008-0000-0D00-00004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4" name="Diagramm 26">
          <a:extLst>
            <a:ext uri="{FF2B5EF4-FFF2-40B4-BE49-F238E27FC236}">
              <a16:creationId xmlns:a16="http://schemas.microsoft.com/office/drawing/2014/main" id="{00000000-0008-0000-0D00-00005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5" name="Diagramm 27">
          <a:extLst>
            <a:ext uri="{FF2B5EF4-FFF2-40B4-BE49-F238E27FC236}">
              <a16:creationId xmlns:a16="http://schemas.microsoft.com/office/drawing/2014/main" id="{00000000-0008-0000-0D00-00005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6" name="Diagramm 28">
          <a:extLst>
            <a:ext uri="{FF2B5EF4-FFF2-40B4-BE49-F238E27FC236}">
              <a16:creationId xmlns:a16="http://schemas.microsoft.com/office/drawing/2014/main" id="{00000000-0008-0000-0D00-00005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07" name="Diagramm 26">
          <a:extLst>
            <a:ext uri="{FF2B5EF4-FFF2-40B4-BE49-F238E27FC236}">
              <a16:creationId xmlns:a16="http://schemas.microsoft.com/office/drawing/2014/main" id="{00000000-0008-0000-0D00-00005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08" name="Diagramm 27">
          <a:extLst>
            <a:ext uri="{FF2B5EF4-FFF2-40B4-BE49-F238E27FC236}">
              <a16:creationId xmlns:a16="http://schemas.microsoft.com/office/drawing/2014/main" id="{00000000-0008-0000-0D00-00005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09" name="Diagramm 28">
          <a:extLst>
            <a:ext uri="{FF2B5EF4-FFF2-40B4-BE49-F238E27FC236}">
              <a16:creationId xmlns:a16="http://schemas.microsoft.com/office/drawing/2014/main" id="{00000000-0008-0000-0D00-00005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0" name="Diagramm 26">
          <a:extLst>
            <a:ext uri="{FF2B5EF4-FFF2-40B4-BE49-F238E27FC236}">
              <a16:creationId xmlns:a16="http://schemas.microsoft.com/office/drawing/2014/main" id="{00000000-0008-0000-0D00-00005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1" name="Diagramm 27">
          <a:extLst>
            <a:ext uri="{FF2B5EF4-FFF2-40B4-BE49-F238E27FC236}">
              <a16:creationId xmlns:a16="http://schemas.microsoft.com/office/drawing/2014/main" id="{00000000-0008-0000-0D00-00005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2" name="Diagramm 28">
          <a:extLst>
            <a:ext uri="{FF2B5EF4-FFF2-40B4-BE49-F238E27FC236}">
              <a16:creationId xmlns:a16="http://schemas.microsoft.com/office/drawing/2014/main" id="{00000000-0008-0000-0D00-00005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3" name="Diagramm 26">
          <a:extLst>
            <a:ext uri="{FF2B5EF4-FFF2-40B4-BE49-F238E27FC236}">
              <a16:creationId xmlns:a16="http://schemas.microsoft.com/office/drawing/2014/main" id="{00000000-0008-0000-0D00-00005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4" name="Diagramm 27">
          <a:extLst>
            <a:ext uri="{FF2B5EF4-FFF2-40B4-BE49-F238E27FC236}">
              <a16:creationId xmlns:a16="http://schemas.microsoft.com/office/drawing/2014/main" id="{00000000-0008-0000-0D00-00005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5" name="Diagramm 28">
          <a:extLst>
            <a:ext uri="{FF2B5EF4-FFF2-40B4-BE49-F238E27FC236}">
              <a16:creationId xmlns:a16="http://schemas.microsoft.com/office/drawing/2014/main" id="{00000000-0008-0000-0D00-00005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6" name="Diagramm 26">
          <a:extLst>
            <a:ext uri="{FF2B5EF4-FFF2-40B4-BE49-F238E27FC236}">
              <a16:creationId xmlns:a16="http://schemas.microsoft.com/office/drawing/2014/main" id="{00000000-0008-0000-0D00-00005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17" name="Diagramm 27">
          <a:extLst>
            <a:ext uri="{FF2B5EF4-FFF2-40B4-BE49-F238E27FC236}">
              <a16:creationId xmlns:a16="http://schemas.microsoft.com/office/drawing/2014/main" id="{00000000-0008-0000-0D00-00005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18" name="Diagramm 28">
          <a:extLst>
            <a:ext uri="{FF2B5EF4-FFF2-40B4-BE49-F238E27FC236}">
              <a16:creationId xmlns:a16="http://schemas.microsoft.com/office/drawing/2014/main" id="{00000000-0008-0000-0D00-00005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19" name="Diagramm 26">
          <a:extLst>
            <a:ext uri="{FF2B5EF4-FFF2-40B4-BE49-F238E27FC236}">
              <a16:creationId xmlns:a16="http://schemas.microsoft.com/office/drawing/2014/main" id="{00000000-0008-0000-0D00-00005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0" name="Diagramm 27">
          <a:extLst>
            <a:ext uri="{FF2B5EF4-FFF2-40B4-BE49-F238E27FC236}">
              <a16:creationId xmlns:a16="http://schemas.microsoft.com/office/drawing/2014/main" id="{00000000-0008-0000-0D00-00006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1" name="Diagramm 28">
          <a:extLst>
            <a:ext uri="{FF2B5EF4-FFF2-40B4-BE49-F238E27FC236}">
              <a16:creationId xmlns:a16="http://schemas.microsoft.com/office/drawing/2014/main" id="{00000000-0008-0000-0D00-00006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2" name="Diagramm 26">
          <a:extLst>
            <a:ext uri="{FF2B5EF4-FFF2-40B4-BE49-F238E27FC236}">
              <a16:creationId xmlns:a16="http://schemas.microsoft.com/office/drawing/2014/main" id="{00000000-0008-0000-0D00-00006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3" name="Diagramm 27">
          <a:extLst>
            <a:ext uri="{FF2B5EF4-FFF2-40B4-BE49-F238E27FC236}">
              <a16:creationId xmlns:a16="http://schemas.microsoft.com/office/drawing/2014/main" id="{00000000-0008-0000-0D00-00006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4" name="Diagramm 28">
          <a:extLst>
            <a:ext uri="{FF2B5EF4-FFF2-40B4-BE49-F238E27FC236}">
              <a16:creationId xmlns:a16="http://schemas.microsoft.com/office/drawing/2014/main" id="{00000000-0008-0000-0D00-00006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5" name="Diagramm 26">
          <a:extLst>
            <a:ext uri="{FF2B5EF4-FFF2-40B4-BE49-F238E27FC236}">
              <a16:creationId xmlns:a16="http://schemas.microsoft.com/office/drawing/2014/main" id="{00000000-0008-0000-0D00-00006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6" name="Diagramm 27">
          <a:extLst>
            <a:ext uri="{FF2B5EF4-FFF2-40B4-BE49-F238E27FC236}">
              <a16:creationId xmlns:a16="http://schemas.microsoft.com/office/drawing/2014/main" id="{00000000-0008-0000-0D00-00006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27" name="Diagramm 28">
          <a:extLst>
            <a:ext uri="{FF2B5EF4-FFF2-40B4-BE49-F238E27FC236}">
              <a16:creationId xmlns:a16="http://schemas.microsoft.com/office/drawing/2014/main" id="{00000000-0008-0000-0D00-00006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28" name="Diagramm 26">
          <a:extLst>
            <a:ext uri="{FF2B5EF4-FFF2-40B4-BE49-F238E27FC236}">
              <a16:creationId xmlns:a16="http://schemas.microsoft.com/office/drawing/2014/main" id="{00000000-0008-0000-0D00-00006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29" name="Diagramm 27">
          <a:extLst>
            <a:ext uri="{FF2B5EF4-FFF2-40B4-BE49-F238E27FC236}">
              <a16:creationId xmlns:a16="http://schemas.microsoft.com/office/drawing/2014/main" id="{00000000-0008-0000-0D00-00006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0" name="Diagramm 28">
          <a:extLst>
            <a:ext uri="{FF2B5EF4-FFF2-40B4-BE49-F238E27FC236}">
              <a16:creationId xmlns:a16="http://schemas.microsoft.com/office/drawing/2014/main" id="{00000000-0008-0000-0D00-00006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1" name="Diagramm 26">
          <a:extLst>
            <a:ext uri="{FF2B5EF4-FFF2-40B4-BE49-F238E27FC236}">
              <a16:creationId xmlns:a16="http://schemas.microsoft.com/office/drawing/2014/main" id="{00000000-0008-0000-0D00-00006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2" name="Diagramm 27">
          <a:extLst>
            <a:ext uri="{FF2B5EF4-FFF2-40B4-BE49-F238E27FC236}">
              <a16:creationId xmlns:a16="http://schemas.microsoft.com/office/drawing/2014/main" id="{00000000-0008-0000-0D00-00006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3" name="Diagramm 28">
          <a:extLst>
            <a:ext uri="{FF2B5EF4-FFF2-40B4-BE49-F238E27FC236}">
              <a16:creationId xmlns:a16="http://schemas.microsoft.com/office/drawing/2014/main" id="{00000000-0008-0000-0D00-00006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4" name="Diagramm 26">
          <a:extLst>
            <a:ext uri="{FF2B5EF4-FFF2-40B4-BE49-F238E27FC236}">
              <a16:creationId xmlns:a16="http://schemas.microsoft.com/office/drawing/2014/main" id="{00000000-0008-0000-0D00-00006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5" name="Diagramm 27">
          <a:extLst>
            <a:ext uri="{FF2B5EF4-FFF2-40B4-BE49-F238E27FC236}">
              <a16:creationId xmlns:a16="http://schemas.microsoft.com/office/drawing/2014/main" id="{00000000-0008-0000-0D00-00006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6" name="Diagramm 28">
          <a:extLst>
            <a:ext uri="{FF2B5EF4-FFF2-40B4-BE49-F238E27FC236}">
              <a16:creationId xmlns:a16="http://schemas.microsoft.com/office/drawing/2014/main" id="{00000000-0008-0000-0D00-00007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37" name="Diagramm 26">
          <a:extLst>
            <a:ext uri="{FF2B5EF4-FFF2-40B4-BE49-F238E27FC236}">
              <a16:creationId xmlns:a16="http://schemas.microsoft.com/office/drawing/2014/main" id="{00000000-0008-0000-0D00-00007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38" name="Diagramm 27">
          <a:extLst>
            <a:ext uri="{FF2B5EF4-FFF2-40B4-BE49-F238E27FC236}">
              <a16:creationId xmlns:a16="http://schemas.microsoft.com/office/drawing/2014/main" id="{00000000-0008-0000-0D00-00007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39" name="Diagramm 28">
          <a:extLst>
            <a:ext uri="{FF2B5EF4-FFF2-40B4-BE49-F238E27FC236}">
              <a16:creationId xmlns:a16="http://schemas.microsoft.com/office/drawing/2014/main" id="{00000000-0008-0000-0D00-00007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0" name="Diagramm 26">
          <a:extLst>
            <a:ext uri="{FF2B5EF4-FFF2-40B4-BE49-F238E27FC236}">
              <a16:creationId xmlns:a16="http://schemas.microsoft.com/office/drawing/2014/main" id="{00000000-0008-0000-0D00-00007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1" name="Diagramm 27">
          <a:extLst>
            <a:ext uri="{FF2B5EF4-FFF2-40B4-BE49-F238E27FC236}">
              <a16:creationId xmlns:a16="http://schemas.microsoft.com/office/drawing/2014/main" id="{00000000-0008-0000-0D00-00007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2" name="Diagramm 28">
          <a:extLst>
            <a:ext uri="{FF2B5EF4-FFF2-40B4-BE49-F238E27FC236}">
              <a16:creationId xmlns:a16="http://schemas.microsoft.com/office/drawing/2014/main" id="{00000000-0008-0000-0D00-00007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3" name="Diagramm 26">
          <a:extLst>
            <a:ext uri="{FF2B5EF4-FFF2-40B4-BE49-F238E27FC236}">
              <a16:creationId xmlns:a16="http://schemas.microsoft.com/office/drawing/2014/main" id="{00000000-0008-0000-0D00-00007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4" name="Diagramm 27">
          <a:extLst>
            <a:ext uri="{FF2B5EF4-FFF2-40B4-BE49-F238E27FC236}">
              <a16:creationId xmlns:a16="http://schemas.microsoft.com/office/drawing/2014/main" id="{00000000-0008-0000-0D00-00007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5" name="Diagramm 28">
          <a:extLst>
            <a:ext uri="{FF2B5EF4-FFF2-40B4-BE49-F238E27FC236}">
              <a16:creationId xmlns:a16="http://schemas.microsoft.com/office/drawing/2014/main" id="{00000000-0008-0000-0D00-00007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6" name="Diagramm 26">
          <a:extLst>
            <a:ext uri="{FF2B5EF4-FFF2-40B4-BE49-F238E27FC236}">
              <a16:creationId xmlns:a16="http://schemas.microsoft.com/office/drawing/2014/main" id="{00000000-0008-0000-0D00-00007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47" name="Diagramm 27">
          <a:extLst>
            <a:ext uri="{FF2B5EF4-FFF2-40B4-BE49-F238E27FC236}">
              <a16:creationId xmlns:a16="http://schemas.microsoft.com/office/drawing/2014/main" id="{00000000-0008-0000-0D00-00007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48" name="Diagramm 28">
          <a:extLst>
            <a:ext uri="{FF2B5EF4-FFF2-40B4-BE49-F238E27FC236}">
              <a16:creationId xmlns:a16="http://schemas.microsoft.com/office/drawing/2014/main" id="{00000000-0008-0000-0D00-00007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49" name="Diagramm 26">
          <a:extLst>
            <a:ext uri="{FF2B5EF4-FFF2-40B4-BE49-F238E27FC236}">
              <a16:creationId xmlns:a16="http://schemas.microsoft.com/office/drawing/2014/main" id="{00000000-0008-0000-0D00-00007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0" name="Diagramm 27">
          <a:extLst>
            <a:ext uri="{FF2B5EF4-FFF2-40B4-BE49-F238E27FC236}">
              <a16:creationId xmlns:a16="http://schemas.microsoft.com/office/drawing/2014/main" id="{00000000-0008-0000-0D00-00007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1" name="Diagramm 28">
          <a:extLst>
            <a:ext uri="{FF2B5EF4-FFF2-40B4-BE49-F238E27FC236}">
              <a16:creationId xmlns:a16="http://schemas.microsoft.com/office/drawing/2014/main" id="{00000000-0008-0000-0D00-00007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2" name="Diagramm 26">
          <a:extLst>
            <a:ext uri="{FF2B5EF4-FFF2-40B4-BE49-F238E27FC236}">
              <a16:creationId xmlns:a16="http://schemas.microsoft.com/office/drawing/2014/main" id="{00000000-0008-0000-0D00-00008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3" name="Diagramm 27">
          <a:extLst>
            <a:ext uri="{FF2B5EF4-FFF2-40B4-BE49-F238E27FC236}">
              <a16:creationId xmlns:a16="http://schemas.microsoft.com/office/drawing/2014/main" id="{00000000-0008-0000-0D00-00008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4" name="Diagramm 28">
          <a:extLst>
            <a:ext uri="{FF2B5EF4-FFF2-40B4-BE49-F238E27FC236}">
              <a16:creationId xmlns:a16="http://schemas.microsoft.com/office/drawing/2014/main" id="{00000000-0008-0000-0D00-00008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5" name="Diagramm 26">
          <a:extLst>
            <a:ext uri="{FF2B5EF4-FFF2-40B4-BE49-F238E27FC236}">
              <a16:creationId xmlns:a16="http://schemas.microsoft.com/office/drawing/2014/main" id="{00000000-0008-0000-0D00-00008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6" name="Diagramm 27">
          <a:extLst>
            <a:ext uri="{FF2B5EF4-FFF2-40B4-BE49-F238E27FC236}">
              <a16:creationId xmlns:a16="http://schemas.microsoft.com/office/drawing/2014/main" id="{00000000-0008-0000-0D00-00008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57" name="Diagramm 28">
          <a:extLst>
            <a:ext uri="{FF2B5EF4-FFF2-40B4-BE49-F238E27FC236}">
              <a16:creationId xmlns:a16="http://schemas.microsoft.com/office/drawing/2014/main" id="{00000000-0008-0000-0D00-00008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58" name="Diagramm 26">
          <a:extLst>
            <a:ext uri="{FF2B5EF4-FFF2-40B4-BE49-F238E27FC236}">
              <a16:creationId xmlns:a16="http://schemas.microsoft.com/office/drawing/2014/main" id="{00000000-0008-0000-0D00-00008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59" name="Diagramm 27">
          <a:extLst>
            <a:ext uri="{FF2B5EF4-FFF2-40B4-BE49-F238E27FC236}">
              <a16:creationId xmlns:a16="http://schemas.microsoft.com/office/drawing/2014/main" id="{00000000-0008-0000-0D00-00008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0" name="Diagramm 28">
          <a:extLst>
            <a:ext uri="{FF2B5EF4-FFF2-40B4-BE49-F238E27FC236}">
              <a16:creationId xmlns:a16="http://schemas.microsoft.com/office/drawing/2014/main" id="{00000000-0008-0000-0D00-00008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1" name="Diagramm 26">
          <a:extLst>
            <a:ext uri="{FF2B5EF4-FFF2-40B4-BE49-F238E27FC236}">
              <a16:creationId xmlns:a16="http://schemas.microsoft.com/office/drawing/2014/main" id="{00000000-0008-0000-0D00-00008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2" name="Diagramm 27">
          <a:extLst>
            <a:ext uri="{FF2B5EF4-FFF2-40B4-BE49-F238E27FC236}">
              <a16:creationId xmlns:a16="http://schemas.microsoft.com/office/drawing/2014/main" id="{00000000-0008-0000-0D00-00008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3" name="Diagramm 28">
          <a:extLst>
            <a:ext uri="{FF2B5EF4-FFF2-40B4-BE49-F238E27FC236}">
              <a16:creationId xmlns:a16="http://schemas.microsoft.com/office/drawing/2014/main" id="{00000000-0008-0000-0D00-00008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4" name="Diagramm 26">
          <a:extLst>
            <a:ext uri="{FF2B5EF4-FFF2-40B4-BE49-F238E27FC236}">
              <a16:creationId xmlns:a16="http://schemas.microsoft.com/office/drawing/2014/main" id="{00000000-0008-0000-0D00-00008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5" name="Diagramm 27">
          <a:extLst>
            <a:ext uri="{FF2B5EF4-FFF2-40B4-BE49-F238E27FC236}">
              <a16:creationId xmlns:a16="http://schemas.microsoft.com/office/drawing/2014/main" id="{00000000-0008-0000-0D00-00008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6" name="Diagramm 28">
          <a:extLst>
            <a:ext uri="{FF2B5EF4-FFF2-40B4-BE49-F238E27FC236}">
              <a16:creationId xmlns:a16="http://schemas.microsoft.com/office/drawing/2014/main" id="{00000000-0008-0000-0D00-00008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67" name="Diagramm 26">
          <a:extLst>
            <a:ext uri="{FF2B5EF4-FFF2-40B4-BE49-F238E27FC236}">
              <a16:creationId xmlns:a16="http://schemas.microsoft.com/office/drawing/2014/main" id="{00000000-0008-0000-0D00-00008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68" name="Diagramm 27">
          <a:extLst>
            <a:ext uri="{FF2B5EF4-FFF2-40B4-BE49-F238E27FC236}">
              <a16:creationId xmlns:a16="http://schemas.microsoft.com/office/drawing/2014/main" id="{00000000-0008-0000-0D00-00009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69" name="Diagramm 28">
          <a:extLst>
            <a:ext uri="{FF2B5EF4-FFF2-40B4-BE49-F238E27FC236}">
              <a16:creationId xmlns:a16="http://schemas.microsoft.com/office/drawing/2014/main" id="{00000000-0008-0000-0D00-00009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0" name="Diagramm 26">
          <a:extLst>
            <a:ext uri="{FF2B5EF4-FFF2-40B4-BE49-F238E27FC236}">
              <a16:creationId xmlns:a16="http://schemas.microsoft.com/office/drawing/2014/main" id="{00000000-0008-0000-0D00-00009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1" name="Diagramm 27">
          <a:extLst>
            <a:ext uri="{FF2B5EF4-FFF2-40B4-BE49-F238E27FC236}">
              <a16:creationId xmlns:a16="http://schemas.microsoft.com/office/drawing/2014/main" id="{00000000-0008-0000-0D00-00009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2" name="Diagramm 28">
          <a:extLst>
            <a:ext uri="{FF2B5EF4-FFF2-40B4-BE49-F238E27FC236}">
              <a16:creationId xmlns:a16="http://schemas.microsoft.com/office/drawing/2014/main" id="{00000000-0008-0000-0D00-00009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3" name="Diagramm 26">
          <a:extLst>
            <a:ext uri="{FF2B5EF4-FFF2-40B4-BE49-F238E27FC236}">
              <a16:creationId xmlns:a16="http://schemas.microsoft.com/office/drawing/2014/main" id="{00000000-0008-0000-0D00-00009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4" name="Diagramm 27">
          <a:extLst>
            <a:ext uri="{FF2B5EF4-FFF2-40B4-BE49-F238E27FC236}">
              <a16:creationId xmlns:a16="http://schemas.microsoft.com/office/drawing/2014/main" id="{00000000-0008-0000-0D00-00009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5" name="Diagramm 28">
          <a:extLst>
            <a:ext uri="{FF2B5EF4-FFF2-40B4-BE49-F238E27FC236}">
              <a16:creationId xmlns:a16="http://schemas.microsoft.com/office/drawing/2014/main" id="{00000000-0008-0000-0D00-00009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6" name="Diagramm 26">
          <a:extLst>
            <a:ext uri="{FF2B5EF4-FFF2-40B4-BE49-F238E27FC236}">
              <a16:creationId xmlns:a16="http://schemas.microsoft.com/office/drawing/2014/main" id="{00000000-0008-0000-0D00-00009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77" name="Diagramm 27">
          <a:extLst>
            <a:ext uri="{FF2B5EF4-FFF2-40B4-BE49-F238E27FC236}">
              <a16:creationId xmlns:a16="http://schemas.microsoft.com/office/drawing/2014/main" id="{00000000-0008-0000-0D00-00009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78" name="Diagramm 28">
          <a:extLst>
            <a:ext uri="{FF2B5EF4-FFF2-40B4-BE49-F238E27FC236}">
              <a16:creationId xmlns:a16="http://schemas.microsoft.com/office/drawing/2014/main" id="{00000000-0008-0000-0D00-00009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79" name="Diagramm 26">
          <a:extLst>
            <a:ext uri="{FF2B5EF4-FFF2-40B4-BE49-F238E27FC236}">
              <a16:creationId xmlns:a16="http://schemas.microsoft.com/office/drawing/2014/main" id="{00000000-0008-0000-0D00-00009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0" name="Diagramm 27">
          <a:extLst>
            <a:ext uri="{FF2B5EF4-FFF2-40B4-BE49-F238E27FC236}">
              <a16:creationId xmlns:a16="http://schemas.microsoft.com/office/drawing/2014/main" id="{00000000-0008-0000-0D00-00009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1" name="Diagramm 28">
          <a:extLst>
            <a:ext uri="{FF2B5EF4-FFF2-40B4-BE49-F238E27FC236}">
              <a16:creationId xmlns:a16="http://schemas.microsoft.com/office/drawing/2014/main" id="{00000000-0008-0000-0D00-00009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2" name="Diagramm 26">
          <a:extLst>
            <a:ext uri="{FF2B5EF4-FFF2-40B4-BE49-F238E27FC236}">
              <a16:creationId xmlns:a16="http://schemas.microsoft.com/office/drawing/2014/main" id="{00000000-0008-0000-0D00-00009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3" name="Diagramm 27">
          <a:extLst>
            <a:ext uri="{FF2B5EF4-FFF2-40B4-BE49-F238E27FC236}">
              <a16:creationId xmlns:a16="http://schemas.microsoft.com/office/drawing/2014/main" id="{00000000-0008-0000-0D00-00009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4" name="Diagramm 28">
          <a:extLst>
            <a:ext uri="{FF2B5EF4-FFF2-40B4-BE49-F238E27FC236}">
              <a16:creationId xmlns:a16="http://schemas.microsoft.com/office/drawing/2014/main" id="{00000000-0008-0000-0D00-0000A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5" name="Diagramm 26">
          <a:extLst>
            <a:ext uri="{FF2B5EF4-FFF2-40B4-BE49-F238E27FC236}">
              <a16:creationId xmlns:a16="http://schemas.microsoft.com/office/drawing/2014/main" id="{00000000-0008-0000-0D00-0000A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6" name="Diagramm 27">
          <a:extLst>
            <a:ext uri="{FF2B5EF4-FFF2-40B4-BE49-F238E27FC236}">
              <a16:creationId xmlns:a16="http://schemas.microsoft.com/office/drawing/2014/main" id="{00000000-0008-0000-0D00-0000A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87" name="Diagramm 28">
          <a:extLst>
            <a:ext uri="{FF2B5EF4-FFF2-40B4-BE49-F238E27FC236}">
              <a16:creationId xmlns:a16="http://schemas.microsoft.com/office/drawing/2014/main" id="{00000000-0008-0000-0D00-0000A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88" name="Diagramm 26">
          <a:extLst>
            <a:ext uri="{FF2B5EF4-FFF2-40B4-BE49-F238E27FC236}">
              <a16:creationId xmlns:a16="http://schemas.microsoft.com/office/drawing/2014/main" id="{00000000-0008-0000-0D00-0000A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89" name="Diagramm 27">
          <a:extLst>
            <a:ext uri="{FF2B5EF4-FFF2-40B4-BE49-F238E27FC236}">
              <a16:creationId xmlns:a16="http://schemas.microsoft.com/office/drawing/2014/main" id="{00000000-0008-0000-0D00-0000A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0" name="Diagramm 28">
          <a:extLst>
            <a:ext uri="{FF2B5EF4-FFF2-40B4-BE49-F238E27FC236}">
              <a16:creationId xmlns:a16="http://schemas.microsoft.com/office/drawing/2014/main" id="{00000000-0008-0000-0D00-0000A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1" name="Diagramm 26">
          <a:extLst>
            <a:ext uri="{FF2B5EF4-FFF2-40B4-BE49-F238E27FC236}">
              <a16:creationId xmlns:a16="http://schemas.microsoft.com/office/drawing/2014/main" id="{00000000-0008-0000-0D00-0000A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2" name="Diagramm 27">
          <a:extLst>
            <a:ext uri="{FF2B5EF4-FFF2-40B4-BE49-F238E27FC236}">
              <a16:creationId xmlns:a16="http://schemas.microsoft.com/office/drawing/2014/main" id="{00000000-0008-0000-0D00-0000A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3" name="Diagramm 28">
          <a:extLst>
            <a:ext uri="{FF2B5EF4-FFF2-40B4-BE49-F238E27FC236}">
              <a16:creationId xmlns:a16="http://schemas.microsoft.com/office/drawing/2014/main" id="{00000000-0008-0000-0D00-0000A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4" name="Diagramm 26">
          <a:extLst>
            <a:ext uri="{FF2B5EF4-FFF2-40B4-BE49-F238E27FC236}">
              <a16:creationId xmlns:a16="http://schemas.microsoft.com/office/drawing/2014/main" id="{00000000-0008-0000-0D00-0000A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5" name="Diagramm 27">
          <a:extLst>
            <a:ext uri="{FF2B5EF4-FFF2-40B4-BE49-F238E27FC236}">
              <a16:creationId xmlns:a16="http://schemas.microsoft.com/office/drawing/2014/main" id="{00000000-0008-0000-0D00-0000A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6" name="Diagramm 28">
          <a:extLst>
            <a:ext uri="{FF2B5EF4-FFF2-40B4-BE49-F238E27FC236}">
              <a16:creationId xmlns:a16="http://schemas.microsoft.com/office/drawing/2014/main" id="{00000000-0008-0000-0D00-0000A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597" name="Diagramm 26">
          <a:extLst>
            <a:ext uri="{FF2B5EF4-FFF2-40B4-BE49-F238E27FC236}">
              <a16:creationId xmlns:a16="http://schemas.microsoft.com/office/drawing/2014/main" id="{00000000-0008-0000-0D00-0000A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598" name="Diagramm 27">
          <a:extLst>
            <a:ext uri="{FF2B5EF4-FFF2-40B4-BE49-F238E27FC236}">
              <a16:creationId xmlns:a16="http://schemas.microsoft.com/office/drawing/2014/main" id="{00000000-0008-0000-0D00-0000A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599" name="Diagramm 28">
          <a:extLst>
            <a:ext uri="{FF2B5EF4-FFF2-40B4-BE49-F238E27FC236}">
              <a16:creationId xmlns:a16="http://schemas.microsoft.com/office/drawing/2014/main" id="{00000000-0008-0000-0D00-0000A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0" name="Diagramm 26">
          <a:extLst>
            <a:ext uri="{FF2B5EF4-FFF2-40B4-BE49-F238E27FC236}">
              <a16:creationId xmlns:a16="http://schemas.microsoft.com/office/drawing/2014/main" id="{00000000-0008-0000-0D00-0000B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1" name="Diagramm 27">
          <a:extLst>
            <a:ext uri="{FF2B5EF4-FFF2-40B4-BE49-F238E27FC236}">
              <a16:creationId xmlns:a16="http://schemas.microsoft.com/office/drawing/2014/main" id="{00000000-0008-0000-0D00-0000B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2" name="Diagramm 28">
          <a:extLst>
            <a:ext uri="{FF2B5EF4-FFF2-40B4-BE49-F238E27FC236}">
              <a16:creationId xmlns:a16="http://schemas.microsoft.com/office/drawing/2014/main" id="{00000000-0008-0000-0D00-0000B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3" name="Diagramm 26">
          <a:extLst>
            <a:ext uri="{FF2B5EF4-FFF2-40B4-BE49-F238E27FC236}">
              <a16:creationId xmlns:a16="http://schemas.microsoft.com/office/drawing/2014/main" id="{00000000-0008-0000-0D00-0000B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4" name="Diagramm 27">
          <a:extLst>
            <a:ext uri="{FF2B5EF4-FFF2-40B4-BE49-F238E27FC236}">
              <a16:creationId xmlns:a16="http://schemas.microsoft.com/office/drawing/2014/main" id="{00000000-0008-0000-0D00-0000B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5" name="Diagramm 28">
          <a:extLst>
            <a:ext uri="{FF2B5EF4-FFF2-40B4-BE49-F238E27FC236}">
              <a16:creationId xmlns:a16="http://schemas.microsoft.com/office/drawing/2014/main" id="{00000000-0008-0000-0D00-0000B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6" name="Diagramm 26">
          <a:extLst>
            <a:ext uri="{FF2B5EF4-FFF2-40B4-BE49-F238E27FC236}">
              <a16:creationId xmlns:a16="http://schemas.microsoft.com/office/drawing/2014/main" id="{00000000-0008-0000-0D00-0000B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07" name="Diagramm 27">
          <a:extLst>
            <a:ext uri="{FF2B5EF4-FFF2-40B4-BE49-F238E27FC236}">
              <a16:creationId xmlns:a16="http://schemas.microsoft.com/office/drawing/2014/main" id="{00000000-0008-0000-0D00-0000B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08" name="Diagramm 28">
          <a:extLst>
            <a:ext uri="{FF2B5EF4-FFF2-40B4-BE49-F238E27FC236}">
              <a16:creationId xmlns:a16="http://schemas.microsoft.com/office/drawing/2014/main" id="{00000000-0008-0000-0D00-0000B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09" name="Diagramm 26">
          <a:extLst>
            <a:ext uri="{FF2B5EF4-FFF2-40B4-BE49-F238E27FC236}">
              <a16:creationId xmlns:a16="http://schemas.microsoft.com/office/drawing/2014/main" id="{00000000-0008-0000-0D00-0000B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0" name="Diagramm 27">
          <a:extLst>
            <a:ext uri="{FF2B5EF4-FFF2-40B4-BE49-F238E27FC236}">
              <a16:creationId xmlns:a16="http://schemas.microsoft.com/office/drawing/2014/main" id="{00000000-0008-0000-0D00-0000B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1" name="Diagramm 28">
          <a:extLst>
            <a:ext uri="{FF2B5EF4-FFF2-40B4-BE49-F238E27FC236}">
              <a16:creationId xmlns:a16="http://schemas.microsoft.com/office/drawing/2014/main" id="{00000000-0008-0000-0D00-0000B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2" name="Diagramm 26">
          <a:extLst>
            <a:ext uri="{FF2B5EF4-FFF2-40B4-BE49-F238E27FC236}">
              <a16:creationId xmlns:a16="http://schemas.microsoft.com/office/drawing/2014/main" id="{00000000-0008-0000-0D00-0000B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3" name="Diagramm 27">
          <a:extLst>
            <a:ext uri="{FF2B5EF4-FFF2-40B4-BE49-F238E27FC236}">
              <a16:creationId xmlns:a16="http://schemas.microsoft.com/office/drawing/2014/main" id="{00000000-0008-0000-0D00-0000B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4" name="Diagramm 28">
          <a:extLst>
            <a:ext uri="{FF2B5EF4-FFF2-40B4-BE49-F238E27FC236}">
              <a16:creationId xmlns:a16="http://schemas.microsoft.com/office/drawing/2014/main" id="{00000000-0008-0000-0D00-0000B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5" name="Diagramm 26">
          <a:extLst>
            <a:ext uri="{FF2B5EF4-FFF2-40B4-BE49-F238E27FC236}">
              <a16:creationId xmlns:a16="http://schemas.microsoft.com/office/drawing/2014/main" id="{00000000-0008-0000-0D00-0000B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6" name="Diagramm 27">
          <a:extLst>
            <a:ext uri="{FF2B5EF4-FFF2-40B4-BE49-F238E27FC236}">
              <a16:creationId xmlns:a16="http://schemas.microsoft.com/office/drawing/2014/main" id="{00000000-0008-0000-0D00-0000C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17" name="Diagramm 28">
          <a:extLst>
            <a:ext uri="{FF2B5EF4-FFF2-40B4-BE49-F238E27FC236}">
              <a16:creationId xmlns:a16="http://schemas.microsoft.com/office/drawing/2014/main" id="{00000000-0008-0000-0D00-0000C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18" name="Diagramm 26">
          <a:extLst>
            <a:ext uri="{FF2B5EF4-FFF2-40B4-BE49-F238E27FC236}">
              <a16:creationId xmlns:a16="http://schemas.microsoft.com/office/drawing/2014/main" id="{00000000-0008-0000-0D00-0000C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19" name="Diagramm 27">
          <a:extLst>
            <a:ext uri="{FF2B5EF4-FFF2-40B4-BE49-F238E27FC236}">
              <a16:creationId xmlns:a16="http://schemas.microsoft.com/office/drawing/2014/main" id="{00000000-0008-0000-0D00-0000C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0" name="Diagramm 28">
          <a:extLst>
            <a:ext uri="{FF2B5EF4-FFF2-40B4-BE49-F238E27FC236}">
              <a16:creationId xmlns:a16="http://schemas.microsoft.com/office/drawing/2014/main" id="{00000000-0008-0000-0D00-0000C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1" name="Diagramm 26">
          <a:extLst>
            <a:ext uri="{FF2B5EF4-FFF2-40B4-BE49-F238E27FC236}">
              <a16:creationId xmlns:a16="http://schemas.microsoft.com/office/drawing/2014/main" id="{00000000-0008-0000-0D00-0000C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2" name="Diagramm 27">
          <a:extLst>
            <a:ext uri="{FF2B5EF4-FFF2-40B4-BE49-F238E27FC236}">
              <a16:creationId xmlns:a16="http://schemas.microsoft.com/office/drawing/2014/main" id="{00000000-0008-0000-0D00-0000C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3" name="Diagramm 28">
          <a:extLst>
            <a:ext uri="{FF2B5EF4-FFF2-40B4-BE49-F238E27FC236}">
              <a16:creationId xmlns:a16="http://schemas.microsoft.com/office/drawing/2014/main" id="{00000000-0008-0000-0D00-0000C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4" name="Diagramm 26">
          <a:extLst>
            <a:ext uri="{FF2B5EF4-FFF2-40B4-BE49-F238E27FC236}">
              <a16:creationId xmlns:a16="http://schemas.microsoft.com/office/drawing/2014/main" id="{00000000-0008-0000-0D00-0000C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5" name="Diagramm 27">
          <a:extLst>
            <a:ext uri="{FF2B5EF4-FFF2-40B4-BE49-F238E27FC236}">
              <a16:creationId xmlns:a16="http://schemas.microsoft.com/office/drawing/2014/main" id="{00000000-0008-0000-0D00-0000C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6" name="Diagramm 28">
          <a:extLst>
            <a:ext uri="{FF2B5EF4-FFF2-40B4-BE49-F238E27FC236}">
              <a16:creationId xmlns:a16="http://schemas.microsoft.com/office/drawing/2014/main" id="{00000000-0008-0000-0D00-0000C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27" name="Diagramm 26">
          <a:extLst>
            <a:ext uri="{FF2B5EF4-FFF2-40B4-BE49-F238E27FC236}">
              <a16:creationId xmlns:a16="http://schemas.microsoft.com/office/drawing/2014/main" id="{00000000-0008-0000-0D00-0000C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28" name="Diagramm 27">
          <a:extLst>
            <a:ext uri="{FF2B5EF4-FFF2-40B4-BE49-F238E27FC236}">
              <a16:creationId xmlns:a16="http://schemas.microsoft.com/office/drawing/2014/main" id="{00000000-0008-0000-0D00-0000C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29" name="Diagramm 28">
          <a:extLst>
            <a:ext uri="{FF2B5EF4-FFF2-40B4-BE49-F238E27FC236}">
              <a16:creationId xmlns:a16="http://schemas.microsoft.com/office/drawing/2014/main" id="{00000000-0008-0000-0D00-0000C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0" name="Diagramm 26">
          <a:extLst>
            <a:ext uri="{FF2B5EF4-FFF2-40B4-BE49-F238E27FC236}">
              <a16:creationId xmlns:a16="http://schemas.microsoft.com/office/drawing/2014/main" id="{00000000-0008-0000-0D00-0000C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1" name="Diagramm 27">
          <a:extLst>
            <a:ext uri="{FF2B5EF4-FFF2-40B4-BE49-F238E27FC236}">
              <a16:creationId xmlns:a16="http://schemas.microsoft.com/office/drawing/2014/main" id="{00000000-0008-0000-0D00-0000C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2" name="Diagramm 28">
          <a:extLst>
            <a:ext uri="{FF2B5EF4-FFF2-40B4-BE49-F238E27FC236}">
              <a16:creationId xmlns:a16="http://schemas.microsoft.com/office/drawing/2014/main" id="{00000000-0008-0000-0D00-0000D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3" name="Diagramm 26">
          <a:extLst>
            <a:ext uri="{FF2B5EF4-FFF2-40B4-BE49-F238E27FC236}">
              <a16:creationId xmlns:a16="http://schemas.microsoft.com/office/drawing/2014/main" id="{00000000-0008-0000-0D00-0000D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4" name="Diagramm 27">
          <a:extLst>
            <a:ext uri="{FF2B5EF4-FFF2-40B4-BE49-F238E27FC236}">
              <a16:creationId xmlns:a16="http://schemas.microsoft.com/office/drawing/2014/main" id="{00000000-0008-0000-0D00-0000D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5" name="Diagramm 28">
          <a:extLst>
            <a:ext uri="{FF2B5EF4-FFF2-40B4-BE49-F238E27FC236}">
              <a16:creationId xmlns:a16="http://schemas.microsoft.com/office/drawing/2014/main" id="{00000000-0008-0000-0D00-0000D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6" name="Diagramm 26">
          <a:extLst>
            <a:ext uri="{FF2B5EF4-FFF2-40B4-BE49-F238E27FC236}">
              <a16:creationId xmlns:a16="http://schemas.microsoft.com/office/drawing/2014/main" id="{00000000-0008-0000-0D00-0000D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37" name="Diagramm 27">
          <a:extLst>
            <a:ext uri="{FF2B5EF4-FFF2-40B4-BE49-F238E27FC236}">
              <a16:creationId xmlns:a16="http://schemas.microsoft.com/office/drawing/2014/main" id="{00000000-0008-0000-0D00-0000D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38" name="Diagramm 28">
          <a:extLst>
            <a:ext uri="{FF2B5EF4-FFF2-40B4-BE49-F238E27FC236}">
              <a16:creationId xmlns:a16="http://schemas.microsoft.com/office/drawing/2014/main" id="{00000000-0008-0000-0D00-0000D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39" name="Diagramm 26">
          <a:extLst>
            <a:ext uri="{FF2B5EF4-FFF2-40B4-BE49-F238E27FC236}">
              <a16:creationId xmlns:a16="http://schemas.microsoft.com/office/drawing/2014/main" id="{00000000-0008-0000-0D00-0000D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0" name="Diagramm 27">
          <a:extLst>
            <a:ext uri="{FF2B5EF4-FFF2-40B4-BE49-F238E27FC236}">
              <a16:creationId xmlns:a16="http://schemas.microsoft.com/office/drawing/2014/main" id="{00000000-0008-0000-0D00-0000D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1" name="Diagramm 28">
          <a:extLst>
            <a:ext uri="{FF2B5EF4-FFF2-40B4-BE49-F238E27FC236}">
              <a16:creationId xmlns:a16="http://schemas.microsoft.com/office/drawing/2014/main" id="{00000000-0008-0000-0D00-0000D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2" name="Diagramm 26">
          <a:extLst>
            <a:ext uri="{FF2B5EF4-FFF2-40B4-BE49-F238E27FC236}">
              <a16:creationId xmlns:a16="http://schemas.microsoft.com/office/drawing/2014/main" id="{00000000-0008-0000-0D00-0000D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3" name="Diagramm 27">
          <a:extLst>
            <a:ext uri="{FF2B5EF4-FFF2-40B4-BE49-F238E27FC236}">
              <a16:creationId xmlns:a16="http://schemas.microsoft.com/office/drawing/2014/main" id="{00000000-0008-0000-0D00-0000D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4" name="Diagramm 28">
          <a:extLst>
            <a:ext uri="{FF2B5EF4-FFF2-40B4-BE49-F238E27FC236}">
              <a16:creationId xmlns:a16="http://schemas.microsoft.com/office/drawing/2014/main" id="{00000000-0008-0000-0D00-0000D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5" name="Diagramm 26">
          <a:extLst>
            <a:ext uri="{FF2B5EF4-FFF2-40B4-BE49-F238E27FC236}">
              <a16:creationId xmlns:a16="http://schemas.microsoft.com/office/drawing/2014/main" id="{00000000-0008-0000-0D00-0000D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6" name="Diagramm 27">
          <a:extLst>
            <a:ext uri="{FF2B5EF4-FFF2-40B4-BE49-F238E27FC236}">
              <a16:creationId xmlns:a16="http://schemas.microsoft.com/office/drawing/2014/main" id="{00000000-0008-0000-0D00-0000D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47" name="Diagramm 28">
          <a:extLst>
            <a:ext uri="{FF2B5EF4-FFF2-40B4-BE49-F238E27FC236}">
              <a16:creationId xmlns:a16="http://schemas.microsoft.com/office/drawing/2014/main" id="{00000000-0008-0000-0D00-0000D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48" name="Diagramm 26">
          <a:extLst>
            <a:ext uri="{FF2B5EF4-FFF2-40B4-BE49-F238E27FC236}">
              <a16:creationId xmlns:a16="http://schemas.microsoft.com/office/drawing/2014/main" id="{00000000-0008-0000-0D00-0000E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49" name="Diagramm 27">
          <a:extLst>
            <a:ext uri="{FF2B5EF4-FFF2-40B4-BE49-F238E27FC236}">
              <a16:creationId xmlns:a16="http://schemas.microsoft.com/office/drawing/2014/main" id="{00000000-0008-0000-0D00-0000E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0" name="Diagramm 28">
          <a:extLst>
            <a:ext uri="{FF2B5EF4-FFF2-40B4-BE49-F238E27FC236}">
              <a16:creationId xmlns:a16="http://schemas.microsoft.com/office/drawing/2014/main" id="{00000000-0008-0000-0D00-0000E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1" name="Diagramm 26">
          <a:extLst>
            <a:ext uri="{FF2B5EF4-FFF2-40B4-BE49-F238E27FC236}">
              <a16:creationId xmlns:a16="http://schemas.microsoft.com/office/drawing/2014/main" id="{00000000-0008-0000-0D00-0000E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2" name="Diagramm 27">
          <a:extLst>
            <a:ext uri="{FF2B5EF4-FFF2-40B4-BE49-F238E27FC236}">
              <a16:creationId xmlns:a16="http://schemas.microsoft.com/office/drawing/2014/main" id="{00000000-0008-0000-0D00-0000E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3" name="Diagramm 28">
          <a:extLst>
            <a:ext uri="{FF2B5EF4-FFF2-40B4-BE49-F238E27FC236}">
              <a16:creationId xmlns:a16="http://schemas.microsoft.com/office/drawing/2014/main" id="{00000000-0008-0000-0D00-0000E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4" name="Diagramm 26">
          <a:extLst>
            <a:ext uri="{FF2B5EF4-FFF2-40B4-BE49-F238E27FC236}">
              <a16:creationId xmlns:a16="http://schemas.microsoft.com/office/drawing/2014/main" id="{00000000-0008-0000-0D00-0000E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5" name="Diagramm 27">
          <a:extLst>
            <a:ext uri="{FF2B5EF4-FFF2-40B4-BE49-F238E27FC236}">
              <a16:creationId xmlns:a16="http://schemas.microsoft.com/office/drawing/2014/main" id="{00000000-0008-0000-0D00-0000E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6" name="Diagramm 28">
          <a:extLst>
            <a:ext uri="{FF2B5EF4-FFF2-40B4-BE49-F238E27FC236}">
              <a16:creationId xmlns:a16="http://schemas.microsoft.com/office/drawing/2014/main" id="{00000000-0008-0000-0D00-0000E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57" name="Diagramm 26">
          <a:extLst>
            <a:ext uri="{FF2B5EF4-FFF2-40B4-BE49-F238E27FC236}">
              <a16:creationId xmlns:a16="http://schemas.microsoft.com/office/drawing/2014/main" id="{00000000-0008-0000-0D00-0000E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58" name="Diagramm 27">
          <a:extLst>
            <a:ext uri="{FF2B5EF4-FFF2-40B4-BE49-F238E27FC236}">
              <a16:creationId xmlns:a16="http://schemas.microsoft.com/office/drawing/2014/main" id="{00000000-0008-0000-0D00-0000E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59" name="Diagramm 28">
          <a:extLst>
            <a:ext uri="{FF2B5EF4-FFF2-40B4-BE49-F238E27FC236}">
              <a16:creationId xmlns:a16="http://schemas.microsoft.com/office/drawing/2014/main" id="{00000000-0008-0000-0D00-0000E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0" name="Diagramm 26">
          <a:extLst>
            <a:ext uri="{FF2B5EF4-FFF2-40B4-BE49-F238E27FC236}">
              <a16:creationId xmlns:a16="http://schemas.microsoft.com/office/drawing/2014/main" id="{00000000-0008-0000-0D00-0000E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1" name="Diagramm 27">
          <a:extLst>
            <a:ext uri="{FF2B5EF4-FFF2-40B4-BE49-F238E27FC236}">
              <a16:creationId xmlns:a16="http://schemas.microsoft.com/office/drawing/2014/main" id="{00000000-0008-0000-0D00-0000E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2" name="Diagramm 28">
          <a:extLst>
            <a:ext uri="{FF2B5EF4-FFF2-40B4-BE49-F238E27FC236}">
              <a16:creationId xmlns:a16="http://schemas.microsoft.com/office/drawing/2014/main" id="{00000000-0008-0000-0D00-0000E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3" name="Diagramm 26">
          <a:extLst>
            <a:ext uri="{FF2B5EF4-FFF2-40B4-BE49-F238E27FC236}">
              <a16:creationId xmlns:a16="http://schemas.microsoft.com/office/drawing/2014/main" id="{00000000-0008-0000-0D00-0000E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4" name="Diagramm 27">
          <a:extLst>
            <a:ext uri="{FF2B5EF4-FFF2-40B4-BE49-F238E27FC236}">
              <a16:creationId xmlns:a16="http://schemas.microsoft.com/office/drawing/2014/main" id="{00000000-0008-0000-0D00-0000F0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5" name="Diagramm 28">
          <a:extLst>
            <a:ext uri="{FF2B5EF4-FFF2-40B4-BE49-F238E27FC236}">
              <a16:creationId xmlns:a16="http://schemas.microsoft.com/office/drawing/2014/main" id="{00000000-0008-0000-0D00-0000F1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6" name="Diagramm 26">
          <a:extLst>
            <a:ext uri="{FF2B5EF4-FFF2-40B4-BE49-F238E27FC236}">
              <a16:creationId xmlns:a16="http://schemas.microsoft.com/office/drawing/2014/main" id="{00000000-0008-0000-0D00-0000F2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67" name="Diagramm 27">
          <a:extLst>
            <a:ext uri="{FF2B5EF4-FFF2-40B4-BE49-F238E27FC236}">
              <a16:creationId xmlns:a16="http://schemas.microsoft.com/office/drawing/2014/main" id="{00000000-0008-0000-0D00-0000F3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68" name="Diagramm 28">
          <a:extLst>
            <a:ext uri="{FF2B5EF4-FFF2-40B4-BE49-F238E27FC236}">
              <a16:creationId xmlns:a16="http://schemas.microsoft.com/office/drawing/2014/main" id="{00000000-0008-0000-0D00-0000F4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69" name="Diagramm 26">
          <a:extLst>
            <a:ext uri="{FF2B5EF4-FFF2-40B4-BE49-F238E27FC236}">
              <a16:creationId xmlns:a16="http://schemas.microsoft.com/office/drawing/2014/main" id="{00000000-0008-0000-0D00-0000F5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0" name="Diagramm 27">
          <a:extLst>
            <a:ext uri="{FF2B5EF4-FFF2-40B4-BE49-F238E27FC236}">
              <a16:creationId xmlns:a16="http://schemas.microsoft.com/office/drawing/2014/main" id="{00000000-0008-0000-0D00-0000F6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1" name="Diagramm 28">
          <a:extLst>
            <a:ext uri="{FF2B5EF4-FFF2-40B4-BE49-F238E27FC236}">
              <a16:creationId xmlns:a16="http://schemas.microsoft.com/office/drawing/2014/main" id="{00000000-0008-0000-0D00-0000F7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2" name="Diagramm 26">
          <a:extLst>
            <a:ext uri="{FF2B5EF4-FFF2-40B4-BE49-F238E27FC236}">
              <a16:creationId xmlns:a16="http://schemas.microsoft.com/office/drawing/2014/main" id="{00000000-0008-0000-0D00-0000F8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3" name="Diagramm 27">
          <a:extLst>
            <a:ext uri="{FF2B5EF4-FFF2-40B4-BE49-F238E27FC236}">
              <a16:creationId xmlns:a16="http://schemas.microsoft.com/office/drawing/2014/main" id="{00000000-0008-0000-0D00-0000F9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4" name="Diagramm 28">
          <a:extLst>
            <a:ext uri="{FF2B5EF4-FFF2-40B4-BE49-F238E27FC236}">
              <a16:creationId xmlns:a16="http://schemas.microsoft.com/office/drawing/2014/main" id="{00000000-0008-0000-0D00-0000FA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5" name="Diagramm 26">
          <a:extLst>
            <a:ext uri="{FF2B5EF4-FFF2-40B4-BE49-F238E27FC236}">
              <a16:creationId xmlns:a16="http://schemas.microsoft.com/office/drawing/2014/main" id="{00000000-0008-0000-0D00-0000FB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6" name="Diagramm 27">
          <a:extLst>
            <a:ext uri="{FF2B5EF4-FFF2-40B4-BE49-F238E27FC236}">
              <a16:creationId xmlns:a16="http://schemas.microsoft.com/office/drawing/2014/main" id="{00000000-0008-0000-0D00-0000FC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77" name="Diagramm 28">
          <a:extLst>
            <a:ext uri="{FF2B5EF4-FFF2-40B4-BE49-F238E27FC236}">
              <a16:creationId xmlns:a16="http://schemas.microsoft.com/office/drawing/2014/main" id="{00000000-0008-0000-0D00-0000FD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78" name="Diagramm 26">
          <a:extLst>
            <a:ext uri="{FF2B5EF4-FFF2-40B4-BE49-F238E27FC236}">
              <a16:creationId xmlns:a16="http://schemas.microsoft.com/office/drawing/2014/main" id="{00000000-0008-0000-0D00-0000FE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79" name="Diagramm 27">
          <a:extLst>
            <a:ext uri="{FF2B5EF4-FFF2-40B4-BE49-F238E27FC236}">
              <a16:creationId xmlns:a16="http://schemas.microsoft.com/office/drawing/2014/main" id="{00000000-0008-0000-0D00-0000FF05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0" name="Diagramm 28">
          <a:extLst>
            <a:ext uri="{FF2B5EF4-FFF2-40B4-BE49-F238E27FC236}">
              <a16:creationId xmlns:a16="http://schemas.microsoft.com/office/drawing/2014/main" id="{00000000-0008-0000-0D00-00000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1" name="Diagramm 26">
          <a:extLst>
            <a:ext uri="{FF2B5EF4-FFF2-40B4-BE49-F238E27FC236}">
              <a16:creationId xmlns:a16="http://schemas.microsoft.com/office/drawing/2014/main" id="{00000000-0008-0000-0D00-00000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2" name="Diagramm 27">
          <a:extLst>
            <a:ext uri="{FF2B5EF4-FFF2-40B4-BE49-F238E27FC236}">
              <a16:creationId xmlns:a16="http://schemas.microsoft.com/office/drawing/2014/main" id="{00000000-0008-0000-0D00-00000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3" name="Diagramm 28">
          <a:extLst>
            <a:ext uri="{FF2B5EF4-FFF2-40B4-BE49-F238E27FC236}">
              <a16:creationId xmlns:a16="http://schemas.microsoft.com/office/drawing/2014/main" id="{00000000-0008-0000-0D00-00000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4" name="Diagramm 26">
          <a:extLst>
            <a:ext uri="{FF2B5EF4-FFF2-40B4-BE49-F238E27FC236}">
              <a16:creationId xmlns:a16="http://schemas.microsoft.com/office/drawing/2014/main" id="{00000000-0008-0000-0D00-00000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5" name="Diagramm 27">
          <a:extLst>
            <a:ext uri="{FF2B5EF4-FFF2-40B4-BE49-F238E27FC236}">
              <a16:creationId xmlns:a16="http://schemas.microsoft.com/office/drawing/2014/main" id="{00000000-0008-0000-0D00-00000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6" name="Diagramm 28">
          <a:extLst>
            <a:ext uri="{FF2B5EF4-FFF2-40B4-BE49-F238E27FC236}">
              <a16:creationId xmlns:a16="http://schemas.microsoft.com/office/drawing/2014/main" id="{00000000-0008-0000-0D00-00000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87" name="Diagramm 26">
          <a:extLst>
            <a:ext uri="{FF2B5EF4-FFF2-40B4-BE49-F238E27FC236}">
              <a16:creationId xmlns:a16="http://schemas.microsoft.com/office/drawing/2014/main" id="{00000000-0008-0000-0D00-00000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88" name="Diagramm 27">
          <a:extLst>
            <a:ext uri="{FF2B5EF4-FFF2-40B4-BE49-F238E27FC236}">
              <a16:creationId xmlns:a16="http://schemas.microsoft.com/office/drawing/2014/main" id="{00000000-0008-0000-0D00-00000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89" name="Diagramm 28">
          <a:extLst>
            <a:ext uri="{FF2B5EF4-FFF2-40B4-BE49-F238E27FC236}">
              <a16:creationId xmlns:a16="http://schemas.microsoft.com/office/drawing/2014/main" id="{00000000-0008-0000-0D00-00000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0" name="Diagramm 26">
          <a:extLst>
            <a:ext uri="{FF2B5EF4-FFF2-40B4-BE49-F238E27FC236}">
              <a16:creationId xmlns:a16="http://schemas.microsoft.com/office/drawing/2014/main" id="{00000000-0008-0000-0D00-00000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1" name="Diagramm 27">
          <a:extLst>
            <a:ext uri="{FF2B5EF4-FFF2-40B4-BE49-F238E27FC236}">
              <a16:creationId xmlns:a16="http://schemas.microsoft.com/office/drawing/2014/main" id="{00000000-0008-0000-0D00-00000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2" name="Diagramm 28">
          <a:extLst>
            <a:ext uri="{FF2B5EF4-FFF2-40B4-BE49-F238E27FC236}">
              <a16:creationId xmlns:a16="http://schemas.microsoft.com/office/drawing/2014/main" id="{00000000-0008-0000-0D00-00000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3" name="Diagramm 26">
          <a:extLst>
            <a:ext uri="{FF2B5EF4-FFF2-40B4-BE49-F238E27FC236}">
              <a16:creationId xmlns:a16="http://schemas.microsoft.com/office/drawing/2014/main" id="{00000000-0008-0000-0D00-00000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4" name="Diagramm 27">
          <a:extLst>
            <a:ext uri="{FF2B5EF4-FFF2-40B4-BE49-F238E27FC236}">
              <a16:creationId xmlns:a16="http://schemas.microsoft.com/office/drawing/2014/main" id="{00000000-0008-0000-0D00-00000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5" name="Diagramm 28">
          <a:extLst>
            <a:ext uri="{FF2B5EF4-FFF2-40B4-BE49-F238E27FC236}">
              <a16:creationId xmlns:a16="http://schemas.microsoft.com/office/drawing/2014/main" id="{00000000-0008-0000-0D00-00000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6" name="Diagramm 26">
          <a:extLst>
            <a:ext uri="{FF2B5EF4-FFF2-40B4-BE49-F238E27FC236}">
              <a16:creationId xmlns:a16="http://schemas.microsoft.com/office/drawing/2014/main" id="{00000000-0008-0000-0D00-00001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697" name="Diagramm 27">
          <a:extLst>
            <a:ext uri="{FF2B5EF4-FFF2-40B4-BE49-F238E27FC236}">
              <a16:creationId xmlns:a16="http://schemas.microsoft.com/office/drawing/2014/main" id="{00000000-0008-0000-0D00-00001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698" name="Diagramm 28">
          <a:extLst>
            <a:ext uri="{FF2B5EF4-FFF2-40B4-BE49-F238E27FC236}">
              <a16:creationId xmlns:a16="http://schemas.microsoft.com/office/drawing/2014/main" id="{00000000-0008-0000-0D00-00001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699" name="Diagramm 26">
          <a:extLst>
            <a:ext uri="{FF2B5EF4-FFF2-40B4-BE49-F238E27FC236}">
              <a16:creationId xmlns:a16="http://schemas.microsoft.com/office/drawing/2014/main" id="{00000000-0008-0000-0D00-00001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0" name="Diagramm 27">
          <a:extLst>
            <a:ext uri="{FF2B5EF4-FFF2-40B4-BE49-F238E27FC236}">
              <a16:creationId xmlns:a16="http://schemas.microsoft.com/office/drawing/2014/main" id="{00000000-0008-0000-0D00-00001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1" name="Diagramm 28">
          <a:extLst>
            <a:ext uri="{FF2B5EF4-FFF2-40B4-BE49-F238E27FC236}">
              <a16:creationId xmlns:a16="http://schemas.microsoft.com/office/drawing/2014/main" id="{00000000-0008-0000-0D00-00001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2" name="Diagramm 26">
          <a:extLst>
            <a:ext uri="{FF2B5EF4-FFF2-40B4-BE49-F238E27FC236}">
              <a16:creationId xmlns:a16="http://schemas.microsoft.com/office/drawing/2014/main" id="{00000000-0008-0000-0D00-00001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3" name="Diagramm 27">
          <a:extLst>
            <a:ext uri="{FF2B5EF4-FFF2-40B4-BE49-F238E27FC236}">
              <a16:creationId xmlns:a16="http://schemas.microsoft.com/office/drawing/2014/main" id="{00000000-0008-0000-0D00-00001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4" name="Diagramm 28">
          <a:extLst>
            <a:ext uri="{FF2B5EF4-FFF2-40B4-BE49-F238E27FC236}">
              <a16:creationId xmlns:a16="http://schemas.microsoft.com/office/drawing/2014/main" id="{00000000-0008-0000-0D00-00001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5" name="Diagramm 26">
          <a:extLst>
            <a:ext uri="{FF2B5EF4-FFF2-40B4-BE49-F238E27FC236}">
              <a16:creationId xmlns:a16="http://schemas.microsoft.com/office/drawing/2014/main" id="{00000000-0008-0000-0D00-00001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6" name="Diagramm 27">
          <a:extLst>
            <a:ext uri="{FF2B5EF4-FFF2-40B4-BE49-F238E27FC236}">
              <a16:creationId xmlns:a16="http://schemas.microsoft.com/office/drawing/2014/main" id="{00000000-0008-0000-0D00-00001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07" name="Diagramm 28">
          <a:extLst>
            <a:ext uri="{FF2B5EF4-FFF2-40B4-BE49-F238E27FC236}">
              <a16:creationId xmlns:a16="http://schemas.microsoft.com/office/drawing/2014/main" id="{00000000-0008-0000-0D00-00001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08" name="Diagramm 26">
          <a:extLst>
            <a:ext uri="{FF2B5EF4-FFF2-40B4-BE49-F238E27FC236}">
              <a16:creationId xmlns:a16="http://schemas.microsoft.com/office/drawing/2014/main" id="{00000000-0008-0000-0D00-00001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09" name="Diagramm 27">
          <a:extLst>
            <a:ext uri="{FF2B5EF4-FFF2-40B4-BE49-F238E27FC236}">
              <a16:creationId xmlns:a16="http://schemas.microsoft.com/office/drawing/2014/main" id="{00000000-0008-0000-0D00-00001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0" name="Diagramm 28">
          <a:extLst>
            <a:ext uri="{FF2B5EF4-FFF2-40B4-BE49-F238E27FC236}">
              <a16:creationId xmlns:a16="http://schemas.microsoft.com/office/drawing/2014/main" id="{00000000-0008-0000-0D00-00001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1" name="Diagramm 26">
          <a:extLst>
            <a:ext uri="{FF2B5EF4-FFF2-40B4-BE49-F238E27FC236}">
              <a16:creationId xmlns:a16="http://schemas.microsoft.com/office/drawing/2014/main" id="{00000000-0008-0000-0D00-00001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2" name="Diagramm 27">
          <a:extLst>
            <a:ext uri="{FF2B5EF4-FFF2-40B4-BE49-F238E27FC236}">
              <a16:creationId xmlns:a16="http://schemas.microsoft.com/office/drawing/2014/main" id="{00000000-0008-0000-0D00-00002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3" name="Diagramm 28">
          <a:extLst>
            <a:ext uri="{FF2B5EF4-FFF2-40B4-BE49-F238E27FC236}">
              <a16:creationId xmlns:a16="http://schemas.microsoft.com/office/drawing/2014/main" id="{00000000-0008-0000-0D00-00002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4" name="Diagramm 26">
          <a:extLst>
            <a:ext uri="{FF2B5EF4-FFF2-40B4-BE49-F238E27FC236}">
              <a16:creationId xmlns:a16="http://schemas.microsoft.com/office/drawing/2014/main" id="{00000000-0008-0000-0D00-00002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5" name="Diagramm 27">
          <a:extLst>
            <a:ext uri="{FF2B5EF4-FFF2-40B4-BE49-F238E27FC236}">
              <a16:creationId xmlns:a16="http://schemas.microsoft.com/office/drawing/2014/main" id="{00000000-0008-0000-0D00-00002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6" name="Diagramm 28">
          <a:extLst>
            <a:ext uri="{FF2B5EF4-FFF2-40B4-BE49-F238E27FC236}">
              <a16:creationId xmlns:a16="http://schemas.microsoft.com/office/drawing/2014/main" id="{00000000-0008-0000-0D00-00002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17" name="Diagramm 26">
          <a:extLst>
            <a:ext uri="{FF2B5EF4-FFF2-40B4-BE49-F238E27FC236}">
              <a16:creationId xmlns:a16="http://schemas.microsoft.com/office/drawing/2014/main" id="{00000000-0008-0000-0D00-00002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18" name="Diagramm 27">
          <a:extLst>
            <a:ext uri="{FF2B5EF4-FFF2-40B4-BE49-F238E27FC236}">
              <a16:creationId xmlns:a16="http://schemas.microsoft.com/office/drawing/2014/main" id="{00000000-0008-0000-0D00-00002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19" name="Diagramm 28">
          <a:extLst>
            <a:ext uri="{FF2B5EF4-FFF2-40B4-BE49-F238E27FC236}">
              <a16:creationId xmlns:a16="http://schemas.microsoft.com/office/drawing/2014/main" id="{00000000-0008-0000-0D00-00002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0" name="Diagramm 26">
          <a:extLst>
            <a:ext uri="{FF2B5EF4-FFF2-40B4-BE49-F238E27FC236}">
              <a16:creationId xmlns:a16="http://schemas.microsoft.com/office/drawing/2014/main" id="{00000000-0008-0000-0D00-00002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1" name="Diagramm 27">
          <a:extLst>
            <a:ext uri="{FF2B5EF4-FFF2-40B4-BE49-F238E27FC236}">
              <a16:creationId xmlns:a16="http://schemas.microsoft.com/office/drawing/2014/main" id="{00000000-0008-0000-0D00-00002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2" name="Diagramm 28">
          <a:extLst>
            <a:ext uri="{FF2B5EF4-FFF2-40B4-BE49-F238E27FC236}">
              <a16:creationId xmlns:a16="http://schemas.microsoft.com/office/drawing/2014/main" id="{00000000-0008-0000-0D00-00002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3" name="Diagramm 26">
          <a:extLst>
            <a:ext uri="{FF2B5EF4-FFF2-40B4-BE49-F238E27FC236}">
              <a16:creationId xmlns:a16="http://schemas.microsoft.com/office/drawing/2014/main" id="{00000000-0008-0000-0D00-00002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4" name="Diagramm 27">
          <a:extLst>
            <a:ext uri="{FF2B5EF4-FFF2-40B4-BE49-F238E27FC236}">
              <a16:creationId xmlns:a16="http://schemas.microsoft.com/office/drawing/2014/main" id="{00000000-0008-0000-0D00-00002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5" name="Diagramm 28">
          <a:extLst>
            <a:ext uri="{FF2B5EF4-FFF2-40B4-BE49-F238E27FC236}">
              <a16:creationId xmlns:a16="http://schemas.microsoft.com/office/drawing/2014/main" id="{00000000-0008-0000-0D00-00002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6" name="Diagramm 26">
          <a:extLst>
            <a:ext uri="{FF2B5EF4-FFF2-40B4-BE49-F238E27FC236}">
              <a16:creationId xmlns:a16="http://schemas.microsoft.com/office/drawing/2014/main" id="{00000000-0008-0000-0D00-00002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27" name="Diagramm 27">
          <a:extLst>
            <a:ext uri="{FF2B5EF4-FFF2-40B4-BE49-F238E27FC236}">
              <a16:creationId xmlns:a16="http://schemas.microsoft.com/office/drawing/2014/main" id="{00000000-0008-0000-0D00-00002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28" name="Diagramm 28">
          <a:extLst>
            <a:ext uri="{FF2B5EF4-FFF2-40B4-BE49-F238E27FC236}">
              <a16:creationId xmlns:a16="http://schemas.microsoft.com/office/drawing/2014/main" id="{00000000-0008-0000-0D00-00003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29" name="Diagramm 26">
          <a:extLst>
            <a:ext uri="{FF2B5EF4-FFF2-40B4-BE49-F238E27FC236}">
              <a16:creationId xmlns:a16="http://schemas.microsoft.com/office/drawing/2014/main" id="{00000000-0008-0000-0D00-00003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0" name="Diagramm 27">
          <a:extLst>
            <a:ext uri="{FF2B5EF4-FFF2-40B4-BE49-F238E27FC236}">
              <a16:creationId xmlns:a16="http://schemas.microsoft.com/office/drawing/2014/main" id="{00000000-0008-0000-0D00-00003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1" name="Diagramm 28">
          <a:extLst>
            <a:ext uri="{FF2B5EF4-FFF2-40B4-BE49-F238E27FC236}">
              <a16:creationId xmlns:a16="http://schemas.microsoft.com/office/drawing/2014/main" id="{00000000-0008-0000-0D00-00003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2" name="Diagramm 26">
          <a:extLst>
            <a:ext uri="{FF2B5EF4-FFF2-40B4-BE49-F238E27FC236}">
              <a16:creationId xmlns:a16="http://schemas.microsoft.com/office/drawing/2014/main" id="{00000000-0008-0000-0D00-00003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3" name="Diagramm 27">
          <a:extLst>
            <a:ext uri="{FF2B5EF4-FFF2-40B4-BE49-F238E27FC236}">
              <a16:creationId xmlns:a16="http://schemas.microsoft.com/office/drawing/2014/main" id="{00000000-0008-0000-0D00-00003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4" name="Diagramm 28">
          <a:extLst>
            <a:ext uri="{FF2B5EF4-FFF2-40B4-BE49-F238E27FC236}">
              <a16:creationId xmlns:a16="http://schemas.microsoft.com/office/drawing/2014/main" id="{00000000-0008-0000-0D00-00003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5" name="Diagramm 26">
          <a:extLst>
            <a:ext uri="{FF2B5EF4-FFF2-40B4-BE49-F238E27FC236}">
              <a16:creationId xmlns:a16="http://schemas.microsoft.com/office/drawing/2014/main" id="{00000000-0008-0000-0D00-00003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6" name="Diagramm 27">
          <a:extLst>
            <a:ext uri="{FF2B5EF4-FFF2-40B4-BE49-F238E27FC236}">
              <a16:creationId xmlns:a16="http://schemas.microsoft.com/office/drawing/2014/main" id="{00000000-0008-0000-0D00-00003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37" name="Diagramm 28">
          <a:extLst>
            <a:ext uri="{FF2B5EF4-FFF2-40B4-BE49-F238E27FC236}">
              <a16:creationId xmlns:a16="http://schemas.microsoft.com/office/drawing/2014/main" id="{00000000-0008-0000-0D00-00003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38" name="Diagramm 26">
          <a:extLst>
            <a:ext uri="{FF2B5EF4-FFF2-40B4-BE49-F238E27FC236}">
              <a16:creationId xmlns:a16="http://schemas.microsoft.com/office/drawing/2014/main" id="{00000000-0008-0000-0D00-00003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39" name="Diagramm 27">
          <a:extLst>
            <a:ext uri="{FF2B5EF4-FFF2-40B4-BE49-F238E27FC236}">
              <a16:creationId xmlns:a16="http://schemas.microsoft.com/office/drawing/2014/main" id="{00000000-0008-0000-0D00-00003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0" name="Diagramm 28">
          <a:extLst>
            <a:ext uri="{FF2B5EF4-FFF2-40B4-BE49-F238E27FC236}">
              <a16:creationId xmlns:a16="http://schemas.microsoft.com/office/drawing/2014/main" id="{00000000-0008-0000-0D00-00003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1" name="Diagramm 26">
          <a:extLst>
            <a:ext uri="{FF2B5EF4-FFF2-40B4-BE49-F238E27FC236}">
              <a16:creationId xmlns:a16="http://schemas.microsoft.com/office/drawing/2014/main" id="{00000000-0008-0000-0D00-00003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2" name="Diagramm 27">
          <a:extLst>
            <a:ext uri="{FF2B5EF4-FFF2-40B4-BE49-F238E27FC236}">
              <a16:creationId xmlns:a16="http://schemas.microsoft.com/office/drawing/2014/main" id="{00000000-0008-0000-0D00-00003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3" name="Diagramm 28">
          <a:extLst>
            <a:ext uri="{FF2B5EF4-FFF2-40B4-BE49-F238E27FC236}">
              <a16:creationId xmlns:a16="http://schemas.microsoft.com/office/drawing/2014/main" id="{00000000-0008-0000-0D00-00003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4" name="Diagramm 26">
          <a:extLst>
            <a:ext uri="{FF2B5EF4-FFF2-40B4-BE49-F238E27FC236}">
              <a16:creationId xmlns:a16="http://schemas.microsoft.com/office/drawing/2014/main" id="{00000000-0008-0000-0D00-00004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5" name="Diagramm 27">
          <a:extLst>
            <a:ext uri="{FF2B5EF4-FFF2-40B4-BE49-F238E27FC236}">
              <a16:creationId xmlns:a16="http://schemas.microsoft.com/office/drawing/2014/main" id="{00000000-0008-0000-0D00-00004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6" name="Diagramm 28">
          <a:extLst>
            <a:ext uri="{FF2B5EF4-FFF2-40B4-BE49-F238E27FC236}">
              <a16:creationId xmlns:a16="http://schemas.microsoft.com/office/drawing/2014/main" id="{00000000-0008-0000-0D00-00004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47" name="Diagramm 26">
          <a:extLst>
            <a:ext uri="{FF2B5EF4-FFF2-40B4-BE49-F238E27FC236}">
              <a16:creationId xmlns:a16="http://schemas.microsoft.com/office/drawing/2014/main" id="{00000000-0008-0000-0D00-00004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48" name="Diagramm 27">
          <a:extLst>
            <a:ext uri="{FF2B5EF4-FFF2-40B4-BE49-F238E27FC236}">
              <a16:creationId xmlns:a16="http://schemas.microsoft.com/office/drawing/2014/main" id="{00000000-0008-0000-0D00-00004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49" name="Diagramm 28">
          <a:extLst>
            <a:ext uri="{FF2B5EF4-FFF2-40B4-BE49-F238E27FC236}">
              <a16:creationId xmlns:a16="http://schemas.microsoft.com/office/drawing/2014/main" id="{00000000-0008-0000-0D00-00004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0" name="Diagramm 26">
          <a:extLst>
            <a:ext uri="{FF2B5EF4-FFF2-40B4-BE49-F238E27FC236}">
              <a16:creationId xmlns:a16="http://schemas.microsoft.com/office/drawing/2014/main" id="{00000000-0008-0000-0D00-00004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1" name="Diagramm 27">
          <a:extLst>
            <a:ext uri="{FF2B5EF4-FFF2-40B4-BE49-F238E27FC236}">
              <a16:creationId xmlns:a16="http://schemas.microsoft.com/office/drawing/2014/main" id="{00000000-0008-0000-0D00-00004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2" name="Diagramm 28">
          <a:extLst>
            <a:ext uri="{FF2B5EF4-FFF2-40B4-BE49-F238E27FC236}">
              <a16:creationId xmlns:a16="http://schemas.microsoft.com/office/drawing/2014/main" id="{00000000-0008-0000-0D00-00004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3" name="Diagramm 26">
          <a:extLst>
            <a:ext uri="{FF2B5EF4-FFF2-40B4-BE49-F238E27FC236}">
              <a16:creationId xmlns:a16="http://schemas.microsoft.com/office/drawing/2014/main" id="{00000000-0008-0000-0D00-00004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4" name="Diagramm 27">
          <a:extLst>
            <a:ext uri="{FF2B5EF4-FFF2-40B4-BE49-F238E27FC236}">
              <a16:creationId xmlns:a16="http://schemas.microsoft.com/office/drawing/2014/main" id="{00000000-0008-0000-0D00-00004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5" name="Diagramm 28">
          <a:extLst>
            <a:ext uri="{FF2B5EF4-FFF2-40B4-BE49-F238E27FC236}">
              <a16:creationId xmlns:a16="http://schemas.microsoft.com/office/drawing/2014/main" id="{00000000-0008-0000-0D00-00004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6" name="Diagramm 26">
          <a:extLst>
            <a:ext uri="{FF2B5EF4-FFF2-40B4-BE49-F238E27FC236}">
              <a16:creationId xmlns:a16="http://schemas.microsoft.com/office/drawing/2014/main" id="{00000000-0008-0000-0D00-00004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57" name="Diagramm 27">
          <a:extLst>
            <a:ext uri="{FF2B5EF4-FFF2-40B4-BE49-F238E27FC236}">
              <a16:creationId xmlns:a16="http://schemas.microsoft.com/office/drawing/2014/main" id="{00000000-0008-0000-0D00-00004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58" name="Diagramm 28">
          <a:extLst>
            <a:ext uri="{FF2B5EF4-FFF2-40B4-BE49-F238E27FC236}">
              <a16:creationId xmlns:a16="http://schemas.microsoft.com/office/drawing/2014/main" id="{00000000-0008-0000-0D00-00004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59" name="Diagramm 26">
          <a:extLst>
            <a:ext uri="{FF2B5EF4-FFF2-40B4-BE49-F238E27FC236}">
              <a16:creationId xmlns:a16="http://schemas.microsoft.com/office/drawing/2014/main" id="{00000000-0008-0000-0D00-00004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0" name="Diagramm 27">
          <a:extLst>
            <a:ext uri="{FF2B5EF4-FFF2-40B4-BE49-F238E27FC236}">
              <a16:creationId xmlns:a16="http://schemas.microsoft.com/office/drawing/2014/main" id="{00000000-0008-0000-0D00-00005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1" name="Diagramm 28">
          <a:extLst>
            <a:ext uri="{FF2B5EF4-FFF2-40B4-BE49-F238E27FC236}">
              <a16:creationId xmlns:a16="http://schemas.microsoft.com/office/drawing/2014/main" id="{00000000-0008-0000-0D00-00005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2" name="Diagramm 26">
          <a:extLst>
            <a:ext uri="{FF2B5EF4-FFF2-40B4-BE49-F238E27FC236}">
              <a16:creationId xmlns:a16="http://schemas.microsoft.com/office/drawing/2014/main" id="{00000000-0008-0000-0D00-00005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3" name="Diagramm 27">
          <a:extLst>
            <a:ext uri="{FF2B5EF4-FFF2-40B4-BE49-F238E27FC236}">
              <a16:creationId xmlns:a16="http://schemas.microsoft.com/office/drawing/2014/main" id="{00000000-0008-0000-0D00-00005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4" name="Diagramm 28">
          <a:extLst>
            <a:ext uri="{FF2B5EF4-FFF2-40B4-BE49-F238E27FC236}">
              <a16:creationId xmlns:a16="http://schemas.microsoft.com/office/drawing/2014/main" id="{00000000-0008-0000-0D00-00005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5" name="Diagramm 26">
          <a:extLst>
            <a:ext uri="{FF2B5EF4-FFF2-40B4-BE49-F238E27FC236}">
              <a16:creationId xmlns:a16="http://schemas.microsoft.com/office/drawing/2014/main" id="{00000000-0008-0000-0D00-00005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6" name="Diagramm 27">
          <a:extLst>
            <a:ext uri="{FF2B5EF4-FFF2-40B4-BE49-F238E27FC236}">
              <a16:creationId xmlns:a16="http://schemas.microsoft.com/office/drawing/2014/main" id="{00000000-0008-0000-0D00-00005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67" name="Diagramm 28">
          <a:extLst>
            <a:ext uri="{FF2B5EF4-FFF2-40B4-BE49-F238E27FC236}">
              <a16:creationId xmlns:a16="http://schemas.microsoft.com/office/drawing/2014/main" id="{00000000-0008-0000-0D00-00005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68" name="Diagramm 26">
          <a:extLst>
            <a:ext uri="{FF2B5EF4-FFF2-40B4-BE49-F238E27FC236}">
              <a16:creationId xmlns:a16="http://schemas.microsoft.com/office/drawing/2014/main" id="{00000000-0008-0000-0D00-00005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69" name="Diagramm 27">
          <a:extLst>
            <a:ext uri="{FF2B5EF4-FFF2-40B4-BE49-F238E27FC236}">
              <a16:creationId xmlns:a16="http://schemas.microsoft.com/office/drawing/2014/main" id="{00000000-0008-0000-0D00-00005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0" name="Diagramm 28">
          <a:extLst>
            <a:ext uri="{FF2B5EF4-FFF2-40B4-BE49-F238E27FC236}">
              <a16:creationId xmlns:a16="http://schemas.microsoft.com/office/drawing/2014/main" id="{00000000-0008-0000-0D00-00005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1" name="Diagramm 26">
          <a:extLst>
            <a:ext uri="{FF2B5EF4-FFF2-40B4-BE49-F238E27FC236}">
              <a16:creationId xmlns:a16="http://schemas.microsoft.com/office/drawing/2014/main" id="{00000000-0008-0000-0D00-00005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2" name="Diagramm 27">
          <a:extLst>
            <a:ext uri="{FF2B5EF4-FFF2-40B4-BE49-F238E27FC236}">
              <a16:creationId xmlns:a16="http://schemas.microsoft.com/office/drawing/2014/main" id="{00000000-0008-0000-0D00-00005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3" name="Diagramm 28">
          <a:extLst>
            <a:ext uri="{FF2B5EF4-FFF2-40B4-BE49-F238E27FC236}">
              <a16:creationId xmlns:a16="http://schemas.microsoft.com/office/drawing/2014/main" id="{00000000-0008-0000-0D00-00005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4" name="Diagramm 26">
          <a:extLst>
            <a:ext uri="{FF2B5EF4-FFF2-40B4-BE49-F238E27FC236}">
              <a16:creationId xmlns:a16="http://schemas.microsoft.com/office/drawing/2014/main" id="{00000000-0008-0000-0D00-00005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5" name="Diagramm 27">
          <a:extLst>
            <a:ext uri="{FF2B5EF4-FFF2-40B4-BE49-F238E27FC236}">
              <a16:creationId xmlns:a16="http://schemas.microsoft.com/office/drawing/2014/main" id="{00000000-0008-0000-0D00-00005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6" name="Diagramm 28">
          <a:extLst>
            <a:ext uri="{FF2B5EF4-FFF2-40B4-BE49-F238E27FC236}">
              <a16:creationId xmlns:a16="http://schemas.microsoft.com/office/drawing/2014/main" id="{00000000-0008-0000-0D00-00006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77" name="Diagramm 26">
          <a:extLst>
            <a:ext uri="{FF2B5EF4-FFF2-40B4-BE49-F238E27FC236}">
              <a16:creationId xmlns:a16="http://schemas.microsoft.com/office/drawing/2014/main" id="{00000000-0008-0000-0D00-00006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78" name="Diagramm 27">
          <a:extLst>
            <a:ext uri="{FF2B5EF4-FFF2-40B4-BE49-F238E27FC236}">
              <a16:creationId xmlns:a16="http://schemas.microsoft.com/office/drawing/2014/main" id="{00000000-0008-0000-0D00-00006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79" name="Diagramm 28">
          <a:extLst>
            <a:ext uri="{FF2B5EF4-FFF2-40B4-BE49-F238E27FC236}">
              <a16:creationId xmlns:a16="http://schemas.microsoft.com/office/drawing/2014/main" id="{00000000-0008-0000-0D00-00006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0" name="Diagramm 26">
          <a:extLst>
            <a:ext uri="{FF2B5EF4-FFF2-40B4-BE49-F238E27FC236}">
              <a16:creationId xmlns:a16="http://schemas.microsoft.com/office/drawing/2014/main" id="{00000000-0008-0000-0D00-00006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1" name="Diagramm 27">
          <a:extLst>
            <a:ext uri="{FF2B5EF4-FFF2-40B4-BE49-F238E27FC236}">
              <a16:creationId xmlns:a16="http://schemas.microsoft.com/office/drawing/2014/main" id="{00000000-0008-0000-0D00-00006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2" name="Diagramm 28">
          <a:extLst>
            <a:ext uri="{FF2B5EF4-FFF2-40B4-BE49-F238E27FC236}">
              <a16:creationId xmlns:a16="http://schemas.microsoft.com/office/drawing/2014/main" id="{00000000-0008-0000-0D00-00006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3" name="Diagramm 26">
          <a:extLst>
            <a:ext uri="{FF2B5EF4-FFF2-40B4-BE49-F238E27FC236}">
              <a16:creationId xmlns:a16="http://schemas.microsoft.com/office/drawing/2014/main" id="{00000000-0008-0000-0D00-00006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4" name="Diagramm 27">
          <a:extLst>
            <a:ext uri="{FF2B5EF4-FFF2-40B4-BE49-F238E27FC236}">
              <a16:creationId xmlns:a16="http://schemas.microsoft.com/office/drawing/2014/main" id="{00000000-0008-0000-0D00-00006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5" name="Diagramm 28">
          <a:extLst>
            <a:ext uri="{FF2B5EF4-FFF2-40B4-BE49-F238E27FC236}">
              <a16:creationId xmlns:a16="http://schemas.microsoft.com/office/drawing/2014/main" id="{00000000-0008-0000-0D00-00006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6" name="Diagramm 26">
          <a:extLst>
            <a:ext uri="{FF2B5EF4-FFF2-40B4-BE49-F238E27FC236}">
              <a16:creationId xmlns:a16="http://schemas.microsoft.com/office/drawing/2014/main" id="{00000000-0008-0000-0D00-00006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87" name="Diagramm 27">
          <a:extLst>
            <a:ext uri="{FF2B5EF4-FFF2-40B4-BE49-F238E27FC236}">
              <a16:creationId xmlns:a16="http://schemas.microsoft.com/office/drawing/2014/main" id="{00000000-0008-0000-0D00-00006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88" name="Diagramm 28">
          <a:extLst>
            <a:ext uri="{FF2B5EF4-FFF2-40B4-BE49-F238E27FC236}">
              <a16:creationId xmlns:a16="http://schemas.microsoft.com/office/drawing/2014/main" id="{00000000-0008-0000-0D00-00006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89" name="Diagramm 26">
          <a:extLst>
            <a:ext uri="{FF2B5EF4-FFF2-40B4-BE49-F238E27FC236}">
              <a16:creationId xmlns:a16="http://schemas.microsoft.com/office/drawing/2014/main" id="{00000000-0008-0000-0D00-00006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0" name="Diagramm 27">
          <a:extLst>
            <a:ext uri="{FF2B5EF4-FFF2-40B4-BE49-F238E27FC236}">
              <a16:creationId xmlns:a16="http://schemas.microsoft.com/office/drawing/2014/main" id="{00000000-0008-0000-0D00-00006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1" name="Diagramm 28">
          <a:extLst>
            <a:ext uri="{FF2B5EF4-FFF2-40B4-BE49-F238E27FC236}">
              <a16:creationId xmlns:a16="http://schemas.microsoft.com/office/drawing/2014/main" id="{00000000-0008-0000-0D00-00006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2" name="Diagramm 26">
          <a:extLst>
            <a:ext uri="{FF2B5EF4-FFF2-40B4-BE49-F238E27FC236}">
              <a16:creationId xmlns:a16="http://schemas.microsoft.com/office/drawing/2014/main" id="{00000000-0008-0000-0D00-00007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3" name="Diagramm 27">
          <a:extLst>
            <a:ext uri="{FF2B5EF4-FFF2-40B4-BE49-F238E27FC236}">
              <a16:creationId xmlns:a16="http://schemas.microsoft.com/office/drawing/2014/main" id="{00000000-0008-0000-0D00-00007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4" name="Diagramm 28">
          <a:extLst>
            <a:ext uri="{FF2B5EF4-FFF2-40B4-BE49-F238E27FC236}">
              <a16:creationId xmlns:a16="http://schemas.microsoft.com/office/drawing/2014/main" id="{00000000-0008-0000-0D00-00007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5" name="Diagramm 26">
          <a:extLst>
            <a:ext uri="{FF2B5EF4-FFF2-40B4-BE49-F238E27FC236}">
              <a16:creationId xmlns:a16="http://schemas.microsoft.com/office/drawing/2014/main" id="{00000000-0008-0000-0D00-00007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6" name="Diagramm 27">
          <a:extLst>
            <a:ext uri="{FF2B5EF4-FFF2-40B4-BE49-F238E27FC236}">
              <a16:creationId xmlns:a16="http://schemas.microsoft.com/office/drawing/2014/main" id="{00000000-0008-0000-0D00-00007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797" name="Diagramm 28">
          <a:extLst>
            <a:ext uri="{FF2B5EF4-FFF2-40B4-BE49-F238E27FC236}">
              <a16:creationId xmlns:a16="http://schemas.microsoft.com/office/drawing/2014/main" id="{00000000-0008-0000-0D00-00007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798" name="Diagramm 26">
          <a:extLst>
            <a:ext uri="{FF2B5EF4-FFF2-40B4-BE49-F238E27FC236}">
              <a16:creationId xmlns:a16="http://schemas.microsoft.com/office/drawing/2014/main" id="{00000000-0008-0000-0D00-00007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799" name="Diagramm 27">
          <a:extLst>
            <a:ext uri="{FF2B5EF4-FFF2-40B4-BE49-F238E27FC236}">
              <a16:creationId xmlns:a16="http://schemas.microsoft.com/office/drawing/2014/main" id="{00000000-0008-0000-0D00-00007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0" name="Diagramm 28">
          <a:extLst>
            <a:ext uri="{FF2B5EF4-FFF2-40B4-BE49-F238E27FC236}">
              <a16:creationId xmlns:a16="http://schemas.microsoft.com/office/drawing/2014/main" id="{00000000-0008-0000-0D00-00007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1" name="Diagramm 26">
          <a:extLst>
            <a:ext uri="{FF2B5EF4-FFF2-40B4-BE49-F238E27FC236}">
              <a16:creationId xmlns:a16="http://schemas.microsoft.com/office/drawing/2014/main" id="{00000000-0008-0000-0D00-00007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2" name="Diagramm 27">
          <a:extLst>
            <a:ext uri="{FF2B5EF4-FFF2-40B4-BE49-F238E27FC236}">
              <a16:creationId xmlns:a16="http://schemas.microsoft.com/office/drawing/2014/main" id="{00000000-0008-0000-0D00-00007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3" name="Diagramm 28">
          <a:extLst>
            <a:ext uri="{FF2B5EF4-FFF2-40B4-BE49-F238E27FC236}">
              <a16:creationId xmlns:a16="http://schemas.microsoft.com/office/drawing/2014/main" id="{00000000-0008-0000-0D00-00007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4" name="Diagramm 26">
          <a:extLst>
            <a:ext uri="{FF2B5EF4-FFF2-40B4-BE49-F238E27FC236}">
              <a16:creationId xmlns:a16="http://schemas.microsoft.com/office/drawing/2014/main" id="{00000000-0008-0000-0D00-00007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5" name="Diagramm 27">
          <a:extLst>
            <a:ext uri="{FF2B5EF4-FFF2-40B4-BE49-F238E27FC236}">
              <a16:creationId xmlns:a16="http://schemas.microsoft.com/office/drawing/2014/main" id="{00000000-0008-0000-0D00-00007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6" name="Diagramm 28">
          <a:extLst>
            <a:ext uri="{FF2B5EF4-FFF2-40B4-BE49-F238E27FC236}">
              <a16:creationId xmlns:a16="http://schemas.microsoft.com/office/drawing/2014/main" id="{00000000-0008-0000-0D00-00007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07" name="Diagramm 26">
          <a:extLst>
            <a:ext uri="{FF2B5EF4-FFF2-40B4-BE49-F238E27FC236}">
              <a16:creationId xmlns:a16="http://schemas.microsoft.com/office/drawing/2014/main" id="{00000000-0008-0000-0D00-00007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08" name="Diagramm 27">
          <a:extLst>
            <a:ext uri="{FF2B5EF4-FFF2-40B4-BE49-F238E27FC236}">
              <a16:creationId xmlns:a16="http://schemas.microsoft.com/office/drawing/2014/main" id="{00000000-0008-0000-0D00-00008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09" name="Diagramm 28">
          <a:extLst>
            <a:ext uri="{FF2B5EF4-FFF2-40B4-BE49-F238E27FC236}">
              <a16:creationId xmlns:a16="http://schemas.microsoft.com/office/drawing/2014/main" id="{00000000-0008-0000-0D00-00008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0" name="Diagramm 26">
          <a:extLst>
            <a:ext uri="{FF2B5EF4-FFF2-40B4-BE49-F238E27FC236}">
              <a16:creationId xmlns:a16="http://schemas.microsoft.com/office/drawing/2014/main" id="{00000000-0008-0000-0D00-00008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1" name="Diagramm 27">
          <a:extLst>
            <a:ext uri="{FF2B5EF4-FFF2-40B4-BE49-F238E27FC236}">
              <a16:creationId xmlns:a16="http://schemas.microsoft.com/office/drawing/2014/main" id="{00000000-0008-0000-0D00-00008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2" name="Diagramm 28">
          <a:extLst>
            <a:ext uri="{FF2B5EF4-FFF2-40B4-BE49-F238E27FC236}">
              <a16:creationId xmlns:a16="http://schemas.microsoft.com/office/drawing/2014/main" id="{00000000-0008-0000-0D00-00008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3" name="Diagramm 26">
          <a:extLst>
            <a:ext uri="{FF2B5EF4-FFF2-40B4-BE49-F238E27FC236}">
              <a16:creationId xmlns:a16="http://schemas.microsoft.com/office/drawing/2014/main" id="{00000000-0008-0000-0D00-00008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4" name="Diagramm 27">
          <a:extLst>
            <a:ext uri="{FF2B5EF4-FFF2-40B4-BE49-F238E27FC236}">
              <a16:creationId xmlns:a16="http://schemas.microsoft.com/office/drawing/2014/main" id="{00000000-0008-0000-0D00-00008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5" name="Diagramm 28">
          <a:extLst>
            <a:ext uri="{FF2B5EF4-FFF2-40B4-BE49-F238E27FC236}">
              <a16:creationId xmlns:a16="http://schemas.microsoft.com/office/drawing/2014/main" id="{00000000-0008-0000-0D00-00008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6" name="Diagramm 26">
          <a:extLst>
            <a:ext uri="{FF2B5EF4-FFF2-40B4-BE49-F238E27FC236}">
              <a16:creationId xmlns:a16="http://schemas.microsoft.com/office/drawing/2014/main" id="{00000000-0008-0000-0D00-00008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17" name="Diagramm 27">
          <a:extLst>
            <a:ext uri="{FF2B5EF4-FFF2-40B4-BE49-F238E27FC236}">
              <a16:creationId xmlns:a16="http://schemas.microsoft.com/office/drawing/2014/main" id="{00000000-0008-0000-0D00-00008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18" name="Diagramm 28">
          <a:extLst>
            <a:ext uri="{FF2B5EF4-FFF2-40B4-BE49-F238E27FC236}">
              <a16:creationId xmlns:a16="http://schemas.microsoft.com/office/drawing/2014/main" id="{00000000-0008-0000-0D00-00008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19" name="Diagramm 26">
          <a:extLst>
            <a:ext uri="{FF2B5EF4-FFF2-40B4-BE49-F238E27FC236}">
              <a16:creationId xmlns:a16="http://schemas.microsoft.com/office/drawing/2014/main" id="{00000000-0008-0000-0D00-00008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0" name="Diagramm 27">
          <a:extLst>
            <a:ext uri="{FF2B5EF4-FFF2-40B4-BE49-F238E27FC236}">
              <a16:creationId xmlns:a16="http://schemas.microsoft.com/office/drawing/2014/main" id="{00000000-0008-0000-0D00-00008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1" name="Diagramm 28">
          <a:extLst>
            <a:ext uri="{FF2B5EF4-FFF2-40B4-BE49-F238E27FC236}">
              <a16:creationId xmlns:a16="http://schemas.microsoft.com/office/drawing/2014/main" id="{00000000-0008-0000-0D00-00008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2" name="Diagramm 26">
          <a:extLst>
            <a:ext uri="{FF2B5EF4-FFF2-40B4-BE49-F238E27FC236}">
              <a16:creationId xmlns:a16="http://schemas.microsoft.com/office/drawing/2014/main" id="{00000000-0008-0000-0D00-00008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3" name="Diagramm 27">
          <a:extLst>
            <a:ext uri="{FF2B5EF4-FFF2-40B4-BE49-F238E27FC236}">
              <a16:creationId xmlns:a16="http://schemas.microsoft.com/office/drawing/2014/main" id="{00000000-0008-0000-0D00-00008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4" name="Diagramm 28">
          <a:extLst>
            <a:ext uri="{FF2B5EF4-FFF2-40B4-BE49-F238E27FC236}">
              <a16:creationId xmlns:a16="http://schemas.microsoft.com/office/drawing/2014/main" id="{00000000-0008-0000-0D00-00009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5" name="Diagramm 26">
          <a:extLst>
            <a:ext uri="{FF2B5EF4-FFF2-40B4-BE49-F238E27FC236}">
              <a16:creationId xmlns:a16="http://schemas.microsoft.com/office/drawing/2014/main" id="{00000000-0008-0000-0D00-00009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6" name="Diagramm 27">
          <a:extLst>
            <a:ext uri="{FF2B5EF4-FFF2-40B4-BE49-F238E27FC236}">
              <a16:creationId xmlns:a16="http://schemas.microsoft.com/office/drawing/2014/main" id="{00000000-0008-0000-0D00-00009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27" name="Diagramm 28">
          <a:extLst>
            <a:ext uri="{FF2B5EF4-FFF2-40B4-BE49-F238E27FC236}">
              <a16:creationId xmlns:a16="http://schemas.microsoft.com/office/drawing/2014/main" id="{00000000-0008-0000-0D00-00009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28" name="Diagramm 26">
          <a:extLst>
            <a:ext uri="{FF2B5EF4-FFF2-40B4-BE49-F238E27FC236}">
              <a16:creationId xmlns:a16="http://schemas.microsoft.com/office/drawing/2014/main" id="{00000000-0008-0000-0D00-00009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29" name="Diagramm 27">
          <a:extLst>
            <a:ext uri="{FF2B5EF4-FFF2-40B4-BE49-F238E27FC236}">
              <a16:creationId xmlns:a16="http://schemas.microsoft.com/office/drawing/2014/main" id="{00000000-0008-0000-0D00-00009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0" name="Diagramm 28">
          <a:extLst>
            <a:ext uri="{FF2B5EF4-FFF2-40B4-BE49-F238E27FC236}">
              <a16:creationId xmlns:a16="http://schemas.microsoft.com/office/drawing/2014/main" id="{00000000-0008-0000-0D00-00009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1" name="Diagramm 26">
          <a:extLst>
            <a:ext uri="{FF2B5EF4-FFF2-40B4-BE49-F238E27FC236}">
              <a16:creationId xmlns:a16="http://schemas.microsoft.com/office/drawing/2014/main" id="{00000000-0008-0000-0D00-00009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2" name="Diagramm 27">
          <a:extLst>
            <a:ext uri="{FF2B5EF4-FFF2-40B4-BE49-F238E27FC236}">
              <a16:creationId xmlns:a16="http://schemas.microsoft.com/office/drawing/2014/main" id="{00000000-0008-0000-0D00-00009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3" name="Diagramm 28">
          <a:extLst>
            <a:ext uri="{FF2B5EF4-FFF2-40B4-BE49-F238E27FC236}">
              <a16:creationId xmlns:a16="http://schemas.microsoft.com/office/drawing/2014/main" id="{00000000-0008-0000-0D00-00009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4" name="Diagramm 26">
          <a:extLst>
            <a:ext uri="{FF2B5EF4-FFF2-40B4-BE49-F238E27FC236}">
              <a16:creationId xmlns:a16="http://schemas.microsoft.com/office/drawing/2014/main" id="{00000000-0008-0000-0D00-00009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5" name="Diagramm 27">
          <a:extLst>
            <a:ext uri="{FF2B5EF4-FFF2-40B4-BE49-F238E27FC236}">
              <a16:creationId xmlns:a16="http://schemas.microsoft.com/office/drawing/2014/main" id="{00000000-0008-0000-0D00-00009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6" name="Diagramm 28">
          <a:extLst>
            <a:ext uri="{FF2B5EF4-FFF2-40B4-BE49-F238E27FC236}">
              <a16:creationId xmlns:a16="http://schemas.microsoft.com/office/drawing/2014/main" id="{00000000-0008-0000-0D00-00009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37" name="Diagramm 26">
          <a:extLst>
            <a:ext uri="{FF2B5EF4-FFF2-40B4-BE49-F238E27FC236}">
              <a16:creationId xmlns:a16="http://schemas.microsoft.com/office/drawing/2014/main" id="{00000000-0008-0000-0D00-00009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38" name="Diagramm 27">
          <a:extLst>
            <a:ext uri="{FF2B5EF4-FFF2-40B4-BE49-F238E27FC236}">
              <a16:creationId xmlns:a16="http://schemas.microsoft.com/office/drawing/2014/main" id="{00000000-0008-0000-0D00-00009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39" name="Diagramm 28">
          <a:extLst>
            <a:ext uri="{FF2B5EF4-FFF2-40B4-BE49-F238E27FC236}">
              <a16:creationId xmlns:a16="http://schemas.microsoft.com/office/drawing/2014/main" id="{00000000-0008-0000-0D00-00009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0" name="Diagramm 26">
          <a:extLst>
            <a:ext uri="{FF2B5EF4-FFF2-40B4-BE49-F238E27FC236}">
              <a16:creationId xmlns:a16="http://schemas.microsoft.com/office/drawing/2014/main" id="{00000000-0008-0000-0D00-0000A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1" name="Diagramm 27">
          <a:extLst>
            <a:ext uri="{FF2B5EF4-FFF2-40B4-BE49-F238E27FC236}">
              <a16:creationId xmlns:a16="http://schemas.microsoft.com/office/drawing/2014/main" id="{00000000-0008-0000-0D00-0000A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2" name="Diagramm 28">
          <a:extLst>
            <a:ext uri="{FF2B5EF4-FFF2-40B4-BE49-F238E27FC236}">
              <a16:creationId xmlns:a16="http://schemas.microsoft.com/office/drawing/2014/main" id="{00000000-0008-0000-0D00-0000A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3" name="Diagramm 26">
          <a:extLst>
            <a:ext uri="{FF2B5EF4-FFF2-40B4-BE49-F238E27FC236}">
              <a16:creationId xmlns:a16="http://schemas.microsoft.com/office/drawing/2014/main" id="{00000000-0008-0000-0D00-0000A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4" name="Diagramm 27">
          <a:extLst>
            <a:ext uri="{FF2B5EF4-FFF2-40B4-BE49-F238E27FC236}">
              <a16:creationId xmlns:a16="http://schemas.microsoft.com/office/drawing/2014/main" id="{00000000-0008-0000-0D00-0000A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5" name="Diagramm 28">
          <a:extLst>
            <a:ext uri="{FF2B5EF4-FFF2-40B4-BE49-F238E27FC236}">
              <a16:creationId xmlns:a16="http://schemas.microsoft.com/office/drawing/2014/main" id="{00000000-0008-0000-0D00-0000A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6" name="Diagramm 26">
          <a:extLst>
            <a:ext uri="{FF2B5EF4-FFF2-40B4-BE49-F238E27FC236}">
              <a16:creationId xmlns:a16="http://schemas.microsoft.com/office/drawing/2014/main" id="{00000000-0008-0000-0D00-0000A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47" name="Diagramm 27">
          <a:extLst>
            <a:ext uri="{FF2B5EF4-FFF2-40B4-BE49-F238E27FC236}">
              <a16:creationId xmlns:a16="http://schemas.microsoft.com/office/drawing/2014/main" id="{00000000-0008-0000-0D00-0000A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48" name="Diagramm 28">
          <a:extLst>
            <a:ext uri="{FF2B5EF4-FFF2-40B4-BE49-F238E27FC236}">
              <a16:creationId xmlns:a16="http://schemas.microsoft.com/office/drawing/2014/main" id="{00000000-0008-0000-0D00-0000A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49" name="Diagramm 26">
          <a:extLst>
            <a:ext uri="{FF2B5EF4-FFF2-40B4-BE49-F238E27FC236}">
              <a16:creationId xmlns:a16="http://schemas.microsoft.com/office/drawing/2014/main" id="{00000000-0008-0000-0D00-0000A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0" name="Diagramm 27">
          <a:extLst>
            <a:ext uri="{FF2B5EF4-FFF2-40B4-BE49-F238E27FC236}">
              <a16:creationId xmlns:a16="http://schemas.microsoft.com/office/drawing/2014/main" id="{00000000-0008-0000-0D00-0000A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1" name="Diagramm 28">
          <a:extLst>
            <a:ext uri="{FF2B5EF4-FFF2-40B4-BE49-F238E27FC236}">
              <a16:creationId xmlns:a16="http://schemas.microsoft.com/office/drawing/2014/main" id="{00000000-0008-0000-0D00-0000A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2" name="Diagramm 26">
          <a:extLst>
            <a:ext uri="{FF2B5EF4-FFF2-40B4-BE49-F238E27FC236}">
              <a16:creationId xmlns:a16="http://schemas.microsoft.com/office/drawing/2014/main" id="{00000000-0008-0000-0D00-0000A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3" name="Diagramm 27">
          <a:extLst>
            <a:ext uri="{FF2B5EF4-FFF2-40B4-BE49-F238E27FC236}">
              <a16:creationId xmlns:a16="http://schemas.microsoft.com/office/drawing/2014/main" id="{00000000-0008-0000-0D00-0000A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4" name="Diagramm 28">
          <a:extLst>
            <a:ext uri="{FF2B5EF4-FFF2-40B4-BE49-F238E27FC236}">
              <a16:creationId xmlns:a16="http://schemas.microsoft.com/office/drawing/2014/main" id="{00000000-0008-0000-0D00-0000A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5" name="Diagramm 26">
          <a:extLst>
            <a:ext uri="{FF2B5EF4-FFF2-40B4-BE49-F238E27FC236}">
              <a16:creationId xmlns:a16="http://schemas.microsoft.com/office/drawing/2014/main" id="{00000000-0008-0000-0D00-0000A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6" name="Diagramm 27">
          <a:extLst>
            <a:ext uri="{FF2B5EF4-FFF2-40B4-BE49-F238E27FC236}">
              <a16:creationId xmlns:a16="http://schemas.microsoft.com/office/drawing/2014/main" id="{00000000-0008-0000-0D00-0000B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57" name="Diagramm 28">
          <a:extLst>
            <a:ext uri="{FF2B5EF4-FFF2-40B4-BE49-F238E27FC236}">
              <a16:creationId xmlns:a16="http://schemas.microsoft.com/office/drawing/2014/main" id="{00000000-0008-0000-0D00-0000B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58" name="Diagramm 26">
          <a:extLst>
            <a:ext uri="{FF2B5EF4-FFF2-40B4-BE49-F238E27FC236}">
              <a16:creationId xmlns:a16="http://schemas.microsoft.com/office/drawing/2014/main" id="{00000000-0008-0000-0D00-0000B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59" name="Diagramm 27">
          <a:extLst>
            <a:ext uri="{FF2B5EF4-FFF2-40B4-BE49-F238E27FC236}">
              <a16:creationId xmlns:a16="http://schemas.microsoft.com/office/drawing/2014/main" id="{00000000-0008-0000-0D00-0000B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0" name="Diagramm 28">
          <a:extLst>
            <a:ext uri="{FF2B5EF4-FFF2-40B4-BE49-F238E27FC236}">
              <a16:creationId xmlns:a16="http://schemas.microsoft.com/office/drawing/2014/main" id="{00000000-0008-0000-0D00-0000B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1" name="Diagramm 26">
          <a:extLst>
            <a:ext uri="{FF2B5EF4-FFF2-40B4-BE49-F238E27FC236}">
              <a16:creationId xmlns:a16="http://schemas.microsoft.com/office/drawing/2014/main" id="{00000000-0008-0000-0D00-0000B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2" name="Diagramm 27">
          <a:extLst>
            <a:ext uri="{FF2B5EF4-FFF2-40B4-BE49-F238E27FC236}">
              <a16:creationId xmlns:a16="http://schemas.microsoft.com/office/drawing/2014/main" id="{00000000-0008-0000-0D00-0000B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3" name="Diagramm 28">
          <a:extLst>
            <a:ext uri="{FF2B5EF4-FFF2-40B4-BE49-F238E27FC236}">
              <a16:creationId xmlns:a16="http://schemas.microsoft.com/office/drawing/2014/main" id="{00000000-0008-0000-0D00-0000B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4" name="Diagramm 26">
          <a:extLst>
            <a:ext uri="{FF2B5EF4-FFF2-40B4-BE49-F238E27FC236}">
              <a16:creationId xmlns:a16="http://schemas.microsoft.com/office/drawing/2014/main" id="{00000000-0008-0000-0D00-0000B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5" name="Diagramm 27">
          <a:extLst>
            <a:ext uri="{FF2B5EF4-FFF2-40B4-BE49-F238E27FC236}">
              <a16:creationId xmlns:a16="http://schemas.microsoft.com/office/drawing/2014/main" id="{00000000-0008-0000-0D00-0000B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6" name="Diagramm 28">
          <a:extLst>
            <a:ext uri="{FF2B5EF4-FFF2-40B4-BE49-F238E27FC236}">
              <a16:creationId xmlns:a16="http://schemas.microsoft.com/office/drawing/2014/main" id="{00000000-0008-0000-0D00-0000B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67" name="Diagramm 26">
          <a:extLst>
            <a:ext uri="{FF2B5EF4-FFF2-40B4-BE49-F238E27FC236}">
              <a16:creationId xmlns:a16="http://schemas.microsoft.com/office/drawing/2014/main" id="{00000000-0008-0000-0D00-0000B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68" name="Diagramm 27">
          <a:extLst>
            <a:ext uri="{FF2B5EF4-FFF2-40B4-BE49-F238E27FC236}">
              <a16:creationId xmlns:a16="http://schemas.microsoft.com/office/drawing/2014/main" id="{00000000-0008-0000-0D00-0000B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69" name="Diagramm 28">
          <a:extLst>
            <a:ext uri="{FF2B5EF4-FFF2-40B4-BE49-F238E27FC236}">
              <a16:creationId xmlns:a16="http://schemas.microsoft.com/office/drawing/2014/main" id="{00000000-0008-0000-0D00-0000B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0" name="Diagramm 26">
          <a:extLst>
            <a:ext uri="{FF2B5EF4-FFF2-40B4-BE49-F238E27FC236}">
              <a16:creationId xmlns:a16="http://schemas.microsoft.com/office/drawing/2014/main" id="{00000000-0008-0000-0D00-0000B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1" name="Diagramm 27">
          <a:extLst>
            <a:ext uri="{FF2B5EF4-FFF2-40B4-BE49-F238E27FC236}">
              <a16:creationId xmlns:a16="http://schemas.microsoft.com/office/drawing/2014/main" id="{00000000-0008-0000-0D00-0000B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2" name="Diagramm 28">
          <a:extLst>
            <a:ext uri="{FF2B5EF4-FFF2-40B4-BE49-F238E27FC236}">
              <a16:creationId xmlns:a16="http://schemas.microsoft.com/office/drawing/2014/main" id="{00000000-0008-0000-0D00-0000C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3" name="Diagramm 26">
          <a:extLst>
            <a:ext uri="{FF2B5EF4-FFF2-40B4-BE49-F238E27FC236}">
              <a16:creationId xmlns:a16="http://schemas.microsoft.com/office/drawing/2014/main" id="{00000000-0008-0000-0D00-0000C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4" name="Diagramm 27">
          <a:extLst>
            <a:ext uri="{FF2B5EF4-FFF2-40B4-BE49-F238E27FC236}">
              <a16:creationId xmlns:a16="http://schemas.microsoft.com/office/drawing/2014/main" id="{00000000-0008-0000-0D00-0000C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5" name="Diagramm 28">
          <a:extLst>
            <a:ext uri="{FF2B5EF4-FFF2-40B4-BE49-F238E27FC236}">
              <a16:creationId xmlns:a16="http://schemas.microsoft.com/office/drawing/2014/main" id="{00000000-0008-0000-0D00-0000C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6" name="Diagramm 26">
          <a:extLst>
            <a:ext uri="{FF2B5EF4-FFF2-40B4-BE49-F238E27FC236}">
              <a16:creationId xmlns:a16="http://schemas.microsoft.com/office/drawing/2014/main" id="{00000000-0008-0000-0D00-0000C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77" name="Diagramm 27">
          <a:extLst>
            <a:ext uri="{FF2B5EF4-FFF2-40B4-BE49-F238E27FC236}">
              <a16:creationId xmlns:a16="http://schemas.microsoft.com/office/drawing/2014/main" id="{00000000-0008-0000-0D00-0000C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78" name="Diagramm 28">
          <a:extLst>
            <a:ext uri="{FF2B5EF4-FFF2-40B4-BE49-F238E27FC236}">
              <a16:creationId xmlns:a16="http://schemas.microsoft.com/office/drawing/2014/main" id="{00000000-0008-0000-0D00-0000C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79" name="Diagramm 26">
          <a:extLst>
            <a:ext uri="{FF2B5EF4-FFF2-40B4-BE49-F238E27FC236}">
              <a16:creationId xmlns:a16="http://schemas.microsoft.com/office/drawing/2014/main" id="{00000000-0008-0000-0D00-0000C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0" name="Diagramm 27">
          <a:extLst>
            <a:ext uri="{FF2B5EF4-FFF2-40B4-BE49-F238E27FC236}">
              <a16:creationId xmlns:a16="http://schemas.microsoft.com/office/drawing/2014/main" id="{00000000-0008-0000-0D00-0000C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1" name="Diagramm 28">
          <a:extLst>
            <a:ext uri="{FF2B5EF4-FFF2-40B4-BE49-F238E27FC236}">
              <a16:creationId xmlns:a16="http://schemas.microsoft.com/office/drawing/2014/main" id="{00000000-0008-0000-0D00-0000C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2" name="Diagramm 26">
          <a:extLst>
            <a:ext uri="{FF2B5EF4-FFF2-40B4-BE49-F238E27FC236}">
              <a16:creationId xmlns:a16="http://schemas.microsoft.com/office/drawing/2014/main" id="{00000000-0008-0000-0D00-0000C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3" name="Diagramm 27">
          <a:extLst>
            <a:ext uri="{FF2B5EF4-FFF2-40B4-BE49-F238E27FC236}">
              <a16:creationId xmlns:a16="http://schemas.microsoft.com/office/drawing/2014/main" id="{00000000-0008-0000-0D00-0000C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4" name="Diagramm 28">
          <a:extLst>
            <a:ext uri="{FF2B5EF4-FFF2-40B4-BE49-F238E27FC236}">
              <a16:creationId xmlns:a16="http://schemas.microsoft.com/office/drawing/2014/main" id="{00000000-0008-0000-0D00-0000C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5" name="Diagramm 26">
          <a:extLst>
            <a:ext uri="{FF2B5EF4-FFF2-40B4-BE49-F238E27FC236}">
              <a16:creationId xmlns:a16="http://schemas.microsoft.com/office/drawing/2014/main" id="{00000000-0008-0000-0D00-0000C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6" name="Diagramm 27">
          <a:extLst>
            <a:ext uri="{FF2B5EF4-FFF2-40B4-BE49-F238E27FC236}">
              <a16:creationId xmlns:a16="http://schemas.microsoft.com/office/drawing/2014/main" id="{00000000-0008-0000-0D00-0000C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87" name="Diagramm 28">
          <a:extLst>
            <a:ext uri="{FF2B5EF4-FFF2-40B4-BE49-F238E27FC236}">
              <a16:creationId xmlns:a16="http://schemas.microsoft.com/office/drawing/2014/main" id="{00000000-0008-0000-0D00-0000C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88" name="Diagramm 26">
          <a:extLst>
            <a:ext uri="{FF2B5EF4-FFF2-40B4-BE49-F238E27FC236}">
              <a16:creationId xmlns:a16="http://schemas.microsoft.com/office/drawing/2014/main" id="{00000000-0008-0000-0D00-0000D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89" name="Diagramm 27">
          <a:extLst>
            <a:ext uri="{FF2B5EF4-FFF2-40B4-BE49-F238E27FC236}">
              <a16:creationId xmlns:a16="http://schemas.microsoft.com/office/drawing/2014/main" id="{00000000-0008-0000-0D00-0000D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0" name="Diagramm 28">
          <a:extLst>
            <a:ext uri="{FF2B5EF4-FFF2-40B4-BE49-F238E27FC236}">
              <a16:creationId xmlns:a16="http://schemas.microsoft.com/office/drawing/2014/main" id="{00000000-0008-0000-0D00-0000D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1" name="Diagramm 26">
          <a:extLst>
            <a:ext uri="{FF2B5EF4-FFF2-40B4-BE49-F238E27FC236}">
              <a16:creationId xmlns:a16="http://schemas.microsoft.com/office/drawing/2014/main" id="{00000000-0008-0000-0D00-0000D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2" name="Diagramm 27">
          <a:extLst>
            <a:ext uri="{FF2B5EF4-FFF2-40B4-BE49-F238E27FC236}">
              <a16:creationId xmlns:a16="http://schemas.microsoft.com/office/drawing/2014/main" id="{00000000-0008-0000-0D00-0000D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3" name="Diagramm 28">
          <a:extLst>
            <a:ext uri="{FF2B5EF4-FFF2-40B4-BE49-F238E27FC236}">
              <a16:creationId xmlns:a16="http://schemas.microsoft.com/office/drawing/2014/main" id="{00000000-0008-0000-0D00-0000D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4" name="Diagramm 26">
          <a:extLst>
            <a:ext uri="{FF2B5EF4-FFF2-40B4-BE49-F238E27FC236}">
              <a16:creationId xmlns:a16="http://schemas.microsoft.com/office/drawing/2014/main" id="{00000000-0008-0000-0D00-0000D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5" name="Diagramm 27">
          <a:extLst>
            <a:ext uri="{FF2B5EF4-FFF2-40B4-BE49-F238E27FC236}">
              <a16:creationId xmlns:a16="http://schemas.microsoft.com/office/drawing/2014/main" id="{00000000-0008-0000-0D00-0000D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6" name="Diagramm 28">
          <a:extLst>
            <a:ext uri="{FF2B5EF4-FFF2-40B4-BE49-F238E27FC236}">
              <a16:creationId xmlns:a16="http://schemas.microsoft.com/office/drawing/2014/main" id="{00000000-0008-0000-0D00-0000D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897" name="Diagramm 26">
          <a:extLst>
            <a:ext uri="{FF2B5EF4-FFF2-40B4-BE49-F238E27FC236}">
              <a16:creationId xmlns:a16="http://schemas.microsoft.com/office/drawing/2014/main" id="{00000000-0008-0000-0D00-0000D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898" name="Diagramm 27">
          <a:extLst>
            <a:ext uri="{FF2B5EF4-FFF2-40B4-BE49-F238E27FC236}">
              <a16:creationId xmlns:a16="http://schemas.microsoft.com/office/drawing/2014/main" id="{00000000-0008-0000-0D00-0000D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899" name="Diagramm 28">
          <a:extLst>
            <a:ext uri="{FF2B5EF4-FFF2-40B4-BE49-F238E27FC236}">
              <a16:creationId xmlns:a16="http://schemas.microsoft.com/office/drawing/2014/main" id="{00000000-0008-0000-0D00-0000D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0" name="Diagramm 26">
          <a:extLst>
            <a:ext uri="{FF2B5EF4-FFF2-40B4-BE49-F238E27FC236}">
              <a16:creationId xmlns:a16="http://schemas.microsoft.com/office/drawing/2014/main" id="{00000000-0008-0000-0D00-0000D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1" name="Diagramm 27">
          <a:extLst>
            <a:ext uri="{FF2B5EF4-FFF2-40B4-BE49-F238E27FC236}">
              <a16:creationId xmlns:a16="http://schemas.microsoft.com/office/drawing/2014/main" id="{00000000-0008-0000-0D00-0000D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2" name="Diagramm 28">
          <a:extLst>
            <a:ext uri="{FF2B5EF4-FFF2-40B4-BE49-F238E27FC236}">
              <a16:creationId xmlns:a16="http://schemas.microsoft.com/office/drawing/2014/main" id="{00000000-0008-0000-0D00-0000D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3" name="Diagramm 26">
          <a:extLst>
            <a:ext uri="{FF2B5EF4-FFF2-40B4-BE49-F238E27FC236}">
              <a16:creationId xmlns:a16="http://schemas.microsoft.com/office/drawing/2014/main" id="{00000000-0008-0000-0D00-0000D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4" name="Diagramm 27">
          <a:extLst>
            <a:ext uri="{FF2B5EF4-FFF2-40B4-BE49-F238E27FC236}">
              <a16:creationId xmlns:a16="http://schemas.microsoft.com/office/drawing/2014/main" id="{00000000-0008-0000-0D00-0000E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5" name="Diagramm 28">
          <a:extLst>
            <a:ext uri="{FF2B5EF4-FFF2-40B4-BE49-F238E27FC236}">
              <a16:creationId xmlns:a16="http://schemas.microsoft.com/office/drawing/2014/main" id="{00000000-0008-0000-0D00-0000E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6" name="Diagramm 26">
          <a:extLst>
            <a:ext uri="{FF2B5EF4-FFF2-40B4-BE49-F238E27FC236}">
              <a16:creationId xmlns:a16="http://schemas.microsoft.com/office/drawing/2014/main" id="{00000000-0008-0000-0D00-0000E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07" name="Diagramm 27">
          <a:extLst>
            <a:ext uri="{FF2B5EF4-FFF2-40B4-BE49-F238E27FC236}">
              <a16:creationId xmlns:a16="http://schemas.microsoft.com/office/drawing/2014/main" id="{00000000-0008-0000-0D00-0000E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08" name="Diagramm 28">
          <a:extLst>
            <a:ext uri="{FF2B5EF4-FFF2-40B4-BE49-F238E27FC236}">
              <a16:creationId xmlns:a16="http://schemas.microsoft.com/office/drawing/2014/main" id="{00000000-0008-0000-0D00-0000E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09" name="Diagramm 26">
          <a:extLst>
            <a:ext uri="{FF2B5EF4-FFF2-40B4-BE49-F238E27FC236}">
              <a16:creationId xmlns:a16="http://schemas.microsoft.com/office/drawing/2014/main" id="{00000000-0008-0000-0D00-0000E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0" name="Diagramm 27">
          <a:extLst>
            <a:ext uri="{FF2B5EF4-FFF2-40B4-BE49-F238E27FC236}">
              <a16:creationId xmlns:a16="http://schemas.microsoft.com/office/drawing/2014/main" id="{00000000-0008-0000-0D00-0000E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1" name="Diagramm 28">
          <a:extLst>
            <a:ext uri="{FF2B5EF4-FFF2-40B4-BE49-F238E27FC236}">
              <a16:creationId xmlns:a16="http://schemas.microsoft.com/office/drawing/2014/main" id="{00000000-0008-0000-0D00-0000E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2" name="Diagramm 26">
          <a:extLst>
            <a:ext uri="{FF2B5EF4-FFF2-40B4-BE49-F238E27FC236}">
              <a16:creationId xmlns:a16="http://schemas.microsoft.com/office/drawing/2014/main" id="{00000000-0008-0000-0D00-0000E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3" name="Diagramm 27">
          <a:extLst>
            <a:ext uri="{FF2B5EF4-FFF2-40B4-BE49-F238E27FC236}">
              <a16:creationId xmlns:a16="http://schemas.microsoft.com/office/drawing/2014/main" id="{00000000-0008-0000-0D00-0000E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4" name="Diagramm 28">
          <a:extLst>
            <a:ext uri="{FF2B5EF4-FFF2-40B4-BE49-F238E27FC236}">
              <a16:creationId xmlns:a16="http://schemas.microsoft.com/office/drawing/2014/main" id="{00000000-0008-0000-0D00-0000E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5" name="Diagramm 26">
          <a:extLst>
            <a:ext uri="{FF2B5EF4-FFF2-40B4-BE49-F238E27FC236}">
              <a16:creationId xmlns:a16="http://schemas.microsoft.com/office/drawing/2014/main" id="{00000000-0008-0000-0D00-0000E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6" name="Diagramm 27">
          <a:extLst>
            <a:ext uri="{FF2B5EF4-FFF2-40B4-BE49-F238E27FC236}">
              <a16:creationId xmlns:a16="http://schemas.microsoft.com/office/drawing/2014/main" id="{00000000-0008-0000-0D00-0000E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17" name="Diagramm 28">
          <a:extLst>
            <a:ext uri="{FF2B5EF4-FFF2-40B4-BE49-F238E27FC236}">
              <a16:creationId xmlns:a16="http://schemas.microsoft.com/office/drawing/2014/main" id="{00000000-0008-0000-0D00-0000E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18" name="Diagramm 26">
          <a:extLst>
            <a:ext uri="{FF2B5EF4-FFF2-40B4-BE49-F238E27FC236}">
              <a16:creationId xmlns:a16="http://schemas.microsoft.com/office/drawing/2014/main" id="{00000000-0008-0000-0D00-0000E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19" name="Diagramm 27">
          <a:extLst>
            <a:ext uri="{FF2B5EF4-FFF2-40B4-BE49-F238E27FC236}">
              <a16:creationId xmlns:a16="http://schemas.microsoft.com/office/drawing/2014/main" id="{00000000-0008-0000-0D00-0000E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0" name="Diagramm 28">
          <a:extLst>
            <a:ext uri="{FF2B5EF4-FFF2-40B4-BE49-F238E27FC236}">
              <a16:creationId xmlns:a16="http://schemas.microsoft.com/office/drawing/2014/main" id="{00000000-0008-0000-0D00-0000F0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1" name="Diagramm 26">
          <a:extLst>
            <a:ext uri="{FF2B5EF4-FFF2-40B4-BE49-F238E27FC236}">
              <a16:creationId xmlns:a16="http://schemas.microsoft.com/office/drawing/2014/main" id="{00000000-0008-0000-0D00-0000F1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2" name="Diagramm 27">
          <a:extLst>
            <a:ext uri="{FF2B5EF4-FFF2-40B4-BE49-F238E27FC236}">
              <a16:creationId xmlns:a16="http://schemas.microsoft.com/office/drawing/2014/main" id="{00000000-0008-0000-0D00-0000F2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3" name="Diagramm 28">
          <a:extLst>
            <a:ext uri="{FF2B5EF4-FFF2-40B4-BE49-F238E27FC236}">
              <a16:creationId xmlns:a16="http://schemas.microsoft.com/office/drawing/2014/main" id="{00000000-0008-0000-0D00-0000F3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4" name="Diagramm 26">
          <a:extLst>
            <a:ext uri="{FF2B5EF4-FFF2-40B4-BE49-F238E27FC236}">
              <a16:creationId xmlns:a16="http://schemas.microsoft.com/office/drawing/2014/main" id="{00000000-0008-0000-0D00-0000F4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5" name="Diagramm 27">
          <a:extLst>
            <a:ext uri="{FF2B5EF4-FFF2-40B4-BE49-F238E27FC236}">
              <a16:creationId xmlns:a16="http://schemas.microsoft.com/office/drawing/2014/main" id="{00000000-0008-0000-0D00-0000F5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6" name="Diagramm 28">
          <a:extLst>
            <a:ext uri="{FF2B5EF4-FFF2-40B4-BE49-F238E27FC236}">
              <a16:creationId xmlns:a16="http://schemas.microsoft.com/office/drawing/2014/main" id="{00000000-0008-0000-0D00-0000F6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27" name="Diagramm 26">
          <a:extLst>
            <a:ext uri="{FF2B5EF4-FFF2-40B4-BE49-F238E27FC236}">
              <a16:creationId xmlns:a16="http://schemas.microsoft.com/office/drawing/2014/main" id="{00000000-0008-0000-0D00-0000F7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28" name="Diagramm 27">
          <a:extLst>
            <a:ext uri="{FF2B5EF4-FFF2-40B4-BE49-F238E27FC236}">
              <a16:creationId xmlns:a16="http://schemas.microsoft.com/office/drawing/2014/main" id="{00000000-0008-0000-0D00-0000F8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29" name="Diagramm 28">
          <a:extLst>
            <a:ext uri="{FF2B5EF4-FFF2-40B4-BE49-F238E27FC236}">
              <a16:creationId xmlns:a16="http://schemas.microsoft.com/office/drawing/2014/main" id="{00000000-0008-0000-0D00-0000F9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0" name="Diagramm 26">
          <a:extLst>
            <a:ext uri="{FF2B5EF4-FFF2-40B4-BE49-F238E27FC236}">
              <a16:creationId xmlns:a16="http://schemas.microsoft.com/office/drawing/2014/main" id="{00000000-0008-0000-0D00-0000FA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1" name="Diagramm 27">
          <a:extLst>
            <a:ext uri="{FF2B5EF4-FFF2-40B4-BE49-F238E27FC236}">
              <a16:creationId xmlns:a16="http://schemas.microsoft.com/office/drawing/2014/main" id="{00000000-0008-0000-0D00-0000FB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2" name="Diagramm 28">
          <a:extLst>
            <a:ext uri="{FF2B5EF4-FFF2-40B4-BE49-F238E27FC236}">
              <a16:creationId xmlns:a16="http://schemas.microsoft.com/office/drawing/2014/main" id="{00000000-0008-0000-0D00-0000FC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3" name="Diagramm 26">
          <a:extLst>
            <a:ext uri="{FF2B5EF4-FFF2-40B4-BE49-F238E27FC236}">
              <a16:creationId xmlns:a16="http://schemas.microsoft.com/office/drawing/2014/main" id="{00000000-0008-0000-0D00-0000FD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4" name="Diagramm 27">
          <a:extLst>
            <a:ext uri="{FF2B5EF4-FFF2-40B4-BE49-F238E27FC236}">
              <a16:creationId xmlns:a16="http://schemas.microsoft.com/office/drawing/2014/main" id="{00000000-0008-0000-0D00-0000FE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5" name="Diagramm 28">
          <a:extLst>
            <a:ext uri="{FF2B5EF4-FFF2-40B4-BE49-F238E27FC236}">
              <a16:creationId xmlns:a16="http://schemas.microsoft.com/office/drawing/2014/main" id="{00000000-0008-0000-0D00-0000FF06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6" name="Diagramm 26">
          <a:extLst>
            <a:ext uri="{FF2B5EF4-FFF2-40B4-BE49-F238E27FC236}">
              <a16:creationId xmlns:a16="http://schemas.microsoft.com/office/drawing/2014/main" id="{00000000-0008-0000-0D00-00000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37" name="Diagramm 27">
          <a:extLst>
            <a:ext uri="{FF2B5EF4-FFF2-40B4-BE49-F238E27FC236}">
              <a16:creationId xmlns:a16="http://schemas.microsoft.com/office/drawing/2014/main" id="{00000000-0008-0000-0D00-00000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38" name="Diagramm 28">
          <a:extLst>
            <a:ext uri="{FF2B5EF4-FFF2-40B4-BE49-F238E27FC236}">
              <a16:creationId xmlns:a16="http://schemas.microsoft.com/office/drawing/2014/main" id="{00000000-0008-0000-0D00-00000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39" name="Diagramm 26">
          <a:extLst>
            <a:ext uri="{FF2B5EF4-FFF2-40B4-BE49-F238E27FC236}">
              <a16:creationId xmlns:a16="http://schemas.microsoft.com/office/drawing/2014/main" id="{00000000-0008-0000-0D00-00000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0" name="Diagramm 27">
          <a:extLst>
            <a:ext uri="{FF2B5EF4-FFF2-40B4-BE49-F238E27FC236}">
              <a16:creationId xmlns:a16="http://schemas.microsoft.com/office/drawing/2014/main" id="{00000000-0008-0000-0D00-00000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1" name="Diagramm 28">
          <a:extLst>
            <a:ext uri="{FF2B5EF4-FFF2-40B4-BE49-F238E27FC236}">
              <a16:creationId xmlns:a16="http://schemas.microsoft.com/office/drawing/2014/main" id="{00000000-0008-0000-0D00-00000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2" name="Diagramm 26">
          <a:extLst>
            <a:ext uri="{FF2B5EF4-FFF2-40B4-BE49-F238E27FC236}">
              <a16:creationId xmlns:a16="http://schemas.microsoft.com/office/drawing/2014/main" id="{00000000-0008-0000-0D00-00000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3" name="Diagramm 27">
          <a:extLst>
            <a:ext uri="{FF2B5EF4-FFF2-40B4-BE49-F238E27FC236}">
              <a16:creationId xmlns:a16="http://schemas.microsoft.com/office/drawing/2014/main" id="{00000000-0008-0000-0D00-00000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4" name="Diagramm 28">
          <a:extLst>
            <a:ext uri="{FF2B5EF4-FFF2-40B4-BE49-F238E27FC236}">
              <a16:creationId xmlns:a16="http://schemas.microsoft.com/office/drawing/2014/main" id="{00000000-0008-0000-0D00-00000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5" name="Diagramm 26">
          <a:extLst>
            <a:ext uri="{FF2B5EF4-FFF2-40B4-BE49-F238E27FC236}">
              <a16:creationId xmlns:a16="http://schemas.microsoft.com/office/drawing/2014/main" id="{00000000-0008-0000-0D00-00000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6" name="Diagramm 27">
          <a:extLst>
            <a:ext uri="{FF2B5EF4-FFF2-40B4-BE49-F238E27FC236}">
              <a16:creationId xmlns:a16="http://schemas.microsoft.com/office/drawing/2014/main" id="{00000000-0008-0000-0D00-00000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47" name="Diagramm 28">
          <a:extLst>
            <a:ext uri="{FF2B5EF4-FFF2-40B4-BE49-F238E27FC236}">
              <a16:creationId xmlns:a16="http://schemas.microsoft.com/office/drawing/2014/main" id="{00000000-0008-0000-0D00-00000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48" name="Diagramm 26">
          <a:extLst>
            <a:ext uri="{FF2B5EF4-FFF2-40B4-BE49-F238E27FC236}">
              <a16:creationId xmlns:a16="http://schemas.microsoft.com/office/drawing/2014/main" id="{00000000-0008-0000-0D00-00000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49" name="Diagramm 27">
          <a:extLst>
            <a:ext uri="{FF2B5EF4-FFF2-40B4-BE49-F238E27FC236}">
              <a16:creationId xmlns:a16="http://schemas.microsoft.com/office/drawing/2014/main" id="{00000000-0008-0000-0D00-00000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0" name="Diagramm 28">
          <a:extLst>
            <a:ext uri="{FF2B5EF4-FFF2-40B4-BE49-F238E27FC236}">
              <a16:creationId xmlns:a16="http://schemas.microsoft.com/office/drawing/2014/main" id="{00000000-0008-0000-0D00-00000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1" name="Diagramm 26">
          <a:extLst>
            <a:ext uri="{FF2B5EF4-FFF2-40B4-BE49-F238E27FC236}">
              <a16:creationId xmlns:a16="http://schemas.microsoft.com/office/drawing/2014/main" id="{00000000-0008-0000-0D00-00000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2" name="Diagramm 27">
          <a:extLst>
            <a:ext uri="{FF2B5EF4-FFF2-40B4-BE49-F238E27FC236}">
              <a16:creationId xmlns:a16="http://schemas.microsoft.com/office/drawing/2014/main" id="{00000000-0008-0000-0D00-00001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3" name="Diagramm 28">
          <a:extLst>
            <a:ext uri="{FF2B5EF4-FFF2-40B4-BE49-F238E27FC236}">
              <a16:creationId xmlns:a16="http://schemas.microsoft.com/office/drawing/2014/main" id="{00000000-0008-0000-0D00-00001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4" name="Diagramm 26">
          <a:extLst>
            <a:ext uri="{FF2B5EF4-FFF2-40B4-BE49-F238E27FC236}">
              <a16:creationId xmlns:a16="http://schemas.microsoft.com/office/drawing/2014/main" id="{00000000-0008-0000-0D00-00001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5" name="Diagramm 27">
          <a:extLst>
            <a:ext uri="{FF2B5EF4-FFF2-40B4-BE49-F238E27FC236}">
              <a16:creationId xmlns:a16="http://schemas.microsoft.com/office/drawing/2014/main" id="{00000000-0008-0000-0D00-00001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6" name="Diagramm 28">
          <a:extLst>
            <a:ext uri="{FF2B5EF4-FFF2-40B4-BE49-F238E27FC236}">
              <a16:creationId xmlns:a16="http://schemas.microsoft.com/office/drawing/2014/main" id="{00000000-0008-0000-0D00-00001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57" name="Diagramm 26">
          <a:extLst>
            <a:ext uri="{FF2B5EF4-FFF2-40B4-BE49-F238E27FC236}">
              <a16:creationId xmlns:a16="http://schemas.microsoft.com/office/drawing/2014/main" id="{00000000-0008-0000-0D00-00001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58" name="Diagramm 27">
          <a:extLst>
            <a:ext uri="{FF2B5EF4-FFF2-40B4-BE49-F238E27FC236}">
              <a16:creationId xmlns:a16="http://schemas.microsoft.com/office/drawing/2014/main" id="{00000000-0008-0000-0D00-00001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59" name="Diagramm 28">
          <a:extLst>
            <a:ext uri="{FF2B5EF4-FFF2-40B4-BE49-F238E27FC236}">
              <a16:creationId xmlns:a16="http://schemas.microsoft.com/office/drawing/2014/main" id="{00000000-0008-0000-0D00-00001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0" name="Diagramm 26">
          <a:extLst>
            <a:ext uri="{FF2B5EF4-FFF2-40B4-BE49-F238E27FC236}">
              <a16:creationId xmlns:a16="http://schemas.microsoft.com/office/drawing/2014/main" id="{00000000-0008-0000-0D00-00001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1" name="Diagramm 27">
          <a:extLst>
            <a:ext uri="{FF2B5EF4-FFF2-40B4-BE49-F238E27FC236}">
              <a16:creationId xmlns:a16="http://schemas.microsoft.com/office/drawing/2014/main" id="{00000000-0008-0000-0D00-00001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2" name="Diagramm 28">
          <a:extLst>
            <a:ext uri="{FF2B5EF4-FFF2-40B4-BE49-F238E27FC236}">
              <a16:creationId xmlns:a16="http://schemas.microsoft.com/office/drawing/2014/main" id="{00000000-0008-0000-0D00-00001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3" name="Diagramm 26">
          <a:extLst>
            <a:ext uri="{FF2B5EF4-FFF2-40B4-BE49-F238E27FC236}">
              <a16:creationId xmlns:a16="http://schemas.microsoft.com/office/drawing/2014/main" id="{00000000-0008-0000-0D00-00001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4" name="Diagramm 27">
          <a:extLst>
            <a:ext uri="{FF2B5EF4-FFF2-40B4-BE49-F238E27FC236}">
              <a16:creationId xmlns:a16="http://schemas.microsoft.com/office/drawing/2014/main" id="{00000000-0008-0000-0D00-00001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5" name="Diagramm 28">
          <a:extLst>
            <a:ext uri="{FF2B5EF4-FFF2-40B4-BE49-F238E27FC236}">
              <a16:creationId xmlns:a16="http://schemas.microsoft.com/office/drawing/2014/main" id="{00000000-0008-0000-0D00-00001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6" name="Diagramm 26">
          <a:extLst>
            <a:ext uri="{FF2B5EF4-FFF2-40B4-BE49-F238E27FC236}">
              <a16:creationId xmlns:a16="http://schemas.microsoft.com/office/drawing/2014/main" id="{00000000-0008-0000-0D00-00001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67" name="Diagramm 27">
          <a:extLst>
            <a:ext uri="{FF2B5EF4-FFF2-40B4-BE49-F238E27FC236}">
              <a16:creationId xmlns:a16="http://schemas.microsoft.com/office/drawing/2014/main" id="{00000000-0008-0000-0D00-00001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68" name="Diagramm 28">
          <a:extLst>
            <a:ext uri="{FF2B5EF4-FFF2-40B4-BE49-F238E27FC236}">
              <a16:creationId xmlns:a16="http://schemas.microsoft.com/office/drawing/2014/main" id="{00000000-0008-0000-0D00-00002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69" name="Diagramm 26">
          <a:extLst>
            <a:ext uri="{FF2B5EF4-FFF2-40B4-BE49-F238E27FC236}">
              <a16:creationId xmlns:a16="http://schemas.microsoft.com/office/drawing/2014/main" id="{00000000-0008-0000-0D00-00002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0" name="Diagramm 27">
          <a:extLst>
            <a:ext uri="{FF2B5EF4-FFF2-40B4-BE49-F238E27FC236}">
              <a16:creationId xmlns:a16="http://schemas.microsoft.com/office/drawing/2014/main" id="{00000000-0008-0000-0D00-00002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1" name="Diagramm 28">
          <a:extLst>
            <a:ext uri="{FF2B5EF4-FFF2-40B4-BE49-F238E27FC236}">
              <a16:creationId xmlns:a16="http://schemas.microsoft.com/office/drawing/2014/main" id="{00000000-0008-0000-0D00-00002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2" name="Diagramm 26">
          <a:extLst>
            <a:ext uri="{FF2B5EF4-FFF2-40B4-BE49-F238E27FC236}">
              <a16:creationId xmlns:a16="http://schemas.microsoft.com/office/drawing/2014/main" id="{00000000-0008-0000-0D00-00002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3" name="Diagramm 27">
          <a:extLst>
            <a:ext uri="{FF2B5EF4-FFF2-40B4-BE49-F238E27FC236}">
              <a16:creationId xmlns:a16="http://schemas.microsoft.com/office/drawing/2014/main" id="{00000000-0008-0000-0D00-00002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4" name="Diagramm 28">
          <a:extLst>
            <a:ext uri="{FF2B5EF4-FFF2-40B4-BE49-F238E27FC236}">
              <a16:creationId xmlns:a16="http://schemas.microsoft.com/office/drawing/2014/main" id="{00000000-0008-0000-0D00-00002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5" name="Diagramm 26">
          <a:extLst>
            <a:ext uri="{FF2B5EF4-FFF2-40B4-BE49-F238E27FC236}">
              <a16:creationId xmlns:a16="http://schemas.microsoft.com/office/drawing/2014/main" id="{00000000-0008-0000-0D00-00002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6" name="Diagramm 27">
          <a:extLst>
            <a:ext uri="{FF2B5EF4-FFF2-40B4-BE49-F238E27FC236}">
              <a16:creationId xmlns:a16="http://schemas.microsoft.com/office/drawing/2014/main" id="{00000000-0008-0000-0D00-00002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77" name="Diagramm 28">
          <a:extLst>
            <a:ext uri="{FF2B5EF4-FFF2-40B4-BE49-F238E27FC236}">
              <a16:creationId xmlns:a16="http://schemas.microsoft.com/office/drawing/2014/main" id="{00000000-0008-0000-0D00-00002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78" name="Diagramm 26">
          <a:extLst>
            <a:ext uri="{FF2B5EF4-FFF2-40B4-BE49-F238E27FC236}">
              <a16:creationId xmlns:a16="http://schemas.microsoft.com/office/drawing/2014/main" id="{00000000-0008-0000-0D00-00002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79" name="Diagramm 27">
          <a:extLst>
            <a:ext uri="{FF2B5EF4-FFF2-40B4-BE49-F238E27FC236}">
              <a16:creationId xmlns:a16="http://schemas.microsoft.com/office/drawing/2014/main" id="{00000000-0008-0000-0D00-00002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0" name="Diagramm 28">
          <a:extLst>
            <a:ext uri="{FF2B5EF4-FFF2-40B4-BE49-F238E27FC236}">
              <a16:creationId xmlns:a16="http://schemas.microsoft.com/office/drawing/2014/main" id="{00000000-0008-0000-0D00-00002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1" name="Diagramm 26">
          <a:extLst>
            <a:ext uri="{FF2B5EF4-FFF2-40B4-BE49-F238E27FC236}">
              <a16:creationId xmlns:a16="http://schemas.microsoft.com/office/drawing/2014/main" id="{00000000-0008-0000-0D00-00002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2" name="Diagramm 27">
          <a:extLst>
            <a:ext uri="{FF2B5EF4-FFF2-40B4-BE49-F238E27FC236}">
              <a16:creationId xmlns:a16="http://schemas.microsoft.com/office/drawing/2014/main" id="{00000000-0008-0000-0D00-00002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3" name="Diagramm 28">
          <a:extLst>
            <a:ext uri="{FF2B5EF4-FFF2-40B4-BE49-F238E27FC236}">
              <a16:creationId xmlns:a16="http://schemas.microsoft.com/office/drawing/2014/main" id="{00000000-0008-0000-0D00-00002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4" name="Diagramm 26">
          <a:extLst>
            <a:ext uri="{FF2B5EF4-FFF2-40B4-BE49-F238E27FC236}">
              <a16:creationId xmlns:a16="http://schemas.microsoft.com/office/drawing/2014/main" id="{00000000-0008-0000-0D00-00003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5" name="Diagramm 27">
          <a:extLst>
            <a:ext uri="{FF2B5EF4-FFF2-40B4-BE49-F238E27FC236}">
              <a16:creationId xmlns:a16="http://schemas.microsoft.com/office/drawing/2014/main" id="{00000000-0008-0000-0D00-00003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6" name="Diagramm 28">
          <a:extLst>
            <a:ext uri="{FF2B5EF4-FFF2-40B4-BE49-F238E27FC236}">
              <a16:creationId xmlns:a16="http://schemas.microsoft.com/office/drawing/2014/main" id="{00000000-0008-0000-0D00-00003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87" name="Diagramm 26">
          <a:extLst>
            <a:ext uri="{FF2B5EF4-FFF2-40B4-BE49-F238E27FC236}">
              <a16:creationId xmlns:a16="http://schemas.microsoft.com/office/drawing/2014/main" id="{00000000-0008-0000-0D00-00003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88" name="Diagramm 27">
          <a:extLst>
            <a:ext uri="{FF2B5EF4-FFF2-40B4-BE49-F238E27FC236}">
              <a16:creationId xmlns:a16="http://schemas.microsoft.com/office/drawing/2014/main" id="{00000000-0008-0000-0D00-00003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89" name="Diagramm 28">
          <a:extLst>
            <a:ext uri="{FF2B5EF4-FFF2-40B4-BE49-F238E27FC236}">
              <a16:creationId xmlns:a16="http://schemas.microsoft.com/office/drawing/2014/main" id="{00000000-0008-0000-0D00-00003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0" name="Diagramm 26">
          <a:extLst>
            <a:ext uri="{FF2B5EF4-FFF2-40B4-BE49-F238E27FC236}">
              <a16:creationId xmlns:a16="http://schemas.microsoft.com/office/drawing/2014/main" id="{00000000-0008-0000-0D00-00003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1" name="Diagramm 27">
          <a:extLst>
            <a:ext uri="{FF2B5EF4-FFF2-40B4-BE49-F238E27FC236}">
              <a16:creationId xmlns:a16="http://schemas.microsoft.com/office/drawing/2014/main" id="{00000000-0008-0000-0D00-00003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2" name="Diagramm 28">
          <a:extLst>
            <a:ext uri="{FF2B5EF4-FFF2-40B4-BE49-F238E27FC236}">
              <a16:creationId xmlns:a16="http://schemas.microsoft.com/office/drawing/2014/main" id="{00000000-0008-0000-0D00-00003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3" name="Diagramm 26">
          <a:extLst>
            <a:ext uri="{FF2B5EF4-FFF2-40B4-BE49-F238E27FC236}">
              <a16:creationId xmlns:a16="http://schemas.microsoft.com/office/drawing/2014/main" id="{00000000-0008-0000-0D00-00003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4" name="Diagramm 27">
          <a:extLst>
            <a:ext uri="{FF2B5EF4-FFF2-40B4-BE49-F238E27FC236}">
              <a16:creationId xmlns:a16="http://schemas.microsoft.com/office/drawing/2014/main" id="{00000000-0008-0000-0D00-00003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5" name="Diagramm 28">
          <a:extLst>
            <a:ext uri="{FF2B5EF4-FFF2-40B4-BE49-F238E27FC236}">
              <a16:creationId xmlns:a16="http://schemas.microsoft.com/office/drawing/2014/main" id="{00000000-0008-0000-0D00-00003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6" name="Diagramm 26">
          <a:extLst>
            <a:ext uri="{FF2B5EF4-FFF2-40B4-BE49-F238E27FC236}">
              <a16:creationId xmlns:a16="http://schemas.microsoft.com/office/drawing/2014/main" id="{00000000-0008-0000-0D00-00003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799997" name="Diagramm 27">
          <a:extLst>
            <a:ext uri="{FF2B5EF4-FFF2-40B4-BE49-F238E27FC236}">
              <a16:creationId xmlns:a16="http://schemas.microsoft.com/office/drawing/2014/main" id="{00000000-0008-0000-0D00-00003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799998" name="Diagramm 28">
          <a:extLst>
            <a:ext uri="{FF2B5EF4-FFF2-40B4-BE49-F238E27FC236}">
              <a16:creationId xmlns:a16="http://schemas.microsoft.com/office/drawing/2014/main" id="{00000000-0008-0000-0D00-00003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799999" name="Diagramm 26">
          <a:extLst>
            <a:ext uri="{FF2B5EF4-FFF2-40B4-BE49-F238E27FC236}">
              <a16:creationId xmlns:a16="http://schemas.microsoft.com/office/drawing/2014/main" id="{00000000-0008-0000-0D00-00003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0" name="Diagramm 27">
          <a:extLst>
            <a:ext uri="{FF2B5EF4-FFF2-40B4-BE49-F238E27FC236}">
              <a16:creationId xmlns:a16="http://schemas.microsoft.com/office/drawing/2014/main" id="{00000000-0008-0000-0D00-00004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1" name="Diagramm 28">
          <a:extLst>
            <a:ext uri="{FF2B5EF4-FFF2-40B4-BE49-F238E27FC236}">
              <a16:creationId xmlns:a16="http://schemas.microsoft.com/office/drawing/2014/main" id="{00000000-0008-0000-0D00-00004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2" name="Diagramm 26">
          <a:extLst>
            <a:ext uri="{FF2B5EF4-FFF2-40B4-BE49-F238E27FC236}">
              <a16:creationId xmlns:a16="http://schemas.microsoft.com/office/drawing/2014/main" id="{00000000-0008-0000-0D00-00004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3" name="Diagramm 27">
          <a:extLst>
            <a:ext uri="{FF2B5EF4-FFF2-40B4-BE49-F238E27FC236}">
              <a16:creationId xmlns:a16="http://schemas.microsoft.com/office/drawing/2014/main" id="{00000000-0008-0000-0D00-00004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4" name="Diagramm 28">
          <a:extLst>
            <a:ext uri="{FF2B5EF4-FFF2-40B4-BE49-F238E27FC236}">
              <a16:creationId xmlns:a16="http://schemas.microsoft.com/office/drawing/2014/main" id="{00000000-0008-0000-0D00-00004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5" name="Diagramm 26">
          <a:extLst>
            <a:ext uri="{FF2B5EF4-FFF2-40B4-BE49-F238E27FC236}">
              <a16:creationId xmlns:a16="http://schemas.microsoft.com/office/drawing/2014/main" id="{00000000-0008-0000-0D00-00004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6" name="Diagramm 27">
          <a:extLst>
            <a:ext uri="{FF2B5EF4-FFF2-40B4-BE49-F238E27FC236}">
              <a16:creationId xmlns:a16="http://schemas.microsoft.com/office/drawing/2014/main" id="{00000000-0008-0000-0D00-00004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07" name="Diagramm 28">
          <a:extLst>
            <a:ext uri="{FF2B5EF4-FFF2-40B4-BE49-F238E27FC236}">
              <a16:creationId xmlns:a16="http://schemas.microsoft.com/office/drawing/2014/main" id="{00000000-0008-0000-0D00-00004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08" name="Diagramm 26">
          <a:extLst>
            <a:ext uri="{FF2B5EF4-FFF2-40B4-BE49-F238E27FC236}">
              <a16:creationId xmlns:a16="http://schemas.microsoft.com/office/drawing/2014/main" id="{00000000-0008-0000-0D00-00004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09" name="Diagramm 27">
          <a:extLst>
            <a:ext uri="{FF2B5EF4-FFF2-40B4-BE49-F238E27FC236}">
              <a16:creationId xmlns:a16="http://schemas.microsoft.com/office/drawing/2014/main" id="{00000000-0008-0000-0D00-00004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0" name="Diagramm 28">
          <a:extLst>
            <a:ext uri="{FF2B5EF4-FFF2-40B4-BE49-F238E27FC236}">
              <a16:creationId xmlns:a16="http://schemas.microsoft.com/office/drawing/2014/main" id="{00000000-0008-0000-0D00-00004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1" name="Diagramm 26">
          <a:extLst>
            <a:ext uri="{FF2B5EF4-FFF2-40B4-BE49-F238E27FC236}">
              <a16:creationId xmlns:a16="http://schemas.microsoft.com/office/drawing/2014/main" id="{00000000-0008-0000-0D00-00004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2" name="Diagramm 27">
          <a:extLst>
            <a:ext uri="{FF2B5EF4-FFF2-40B4-BE49-F238E27FC236}">
              <a16:creationId xmlns:a16="http://schemas.microsoft.com/office/drawing/2014/main" id="{00000000-0008-0000-0D00-00004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3" name="Diagramm 28">
          <a:extLst>
            <a:ext uri="{FF2B5EF4-FFF2-40B4-BE49-F238E27FC236}">
              <a16:creationId xmlns:a16="http://schemas.microsoft.com/office/drawing/2014/main" id="{00000000-0008-0000-0D00-00004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4" name="Diagramm 26">
          <a:extLst>
            <a:ext uri="{FF2B5EF4-FFF2-40B4-BE49-F238E27FC236}">
              <a16:creationId xmlns:a16="http://schemas.microsoft.com/office/drawing/2014/main" id="{00000000-0008-0000-0D00-00004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5" name="Diagramm 27">
          <a:extLst>
            <a:ext uri="{FF2B5EF4-FFF2-40B4-BE49-F238E27FC236}">
              <a16:creationId xmlns:a16="http://schemas.microsoft.com/office/drawing/2014/main" id="{00000000-0008-0000-0D00-00004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6" name="Diagramm 28">
          <a:extLst>
            <a:ext uri="{FF2B5EF4-FFF2-40B4-BE49-F238E27FC236}">
              <a16:creationId xmlns:a16="http://schemas.microsoft.com/office/drawing/2014/main" id="{00000000-0008-0000-0D00-00005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17" name="Diagramm 26">
          <a:extLst>
            <a:ext uri="{FF2B5EF4-FFF2-40B4-BE49-F238E27FC236}">
              <a16:creationId xmlns:a16="http://schemas.microsoft.com/office/drawing/2014/main" id="{00000000-0008-0000-0D00-00005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18" name="Diagramm 27">
          <a:extLst>
            <a:ext uri="{FF2B5EF4-FFF2-40B4-BE49-F238E27FC236}">
              <a16:creationId xmlns:a16="http://schemas.microsoft.com/office/drawing/2014/main" id="{00000000-0008-0000-0D00-00005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19" name="Diagramm 28">
          <a:extLst>
            <a:ext uri="{FF2B5EF4-FFF2-40B4-BE49-F238E27FC236}">
              <a16:creationId xmlns:a16="http://schemas.microsoft.com/office/drawing/2014/main" id="{00000000-0008-0000-0D00-00005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0" name="Diagramm 26">
          <a:extLst>
            <a:ext uri="{FF2B5EF4-FFF2-40B4-BE49-F238E27FC236}">
              <a16:creationId xmlns:a16="http://schemas.microsoft.com/office/drawing/2014/main" id="{00000000-0008-0000-0D00-00005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1" name="Diagramm 27">
          <a:extLst>
            <a:ext uri="{FF2B5EF4-FFF2-40B4-BE49-F238E27FC236}">
              <a16:creationId xmlns:a16="http://schemas.microsoft.com/office/drawing/2014/main" id="{00000000-0008-0000-0D00-00005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2" name="Diagramm 28">
          <a:extLst>
            <a:ext uri="{FF2B5EF4-FFF2-40B4-BE49-F238E27FC236}">
              <a16:creationId xmlns:a16="http://schemas.microsoft.com/office/drawing/2014/main" id="{00000000-0008-0000-0D00-00005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3" name="Diagramm 26">
          <a:extLst>
            <a:ext uri="{FF2B5EF4-FFF2-40B4-BE49-F238E27FC236}">
              <a16:creationId xmlns:a16="http://schemas.microsoft.com/office/drawing/2014/main" id="{00000000-0008-0000-0D00-00005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4" name="Diagramm 27">
          <a:extLst>
            <a:ext uri="{FF2B5EF4-FFF2-40B4-BE49-F238E27FC236}">
              <a16:creationId xmlns:a16="http://schemas.microsoft.com/office/drawing/2014/main" id="{00000000-0008-0000-0D00-00005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5" name="Diagramm 28">
          <a:extLst>
            <a:ext uri="{FF2B5EF4-FFF2-40B4-BE49-F238E27FC236}">
              <a16:creationId xmlns:a16="http://schemas.microsoft.com/office/drawing/2014/main" id="{00000000-0008-0000-0D00-00005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6" name="Diagramm 26">
          <a:extLst>
            <a:ext uri="{FF2B5EF4-FFF2-40B4-BE49-F238E27FC236}">
              <a16:creationId xmlns:a16="http://schemas.microsoft.com/office/drawing/2014/main" id="{00000000-0008-0000-0D00-00005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27" name="Diagramm 27">
          <a:extLst>
            <a:ext uri="{FF2B5EF4-FFF2-40B4-BE49-F238E27FC236}">
              <a16:creationId xmlns:a16="http://schemas.microsoft.com/office/drawing/2014/main" id="{00000000-0008-0000-0D00-00005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28" name="Diagramm 28">
          <a:extLst>
            <a:ext uri="{FF2B5EF4-FFF2-40B4-BE49-F238E27FC236}">
              <a16:creationId xmlns:a16="http://schemas.microsoft.com/office/drawing/2014/main" id="{00000000-0008-0000-0D00-00005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29" name="Diagramm 26">
          <a:extLst>
            <a:ext uri="{FF2B5EF4-FFF2-40B4-BE49-F238E27FC236}">
              <a16:creationId xmlns:a16="http://schemas.microsoft.com/office/drawing/2014/main" id="{00000000-0008-0000-0D00-00005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0" name="Diagramm 27">
          <a:extLst>
            <a:ext uri="{FF2B5EF4-FFF2-40B4-BE49-F238E27FC236}">
              <a16:creationId xmlns:a16="http://schemas.microsoft.com/office/drawing/2014/main" id="{00000000-0008-0000-0D00-00005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1" name="Diagramm 28">
          <a:extLst>
            <a:ext uri="{FF2B5EF4-FFF2-40B4-BE49-F238E27FC236}">
              <a16:creationId xmlns:a16="http://schemas.microsoft.com/office/drawing/2014/main" id="{00000000-0008-0000-0D00-00005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2" name="Diagramm 26">
          <a:extLst>
            <a:ext uri="{FF2B5EF4-FFF2-40B4-BE49-F238E27FC236}">
              <a16:creationId xmlns:a16="http://schemas.microsoft.com/office/drawing/2014/main" id="{00000000-0008-0000-0D00-00006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3" name="Diagramm 27">
          <a:extLst>
            <a:ext uri="{FF2B5EF4-FFF2-40B4-BE49-F238E27FC236}">
              <a16:creationId xmlns:a16="http://schemas.microsoft.com/office/drawing/2014/main" id="{00000000-0008-0000-0D00-00006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4" name="Diagramm 28">
          <a:extLst>
            <a:ext uri="{FF2B5EF4-FFF2-40B4-BE49-F238E27FC236}">
              <a16:creationId xmlns:a16="http://schemas.microsoft.com/office/drawing/2014/main" id="{00000000-0008-0000-0D00-00006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5" name="Diagramm 26">
          <a:extLst>
            <a:ext uri="{FF2B5EF4-FFF2-40B4-BE49-F238E27FC236}">
              <a16:creationId xmlns:a16="http://schemas.microsoft.com/office/drawing/2014/main" id="{00000000-0008-0000-0D00-00006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6" name="Diagramm 27">
          <a:extLst>
            <a:ext uri="{FF2B5EF4-FFF2-40B4-BE49-F238E27FC236}">
              <a16:creationId xmlns:a16="http://schemas.microsoft.com/office/drawing/2014/main" id="{00000000-0008-0000-0D00-00006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37" name="Diagramm 28">
          <a:extLst>
            <a:ext uri="{FF2B5EF4-FFF2-40B4-BE49-F238E27FC236}">
              <a16:creationId xmlns:a16="http://schemas.microsoft.com/office/drawing/2014/main" id="{00000000-0008-0000-0D00-00006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38" name="Diagramm 26">
          <a:extLst>
            <a:ext uri="{FF2B5EF4-FFF2-40B4-BE49-F238E27FC236}">
              <a16:creationId xmlns:a16="http://schemas.microsoft.com/office/drawing/2014/main" id="{00000000-0008-0000-0D00-00006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39" name="Diagramm 27">
          <a:extLst>
            <a:ext uri="{FF2B5EF4-FFF2-40B4-BE49-F238E27FC236}">
              <a16:creationId xmlns:a16="http://schemas.microsoft.com/office/drawing/2014/main" id="{00000000-0008-0000-0D00-00006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0" name="Diagramm 28">
          <a:extLst>
            <a:ext uri="{FF2B5EF4-FFF2-40B4-BE49-F238E27FC236}">
              <a16:creationId xmlns:a16="http://schemas.microsoft.com/office/drawing/2014/main" id="{00000000-0008-0000-0D00-00006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1" name="Diagramm 26">
          <a:extLst>
            <a:ext uri="{FF2B5EF4-FFF2-40B4-BE49-F238E27FC236}">
              <a16:creationId xmlns:a16="http://schemas.microsoft.com/office/drawing/2014/main" id="{00000000-0008-0000-0D00-00006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2" name="Diagramm 27">
          <a:extLst>
            <a:ext uri="{FF2B5EF4-FFF2-40B4-BE49-F238E27FC236}">
              <a16:creationId xmlns:a16="http://schemas.microsoft.com/office/drawing/2014/main" id="{00000000-0008-0000-0D00-00006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3" name="Diagramm 28">
          <a:extLst>
            <a:ext uri="{FF2B5EF4-FFF2-40B4-BE49-F238E27FC236}">
              <a16:creationId xmlns:a16="http://schemas.microsoft.com/office/drawing/2014/main" id="{00000000-0008-0000-0D00-00006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4" name="Diagramm 26">
          <a:extLst>
            <a:ext uri="{FF2B5EF4-FFF2-40B4-BE49-F238E27FC236}">
              <a16:creationId xmlns:a16="http://schemas.microsoft.com/office/drawing/2014/main" id="{00000000-0008-0000-0D00-00006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5" name="Diagramm 27">
          <a:extLst>
            <a:ext uri="{FF2B5EF4-FFF2-40B4-BE49-F238E27FC236}">
              <a16:creationId xmlns:a16="http://schemas.microsoft.com/office/drawing/2014/main" id="{00000000-0008-0000-0D00-00006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6" name="Diagramm 28">
          <a:extLst>
            <a:ext uri="{FF2B5EF4-FFF2-40B4-BE49-F238E27FC236}">
              <a16:creationId xmlns:a16="http://schemas.microsoft.com/office/drawing/2014/main" id="{00000000-0008-0000-0D00-00006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47" name="Diagramm 26">
          <a:extLst>
            <a:ext uri="{FF2B5EF4-FFF2-40B4-BE49-F238E27FC236}">
              <a16:creationId xmlns:a16="http://schemas.microsoft.com/office/drawing/2014/main" id="{00000000-0008-0000-0D00-00006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48" name="Diagramm 27">
          <a:extLst>
            <a:ext uri="{FF2B5EF4-FFF2-40B4-BE49-F238E27FC236}">
              <a16:creationId xmlns:a16="http://schemas.microsoft.com/office/drawing/2014/main" id="{00000000-0008-0000-0D00-00007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49" name="Diagramm 28">
          <a:extLst>
            <a:ext uri="{FF2B5EF4-FFF2-40B4-BE49-F238E27FC236}">
              <a16:creationId xmlns:a16="http://schemas.microsoft.com/office/drawing/2014/main" id="{00000000-0008-0000-0D00-00007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0" name="Diagramm 26">
          <a:extLst>
            <a:ext uri="{FF2B5EF4-FFF2-40B4-BE49-F238E27FC236}">
              <a16:creationId xmlns:a16="http://schemas.microsoft.com/office/drawing/2014/main" id="{00000000-0008-0000-0D00-00007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1" name="Diagramm 27">
          <a:extLst>
            <a:ext uri="{FF2B5EF4-FFF2-40B4-BE49-F238E27FC236}">
              <a16:creationId xmlns:a16="http://schemas.microsoft.com/office/drawing/2014/main" id="{00000000-0008-0000-0D00-00007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2" name="Diagramm 28">
          <a:extLst>
            <a:ext uri="{FF2B5EF4-FFF2-40B4-BE49-F238E27FC236}">
              <a16:creationId xmlns:a16="http://schemas.microsoft.com/office/drawing/2014/main" id="{00000000-0008-0000-0D00-00007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3" name="Diagramm 26">
          <a:extLst>
            <a:ext uri="{FF2B5EF4-FFF2-40B4-BE49-F238E27FC236}">
              <a16:creationId xmlns:a16="http://schemas.microsoft.com/office/drawing/2014/main" id="{00000000-0008-0000-0D00-00007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4" name="Diagramm 27">
          <a:extLst>
            <a:ext uri="{FF2B5EF4-FFF2-40B4-BE49-F238E27FC236}">
              <a16:creationId xmlns:a16="http://schemas.microsoft.com/office/drawing/2014/main" id="{00000000-0008-0000-0D00-00007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5" name="Diagramm 28">
          <a:extLst>
            <a:ext uri="{FF2B5EF4-FFF2-40B4-BE49-F238E27FC236}">
              <a16:creationId xmlns:a16="http://schemas.microsoft.com/office/drawing/2014/main" id="{00000000-0008-0000-0D00-00007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6" name="Diagramm 26">
          <a:extLst>
            <a:ext uri="{FF2B5EF4-FFF2-40B4-BE49-F238E27FC236}">
              <a16:creationId xmlns:a16="http://schemas.microsoft.com/office/drawing/2014/main" id="{00000000-0008-0000-0D00-00007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57" name="Diagramm 27">
          <a:extLst>
            <a:ext uri="{FF2B5EF4-FFF2-40B4-BE49-F238E27FC236}">
              <a16:creationId xmlns:a16="http://schemas.microsoft.com/office/drawing/2014/main" id="{00000000-0008-0000-0D00-00007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58" name="Diagramm 28">
          <a:extLst>
            <a:ext uri="{FF2B5EF4-FFF2-40B4-BE49-F238E27FC236}">
              <a16:creationId xmlns:a16="http://schemas.microsoft.com/office/drawing/2014/main" id="{00000000-0008-0000-0D00-00007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59" name="Diagramm 26">
          <a:extLst>
            <a:ext uri="{FF2B5EF4-FFF2-40B4-BE49-F238E27FC236}">
              <a16:creationId xmlns:a16="http://schemas.microsoft.com/office/drawing/2014/main" id="{00000000-0008-0000-0D00-00007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0" name="Diagramm 27">
          <a:extLst>
            <a:ext uri="{FF2B5EF4-FFF2-40B4-BE49-F238E27FC236}">
              <a16:creationId xmlns:a16="http://schemas.microsoft.com/office/drawing/2014/main" id="{00000000-0008-0000-0D00-00007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1" name="Diagramm 28">
          <a:extLst>
            <a:ext uri="{FF2B5EF4-FFF2-40B4-BE49-F238E27FC236}">
              <a16:creationId xmlns:a16="http://schemas.microsoft.com/office/drawing/2014/main" id="{00000000-0008-0000-0D00-00007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2" name="Diagramm 26">
          <a:extLst>
            <a:ext uri="{FF2B5EF4-FFF2-40B4-BE49-F238E27FC236}">
              <a16:creationId xmlns:a16="http://schemas.microsoft.com/office/drawing/2014/main" id="{00000000-0008-0000-0D00-00007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3" name="Diagramm 27">
          <a:extLst>
            <a:ext uri="{FF2B5EF4-FFF2-40B4-BE49-F238E27FC236}">
              <a16:creationId xmlns:a16="http://schemas.microsoft.com/office/drawing/2014/main" id="{00000000-0008-0000-0D00-00007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4" name="Diagramm 28">
          <a:extLst>
            <a:ext uri="{FF2B5EF4-FFF2-40B4-BE49-F238E27FC236}">
              <a16:creationId xmlns:a16="http://schemas.microsoft.com/office/drawing/2014/main" id="{00000000-0008-0000-0D00-00008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5" name="Diagramm 26">
          <a:extLst>
            <a:ext uri="{FF2B5EF4-FFF2-40B4-BE49-F238E27FC236}">
              <a16:creationId xmlns:a16="http://schemas.microsoft.com/office/drawing/2014/main" id="{00000000-0008-0000-0D00-00008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6" name="Diagramm 27">
          <a:extLst>
            <a:ext uri="{FF2B5EF4-FFF2-40B4-BE49-F238E27FC236}">
              <a16:creationId xmlns:a16="http://schemas.microsoft.com/office/drawing/2014/main" id="{00000000-0008-0000-0D00-00008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67" name="Diagramm 28">
          <a:extLst>
            <a:ext uri="{FF2B5EF4-FFF2-40B4-BE49-F238E27FC236}">
              <a16:creationId xmlns:a16="http://schemas.microsoft.com/office/drawing/2014/main" id="{00000000-0008-0000-0D00-00008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68" name="Diagramm 26">
          <a:extLst>
            <a:ext uri="{FF2B5EF4-FFF2-40B4-BE49-F238E27FC236}">
              <a16:creationId xmlns:a16="http://schemas.microsoft.com/office/drawing/2014/main" id="{00000000-0008-0000-0D00-00008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69" name="Diagramm 27">
          <a:extLst>
            <a:ext uri="{FF2B5EF4-FFF2-40B4-BE49-F238E27FC236}">
              <a16:creationId xmlns:a16="http://schemas.microsoft.com/office/drawing/2014/main" id="{00000000-0008-0000-0D00-00008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0" name="Diagramm 28">
          <a:extLst>
            <a:ext uri="{FF2B5EF4-FFF2-40B4-BE49-F238E27FC236}">
              <a16:creationId xmlns:a16="http://schemas.microsoft.com/office/drawing/2014/main" id="{00000000-0008-0000-0D00-00008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1" name="Diagramm 26">
          <a:extLst>
            <a:ext uri="{FF2B5EF4-FFF2-40B4-BE49-F238E27FC236}">
              <a16:creationId xmlns:a16="http://schemas.microsoft.com/office/drawing/2014/main" id="{00000000-0008-0000-0D00-00008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2" name="Diagramm 27">
          <a:extLst>
            <a:ext uri="{FF2B5EF4-FFF2-40B4-BE49-F238E27FC236}">
              <a16:creationId xmlns:a16="http://schemas.microsoft.com/office/drawing/2014/main" id="{00000000-0008-0000-0D00-00008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3" name="Diagramm 28">
          <a:extLst>
            <a:ext uri="{FF2B5EF4-FFF2-40B4-BE49-F238E27FC236}">
              <a16:creationId xmlns:a16="http://schemas.microsoft.com/office/drawing/2014/main" id="{00000000-0008-0000-0D00-00008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4" name="Diagramm 26">
          <a:extLst>
            <a:ext uri="{FF2B5EF4-FFF2-40B4-BE49-F238E27FC236}">
              <a16:creationId xmlns:a16="http://schemas.microsoft.com/office/drawing/2014/main" id="{00000000-0008-0000-0D00-00008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5" name="Diagramm 27">
          <a:extLst>
            <a:ext uri="{FF2B5EF4-FFF2-40B4-BE49-F238E27FC236}">
              <a16:creationId xmlns:a16="http://schemas.microsoft.com/office/drawing/2014/main" id="{00000000-0008-0000-0D00-00008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6" name="Diagramm 28">
          <a:extLst>
            <a:ext uri="{FF2B5EF4-FFF2-40B4-BE49-F238E27FC236}">
              <a16:creationId xmlns:a16="http://schemas.microsoft.com/office/drawing/2014/main" id="{00000000-0008-0000-0D00-00008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77" name="Diagramm 26">
          <a:extLst>
            <a:ext uri="{FF2B5EF4-FFF2-40B4-BE49-F238E27FC236}">
              <a16:creationId xmlns:a16="http://schemas.microsoft.com/office/drawing/2014/main" id="{00000000-0008-0000-0D00-00008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78" name="Diagramm 27">
          <a:extLst>
            <a:ext uri="{FF2B5EF4-FFF2-40B4-BE49-F238E27FC236}">
              <a16:creationId xmlns:a16="http://schemas.microsoft.com/office/drawing/2014/main" id="{00000000-0008-0000-0D00-00008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79" name="Diagramm 28">
          <a:extLst>
            <a:ext uri="{FF2B5EF4-FFF2-40B4-BE49-F238E27FC236}">
              <a16:creationId xmlns:a16="http://schemas.microsoft.com/office/drawing/2014/main" id="{00000000-0008-0000-0D00-00008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0" name="Diagramm 26">
          <a:extLst>
            <a:ext uri="{FF2B5EF4-FFF2-40B4-BE49-F238E27FC236}">
              <a16:creationId xmlns:a16="http://schemas.microsoft.com/office/drawing/2014/main" id="{00000000-0008-0000-0D00-00009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1" name="Diagramm 27">
          <a:extLst>
            <a:ext uri="{FF2B5EF4-FFF2-40B4-BE49-F238E27FC236}">
              <a16:creationId xmlns:a16="http://schemas.microsoft.com/office/drawing/2014/main" id="{00000000-0008-0000-0D00-00009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2" name="Diagramm 28">
          <a:extLst>
            <a:ext uri="{FF2B5EF4-FFF2-40B4-BE49-F238E27FC236}">
              <a16:creationId xmlns:a16="http://schemas.microsoft.com/office/drawing/2014/main" id="{00000000-0008-0000-0D00-00009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3" name="Diagramm 26">
          <a:extLst>
            <a:ext uri="{FF2B5EF4-FFF2-40B4-BE49-F238E27FC236}">
              <a16:creationId xmlns:a16="http://schemas.microsoft.com/office/drawing/2014/main" id="{00000000-0008-0000-0D00-00009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4" name="Diagramm 27">
          <a:extLst>
            <a:ext uri="{FF2B5EF4-FFF2-40B4-BE49-F238E27FC236}">
              <a16:creationId xmlns:a16="http://schemas.microsoft.com/office/drawing/2014/main" id="{00000000-0008-0000-0D00-00009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5" name="Diagramm 28">
          <a:extLst>
            <a:ext uri="{FF2B5EF4-FFF2-40B4-BE49-F238E27FC236}">
              <a16:creationId xmlns:a16="http://schemas.microsoft.com/office/drawing/2014/main" id="{00000000-0008-0000-0D00-00009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6" name="Diagramm 26">
          <a:extLst>
            <a:ext uri="{FF2B5EF4-FFF2-40B4-BE49-F238E27FC236}">
              <a16:creationId xmlns:a16="http://schemas.microsoft.com/office/drawing/2014/main" id="{00000000-0008-0000-0D00-00009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87" name="Diagramm 27">
          <a:extLst>
            <a:ext uri="{FF2B5EF4-FFF2-40B4-BE49-F238E27FC236}">
              <a16:creationId xmlns:a16="http://schemas.microsoft.com/office/drawing/2014/main" id="{00000000-0008-0000-0D00-00009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88" name="Diagramm 28">
          <a:extLst>
            <a:ext uri="{FF2B5EF4-FFF2-40B4-BE49-F238E27FC236}">
              <a16:creationId xmlns:a16="http://schemas.microsoft.com/office/drawing/2014/main" id="{00000000-0008-0000-0D00-00009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89" name="Diagramm 26">
          <a:extLst>
            <a:ext uri="{FF2B5EF4-FFF2-40B4-BE49-F238E27FC236}">
              <a16:creationId xmlns:a16="http://schemas.microsoft.com/office/drawing/2014/main" id="{00000000-0008-0000-0D00-00009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0" name="Diagramm 27">
          <a:extLst>
            <a:ext uri="{FF2B5EF4-FFF2-40B4-BE49-F238E27FC236}">
              <a16:creationId xmlns:a16="http://schemas.microsoft.com/office/drawing/2014/main" id="{00000000-0008-0000-0D00-00009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1" name="Diagramm 28">
          <a:extLst>
            <a:ext uri="{FF2B5EF4-FFF2-40B4-BE49-F238E27FC236}">
              <a16:creationId xmlns:a16="http://schemas.microsoft.com/office/drawing/2014/main" id="{00000000-0008-0000-0D00-00009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2" name="Diagramm 26">
          <a:extLst>
            <a:ext uri="{FF2B5EF4-FFF2-40B4-BE49-F238E27FC236}">
              <a16:creationId xmlns:a16="http://schemas.microsoft.com/office/drawing/2014/main" id="{00000000-0008-0000-0D00-00009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3" name="Diagramm 27">
          <a:extLst>
            <a:ext uri="{FF2B5EF4-FFF2-40B4-BE49-F238E27FC236}">
              <a16:creationId xmlns:a16="http://schemas.microsoft.com/office/drawing/2014/main" id="{00000000-0008-0000-0D00-00009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4" name="Diagramm 28">
          <a:extLst>
            <a:ext uri="{FF2B5EF4-FFF2-40B4-BE49-F238E27FC236}">
              <a16:creationId xmlns:a16="http://schemas.microsoft.com/office/drawing/2014/main" id="{00000000-0008-0000-0D00-00009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5" name="Diagramm 26">
          <a:extLst>
            <a:ext uri="{FF2B5EF4-FFF2-40B4-BE49-F238E27FC236}">
              <a16:creationId xmlns:a16="http://schemas.microsoft.com/office/drawing/2014/main" id="{00000000-0008-0000-0D00-00009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6" name="Diagramm 27">
          <a:extLst>
            <a:ext uri="{FF2B5EF4-FFF2-40B4-BE49-F238E27FC236}">
              <a16:creationId xmlns:a16="http://schemas.microsoft.com/office/drawing/2014/main" id="{00000000-0008-0000-0D00-0000A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097" name="Diagramm 28">
          <a:extLst>
            <a:ext uri="{FF2B5EF4-FFF2-40B4-BE49-F238E27FC236}">
              <a16:creationId xmlns:a16="http://schemas.microsoft.com/office/drawing/2014/main" id="{00000000-0008-0000-0D00-0000A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098" name="Diagramm 26">
          <a:extLst>
            <a:ext uri="{FF2B5EF4-FFF2-40B4-BE49-F238E27FC236}">
              <a16:creationId xmlns:a16="http://schemas.microsoft.com/office/drawing/2014/main" id="{00000000-0008-0000-0D00-0000A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099" name="Diagramm 27">
          <a:extLst>
            <a:ext uri="{FF2B5EF4-FFF2-40B4-BE49-F238E27FC236}">
              <a16:creationId xmlns:a16="http://schemas.microsoft.com/office/drawing/2014/main" id="{00000000-0008-0000-0D00-0000A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0" name="Diagramm 28">
          <a:extLst>
            <a:ext uri="{FF2B5EF4-FFF2-40B4-BE49-F238E27FC236}">
              <a16:creationId xmlns:a16="http://schemas.microsoft.com/office/drawing/2014/main" id="{00000000-0008-0000-0D00-0000A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1" name="Diagramm 26">
          <a:extLst>
            <a:ext uri="{FF2B5EF4-FFF2-40B4-BE49-F238E27FC236}">
              <a16:creationId xmlns:a16="http://schemas.microsoft.com/office/drawing/2014/main" id="{00000000-0008-0000-0D00-0000A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2" name="Diagramm 27">
          <a:extLst>
            <a:ext uri="{FF2B5EF4-FFF2-40B4-BE49-F238E27FC236}">
              <a16:creationId xmlns:a16="http://schemas.microsoft.com/office/drawing/2014/main" id="{00000000-0008-0000-0D00-0000A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3" name="Diagramm 28">
          <a:extLst>
            <a:ext uri="{FF2B5EF4-FFF2-40B4-BE49-F238E27FC236}">
              <a16:creationId xmlns:a16="http://schemas.microsoft.com/office/drawing/2014/main" id="{00000000-0008-0000-0D00-0000A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4" name="Diagramm 26">
          <a:extLst>
            <a:ext uri="{FF2B5EF4-FFF2-40B4-BE49-F238E27FC236}">
              <a16:creationId xmlns:a16="http://schemas.microsoft.com/office/drawing/2014/main" id="{00000000-0008-0000-0D00-0000A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5" name="Diagramm 27">
          <a:extLst>
            <a:ext uri="{FF2B5EF4-FFF2-40B4-BE49-F238E27FC236}">
              <a16:creationId xmlns:a16="http://schemas.microsoft.com/office/drawing/2014/main" id="{00000000-0008-0000-0D00-0000A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6" name="Diagramm 28">
          <a:extLst>
            <a:ext uri="{FF2B5EF4-FFF2-40B4-BE49-F238E27FC236}">
              <a16:creationId xmlns:a16="http://schemas.microsoft.com/office/drawing/2014/main" id="{00000000-0008-0000-0D00-0000A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07" name="Diagramm 26">
          <a:extLst>
            <a:ext uri="{FF2B5EF4-FFF2-40B4-BE49-F238E27FC236}">
              <a16:creationId xmlns:a16="http://schemas.microsoft.com/office/drawing/2014/main" id="{00000000-0008-0000-0D00-0000A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08" name="Diagramm 27">
          <a:extLst>
            <a:ext uri="{FF2B5EF4-FFF2-40B4-BE49-F238E27FC236}">
              <a16:creationId xmlns:a16="http://schemas.microsoft.com/office/drawing/2014/main" id="{00000000-0008-0000-0D00-0000A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09" name="Diagramm 28">
          <a:extLst>
            <a:ext uri="{FF2B5EF4-FFF2-40B4-BE49-F238E27FC236}">
              <a16:creationId xmlns:a16="http://schemas.microsoft.com/office/drawing/2014/main" id="{00000000-0008-0000-0D00-0000A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0" name="Diagramm 26">
          <a:extLst>
            <a:ext uri="{FF2B5EF4-FFF2-40B4-BE49-F238E27FC236}">
              <a16:creationId xmlns:a16="http://schemas.microsoft.com/office/drawing/2014/main" id="{00000000-0008-0000-0D00-0000A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1" name="Diagramm 27">
          <a:extLst>
            <a:ext uri="{FF2B5EF4-FFF2-40B4-BE49-F238E27FC236}">
              <a16:creationId xmlns:a16="http://schemas.microsoft.com/office/drawing/2014/main" id="{00000000-0008-0000-0D00-0000A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2" name="Diagramm 28">
          <a:extLst>
            <a:ext uri="{FF2B5EF4-FFF2-40B4-BE49-F238E27FC236}">
              <a16:creationId xmlns:a16="http://schemas.microsoft.com/office/drawing/2014/main" id="{00000000-0008-0000-0D00-0000B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3" name="Diagramm 20">
          <a:extLst>
            <a:ext uri="{FF2B5EF4-FFF2-40B4-BE49-F238E27FC236}">
              <a16:creationId xmlns:a16="http://schemas.microsoft.com/office/drawing/2014/main" id="{00000000-0008-0000-0D00-0000B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4" name="Diagramm 21">
          <a:extLst>
            <a:ext uri="{FF2B5EF4-FFF2-40B4-BE49-F238E27FC236}">
              <a16:creationId xmlns:a16="http://schemas.microsoft.com/office/drawing/2014/main" id="{00000000-0008-0000-0D00-0000B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5" name="Diagramm 22">
          <a:extLst>
            <a:ext uri="{FF2B5EF4-FFF2-40B4-BE49-F238E27FC236}">
              <a16:creationId xmlns:a16="http://schemas.microsoft.com/office/drawing/2014/main" id="{00000000-0008-0000-0D00-0000B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6" name="Diagramm 20">
          <a:extLst>
            <a:ext uri="{FF2B5EF4-FFF2-40B4-BE49-F238E27FC236}">
              <a16:creationId xmlns:a16="http://schemas.microsoft.com/office/drawing/2014/main" id="{00000000-0008-0000-0D00-0000B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17" name="Diagramm 21">
          <a:extLst>
            <a:ext uri="{FF2B5EF4-FFF2-40B4-BE49-F238E27FC236}">
              <a16:creationId xmlns:a16="http://schemas.microsoft.com/office/drawing/2014/main" id="{00000000-0008-0000-0D00-0000B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18" name="Diagramm 22">
          <a:extLst>
            <a:ext uri="{FF2B5EF4-FFF2-40B4-BE49-F238E27FC236}">
              <a16:creationId xmlns:a16="http://schemas.microsoft.com/office/drawing/2014/main" id="{00000000-0008-0000-0D00-0000B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19" name="Diagramm 20">
          <a:extLst>
            <a:ext uri="{FF2B5EF4-FFF2-40B4-BE49-F238E27FC236}">
              <a16:creationId xmlns:a16="http://schemas.microsoft.com/office/drawing/2014/main" id="{00000000-0008-0000-0D00-0000B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0" name="Diagramm 21">
          <a:extLst>
            <a:ext uri="{FF2B5EF4-FFF2-40B4-BE49-F238E27FC236}">
              <a16:creationId xmlns:a16="http://schemas.microsoft.com/office/drawing/2014/main" id="{00000000-0008-0000-0D00-0000B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1" name="Diagramm 22">
          <a:extLst>
            <a:ext uri="{FF2B5EF4-FFF2-40B4-BE49-F238E27FC236}">
              <a16:creationId xmlns:a16="http://schemas.microsoft.com/office/drawing/2014/main" id="{00000000-0008-0000-0D00-0000B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2" name="Diagramm 20">
          <a:extLst>
            <a:ext uri="{FF2B5EF4-FFF2-40B4-BE49-F238E27FC236}">
              <a16:creationId xmlns:a16="http://schemas.microsoft.com/office/drawing/2014/main" id="{00000000-0008-0000-0D00-0000B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3" name="Diagramm 21">
          <a:extLst>
            <a:ext uri="{FF2B5EF4-FFF2-40B4-BE49-F238E27FC236}">
              <a16:creationId xmlns:a16="http://schemas.microsoft.com/office/drawing/2014/main" id="{00000000-0008-0000-0D00-0000B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4" name="Diagramm 22">
          <a:extLst>
            <a:ext uri="{FF2B5EF4-FFF2-40B4-BE49-F238E27FC236}">
              <a16:creationId xmlns:a16="http://schemas.microsoft.com/office/drawing/2014/main" id="{00000000-0008-0000-0D00-0000B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2"/>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5" name="Diagramm 20">
          <a:extLst>
            <a:ext uri="{FF2B5EF4-FFF2-40B4-BE49-F238E27FC236}">
              <a16:creationId xmlns:a16="http://schemas.microsoft.com/office/drawing/2014/main" id="{00000000-0008-0000-0D00-0000B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3"/>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6" name="Diagramm 21">
          <a:extLst>
            <a:ext uri="{FF2B5EF4-FFF2-40B4-BE49-F238E27FC236}">
              <a16:creationId xmlns:a16="http://schemas.microsoft.com/office/drawing/2014/main" id="{00000000-0008-0000-0D00-0000B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4"/>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27" name="Diagramm 22">
          <a:extLst>
            <a:ext uri="{FF2B5EF4-FFF2-40B4-BE49-F238E27FC236}">
              <a16:creationId xmlns:a16="http://schemas.microsoft.com/office/drawing/2014/main" id="{00000000-0008-0000-0D00-0000B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5"/>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28" name="Diagramm 20">
          <a:extLst>
            <a:ext uri="{FF2B5EF4-FFF2-40B4-BE49-F238E27FC236}">
              <a16:creationId xmlns:a16="http://schemas.microsoft.com/office/drawing/2014/main" id="{00000000-0008-0000-0D00-0000C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6"/>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29" name="Diagramm 21">
          <a:extLst>
            <a:ext uri="{FF2B5EF4-FFF2-40B4-BE49-F238E27FC236}">
              <a16:creationId xmlns:a16="http://schemas.microsoft.com/office/drawing/2014/main" id="{00000000-0008-0000-0D00-0000C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7"/>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0" name="Diagramm 22">
          <a:extLst>
            <a:ext uri="{FF2B5EF4-FFF2-40B4-BE49-F238E27FC236}">
              <a16:creationId xmlns:a16="http://schemas.microsoft.com/office/drawing/2014/main" id="{00000000-0008-0000-0D00-0000C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8"/>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1" name="Diagramm 20">
          <a:extLst>
            <a:ext uri="{FF2B5EF4-FFF2-40B4-BE49-F238E27FC236}">
              <a16:creationId xmlns:a16="http://schemas.microsoft.com/office/drawing/2014/main" id="{00000000-0008-0000-0D00-0000C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9"/>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2" name="Diagramm 21">
          <a:extLst>
            <a:ext uri="{FF2B5EF4-FFF2-40B4-BE49-F238E27FC236}">
              <a16:creationId xmlns:a16="http://schemas.microsoft.com/office/drawing/2014/main" id="{00000000-0008-0000-0D00-0000C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0"/>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3" name="Diagramm 22">
          <a:extLst>
            <a:ext uri="{FF2B5EF4-FFF2-40B4-BE49-F238E27FC236}">
              <a16:creationId xmlns:a16="http://schemas.microsoft.com/office/drawing/2014/main" id="{00000000-0008-0000-0D00-0000C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1"/>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4" name="Diagramm 20">
          <a:extLst>
            <a:ext uri="{FF2B5EF4-FFF2-40B4-BE49-F238E27FC236}">
              <a16:creationId xmlns:a16="http://schemas.microsoft.com/office/drawing/2014/main" id="{00000000-0008-0000-0D00-0000C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2"/>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5" name="Diagramm 21">
          <a:extLst>
            <a:ext uri="{FF2B5EF4-FFF2-40B4-BE49-F238E27FC236}">
              <a16:creationId xmlns:a16="http://schemas.microsoft.com/office/drawing/2014/main" id="{00000000-0008-0000-0D00-0000C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3"/>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6" name="Diagramm 22">
          <a:extLst>
            <a:ext uri="{FF2B5EF4-FFF2-40B4-BE49-F238E27FC236}">
              <a16:creationId xmlns:a16="http://schemas.microsoft.com/office/drawing/2014/main" id="{00000000-0008-0000-0D00-0000C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4"/>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37" name="Diagramm 20">
          <a:extLst>
            <a:ext uri="{FF2B5EF4-FFF2-40B4-BE49-F238E27FC236}">
              <a16:creationId xmlns:a16="http://schemas.microsoft.com/office/drawing/2014/main" id="{00000000-0008-0000-0D00-0000C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5"/>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38" name="Diagramm 21">
          <a:extLst>
            <a:ext uri="{FF2B5EF4-FFF2-40B4-BE49-F238E27FC236}">
              <a16:creationId xmlns:a16="http://schemas.microsoft.com/office/drawing/2014/main" id="{00000000-0008-0000-0D00-0000C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6"/>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39" name="Diagramm 22">
          <a:extLst>
            <a:ext uri="{FF2B5EF4-FFF2-40B4-BE49-F238E27FC236}">
              <a16:creationId xmlns:a16="http://schemas.microsoft.com/office/drawing/2014/main" id="{00000000-0008-0000-0D00-0000C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7"/>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0" name="Diagramm 20">
          <a:extLst>
            <a:ext uri="{FF2B5EF4-FFF2-40B4-BE49-F238E27FC236}">
              <a16:creationId xmlns:a16="http://schemas.microsoft.com/office/drawing/2014/main" id="{00000000-0008-0000-0D00-0000C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8"/>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1" name="Diagramm 21">
          <a:extLst>
            <a:ext uri="{FF2B5EF4-FFF2-40B4-BE49-F238E27FC236}">
              <a16:creationId xmlns:a16="http://schemas.microsoft.com/office/drawing/2014/main" id="{00000000-0008-0000-0D00-0000C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9"/>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2" name="Diagramm 22">
          <a:extLst>
            <a:ext uri="{FF2B5EF4-FFF2-40B4-BE49-F238E27FC236}">
              <a16:creationId xmlns:a16="http://schemas.microsoft.com/office/drawing/2014/main" id="{00000000-0008-0000-0D00-0000C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0"/>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3" name="Diagramm 20">
          <a:extLst>
            <a:ext uri="{FF2B5EF4-FFF2-40B4-BE49-F238E27FC236}">
              <a16:creationId xmlns:a16="http://schemas.microsoft.com/office/drawing/2014/main" id="{00000000-0008-0000-0D00-0000C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1"/>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4" name="Diagramm 21">
          <a:extLst>
            <a:ext uri="{FF2B5EF4-FFF2-40B4-BE49-F238E27FC236}">
              <a16:creationId xmlns:a16="http://schemas.microsoft.com/office/drawing/2014/main" id="{00000000-0008-0000-0D00-0000D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2"/>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5" name="Diagramm 22">
          <a:extLst>
            <a:ext uri="{FF2B5EF4-FFF2-40B4-BE49-F238E27FC236}">
              <a16:creationId xmlns:a16="http://schemas.microsoft.com/office/drawing/2014/main" id="{00000000-0008-0000-0D00-0000D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3"/>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6" name="Diagramm 20">
          <a:extLst>
            <a:ext uri="{FF2B5EF4-FFF2-40B4-BE49-F238E27FC236}">
              <a16:creationId xmlns:a16="http://schemas.microsoft.com/office/drawing/2014/main" id="{00000000-0008-0000-0D00-0000D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4"/>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47" name="Diagramm 21">
          <a:extLst>
            <a:ext uri="{FF2B5EF4-FFF2-40B4-BE49-F238E27FC236}">
              <a16:creationId xmlns:a16="http://schemas.microsoft.com/office/drawing/2014/main" id="{00000000-0008-0000-0D00-0000D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5"/>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48" name="Diagramm 22">
          <a:extLst>
            <a:ext uri="{FF2B5EF4-FFF2-40B4-BE49-F238E27FC236}">
              <a16:creationId xmlns:a16="http://schemas.microsoft.com/office/drawing/2014/main" id="{00000000-0008-0000-0D00-0000D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6"/>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49" name="Diagramm 20">
          <a:extLst>
            <a:ext uri="{FF2B5EF4-FFF2-40B4-BE49-F238E27FC236}">
              <a16:creationId xmlns:a16="http://schemas.microsoft.com/office/drawing/2014/main" id="{00000000-0008-0000-0D00-0000D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7"/>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0" name="Diagramm 21">
          <a:extLst>
            <a:ext uri="{FF2B5EF4-FFF2-40B4-BE49-F238E27FC236}">
              <a16:creationId xmlns:a16="http://schemas.microsoft.com/office/drawing/2014/main" id="{00000000-0008-0000-0D00-0000D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8"/>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1" name="Diagramm 22">
          <a:extLst>
            <a:ext uri="{FF2B5EF4-FFF2-40B4-BE49-F238E27FC236}">
              <a16:creationId xmlns:a16="http://schemas.microsoft.com/office/drawing/2014/main" id="{00000000-0008-0000-0D00-0000D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9"/>
        </a:graphicData>
      </a:graphic>
    </xdr:graphicFrame>
    <xdr:clientData/>
  </xdr:twoCellAnchor>
  <xdr:twoCellAnchor>
    <xdr:from>
      <xdr:col>51</xdr:col>
      <xdr:colOff>0</xdr:colOff>
      <xdr:row>36</xdr:row>
      <xdr:rowOff>0</xdr:rowOff>
    </xdr:from>
    <xdr:to>
      <xdr:col>51</xdr:col>
      <xdr:colOff>0</xdr:colOff>
      <xdr:row>50</xdr:row>
      <xdr:rowOff>137160</xdr:rowOff>
    </xdr:to>
    <xdr:graphicFrame macro="">
      <xdr:nvGraphicFramePr>
        <xdr:cNvPr id="65800152" name="Diagramm 20">
          <a:extLst>
            <a:ext uri="{FF2B5EF4-FFF2-40B4-BE49-F238E27FC236}">
              <a16:creationId xmlns:a16="http://schemas.microsoft.com/office/drawing/2014/main" id="{00000000-0008-0000-0D00-0000D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0"/>
        </a:graphicData>
      </a:graphic>
    </xdr:graphicFrame>
    <xdr:clientData/>
  </xdr:twoCellAnchor>
  <xdr:twoCellAnchor>
    <xdr:from>
      <xdr:col>51</xdr:col>
      <xdr:colOff>0</xdr:colOff>
      <xdr:row>52</xdr:row>
      <xdr:rowOff>0</xdr:rowOff>
    </xdr:from>
    <xdr:to>
      <xdr:col>51</xdr:col>
      <xdr:colOff>0</xdr:colOff>
      <xdr:row>66</xdr:row>
      <xdr:rowOff>137160</xdr:rowOff>
    </xdr:to>
    <xdr:graphicFrame macro="">
      <xdr:nvGraphicFramePr>
        <xdr:cNvPr id="65800153" name="Diagramm 21">
          <a:extLst>
            <a:ext uri="{FF2B5EF4-FFF2-40B4-BE49-F238E27FC236}">
              <a16:creationId xmlns:a16="http://schemas.microsoft.com/office/drawing/2014/main" id="{00000000-0008-0000-0D00-0000D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1"/>
        </a:graphicData>
      </a:graphic>
    </xdr:graphicFrame>
    <xdr:clientData/>
  </xdr:twoCellAnchor>
  <xdr:twoCellAnchor>
    <xdr:from>
      <xdr:col>51</xdr:col>
      <xdr:colOff>0</xdr:colOff>
      <xdr:row>68</xdr:row>
      <xdr:rowOff>0</xdr:rowOff>
    </xdr:from>
    <xdr:to>
      <xdr:col>51</xdr:col>
      <xdr:colOff>0</xdr:colOff>
      <xdr:row>82</xdr:row>
      <xdr:rowOff>137160</xdr:rowOff>
    </xdr:to>
    <xdr:graphicFrame macro="">
      <xdr:nvGraphicFramePr>
        <xdr:cNvPr id="65800154" name="Diagramm 22">
          <a:extLst>
            <a:ext uri="{FF2B5EF4-FFF2-40B4-BE49-F238E27FC236}">
              <a16:creationId xmlns:a16="http://schemas.microsoft.com/office/drawing/2014/main" id="{00000000-0008-0000-0D00-0000D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2"/>
        </a:graphicData>
      </a:graphic>
    </xdr:graphicFrame>
    <xdr:clientData/>
  </xdr:twoCellAnchor>
  <xdr:twoCellAnchor>
    <xdr:from>
      <xdr:col>51</xdr:col>
      <xdr:colOff>0</xdr:colOff>
      <xdr:row>36</xdr:row>
      <xdr:rowOff>0</xdr:rowOff>
    </xdr:from>
    <xdr:to>
      <xdr:col>56</xdr:col>
      <xdr:colOff>640080</xdr:colOff>
      <xdr:row>50</xdr:row>
      <xdr:rowOff>137160</xdr:rowOff>
    </xdr:to>
    <xdr:graphicFrame macro="">
      <xdr:nvGraphicFramePr>
        <xdr:cNvPr id="65800155" name="Diagramm 20">
          <a:extLst>
            <a:ext uri="{FF2B5EF4-FFF2-40B4-BE49-F238E27FC236}">
              <a16:creationId xmlns:a16="http://schemas.microsoft.com/office/drawing/2014/main" id="{00000000-0008-0000-0D00-0000D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3"/>
        </a:graphicData>
      </a:graphic>
    </xdr:graphicFrame>
    <xdr:clientData/>
  </xdr:twoCellAnchor>
  <xdr:twoCellAnchor>
    <xdr:from>
      <xdr:col>51</xdr:col>
      <xdr:colOff>0</xdr:colOff>
      <xdr:row>52</xdr:row>
      <xdr:rowOff>0</xdr:rowOff>
    </xdr:from>
    <xdr:to>
      <xdr:col>56</xdr:col>
      <xdr:colOff>640080</xdr:colOff>
      <xdr:row>66</xdr:row>
      <xdr:rowOff>137160</xdr:rowOff>
    </xdr:to>
    <xdr:graphicFrame macro="">
      <xdr:nvGraphicFramePr>
        <xdr:cNvPr id="65800156" name="Diagramm 21">
          <a:extLst>
            <a:ext uri="{FF2B5EF4-FFF2-40B4-BE49-F238E27FC236}">
              <a16:creationId xmlns:a16="http://schemas.microsoft.com/office/drawing/2014/main" id="{00000000-0008-0000-0D00-0000D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4"/>
        </a:graphicData>
      </a:graphic>
    </xdr:graphicFrame>
    <xdr:clientData/>
  </xdr:twoCellAnchor>
  <xdr:twoCellAnchor>
    <xdr:from>
      <xdr:col>51</xdr:col>
      <xdr:colOff>7620</xdr:colOff>
      <xdr:row>68</xdr:row>
      <xdr:rowOff>0</xdr:rowOff>
    </xdr:from>
    <xdr:to>
      <xdr:col>56</xdr:col>
      <xdr:colOff>640080</xdr:colOff>
      <xdr:row>82</xdr:row>
      <xdr:rowOff>137160</xdr:rowOff>
    </xdr:to>
    <xdr:graphicFrame macro="">
      <xdr:nvGraphicFramePr>
        <xdr:cNvPr id="65800157" name="Diagramm 22">
          <a:extLst>
            <a:ext uri="{FF2B5EF4-FFF2-40B4-BE49-F238E27FC236}">
              <a16:creationId xmlns:a16="http://schemas.microsoft.com/office/drawing/2014/main" id="{00000000-0008-0000-0D00-0000D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5"/>
        </a:graphicData>
      </a:graphic>
    </xdr:graphicFrame>
    <xdr:clientData/>
  </xdr:twoCellAnchor>
  <xdr:twoCellAnchor>
    <xdr:from>
      <xdr:col>58</xdr:col>
      <xdr:colOff>0</xdr:colOff>
      <xdr:row>36</xdr:row>
      <xdr:rowOff>0</xdr:rowOff>
    </xdr:from>
    <xdr:to>
      <xdr:col>63</xdr:col>
      <xdr:colOff>640080</xdr:colOff>
      <xdr:row>50</xdr:row>
      <xdr:rowOff>137160</xdr:rowOff>
    </xdr:to>
    <xdr:graphicFrame macro="">
      <xdr:nvGraphicFramePr>
        <xdr:cNvPr id="65800158" name="Diagramm 20">
          <a:extLst>
            <a:ext uri="{FF2B5EF4-FFF2-40B4-BE49-F238E27FC236}">
              <a16:creationId xmlns:a16="http://schemas.microsoft.com/office/drawing/2014/main" id="{00000000-0008-0000-0D00-0000D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6"/>
        </a:graphicData>
      </a:graphic>
    </xdr:graphicFrame>
    <xdr:clientData/>
  </xdr:twoCellAnchor>
  <xdr:twoCellAnchor>
    <xdr:from>
      <xdr:col>58</xdr:col>
      <xdr:colOff>0</xdr:colOff>
      <xdr:row>52</xdr:row>
      <xdr:rowOff>0</xdr:rowOff>
    </xdr:from>
    <xdr:to>
      <xdr:col>63</xdr:col>
      <xdr:colOff>640080</xdr:colOff>
      <xdr:row>66</xdr:row>
      <xdr:rowOff>137160</xdr:rowOff>
    </xdr:to>
    <xdr:graphicFrame macro="">
      <xdr:nvGraphicFramePr>
        <xdr:cNvPr id="65800159" name="Diagramm 21">
          <a:extLst>
            <a:ext uri="{FF2B5EF4-FFF2-40B4-BE49-F238E27FC236}">
              <a16:creationId xmlns:a16="http://schemas.microsoft.com/office/drawing/2014/main" id="{00000000-0008-0000-0D00-0000D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7"/>
        </a:graphicData>
      </a:graphic>
    </xdr:graphicFrame>
    <xdr:clientData/>
  </xdr:twoCellAnchor>
  <xdr:twoCellAnchor>
    <xdr:from>
      <xdr:col>58</xdr:col>
      <xdr:colOff>7620</xdr:colOff>
      <xdr:row>68</xdr:row>
      <xdr:rowOff>0</xdr:rowOff>
    </xdr:from>
    <xdr:to>
      <xdr:col>63</xdr:col>
      <xdr:colOff>640080</xdr:colOff>
      <xdr:row>82</xdr:row>
      <xdr:rowOff>137160</xdr:rowOff>
    </xdr:to>
    <xdr:graphicFrame macro="">
      <xdr:nvGraphicFramePr>
        <xdr:cNvPr id="65800160" name="Diagramm 22">
          <a:extLst>
            <a:ext uri="{FF2B5EF4-FFF2-40B4-BE49-F238E27FC236}">
              <a16:creationId xmlns:a16="http://schemas.microsoft.com/office/drawing/2014/main" id="{00000000-0008-0000-0D00-0000E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8"/>
        </a:graphicData>
      </a:graphic>
    </xdr:graphicFrame>
    <xdr:clientData/>
  </xdr:twoCellAnchor>
  <xdr:twoCellAnchor>
    <xdr:from>
      <xdr:col>65</xdr:col>
      <xdr:colOff>0</xdr:colOff>
      <xdr:row>36</xdr:row>
      <xdr:rowOff>0</xdr:rowOff>
    </xdr:from>
    <xdr:to>
      <xdr:col>70</xdr:col>
      <xdr:colOff>640080</xdr:colOff>
      <xdr:row>50</xdr:row>
      <xdr:rowOff>137160</xdr:rowOff>
    </xdr:to>
    <xdr:graphicFrame macro="">
      <xdr:nvGraphicFramePr>
        <xdr:cNvPr id="65800161" name="Diagramm 20">
          <a:extLst>
            <a:ext uri="{FF2B5EF4-FFF2-40B4-BE49-F238E27FC236}">
              <a16:creationId xmlns:a16="http://schemas.microsoft.com/office/drawing/2014/main" id="{00000000-0008-0000-0D00-0000E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9"/>
        </a:graphicData>
      </a:graphic>
    </xdr:graphicFrame>
    <xdr:clientData/>
  </xdr:twoCellAnchor>
  <xdr:twoCellAnchor>
    <xdr:from>
      <xdr:col>65</xdr:col>
      <xdr:colOff>0</xdr:colOff>
      <xdr:row>52</xdr:row>
      <xdr:rowOff>0</xdr:rowOff>
    </xdr:from>
    <xdr:to>
      <xdr:col>70</xdr:col>
      <xdr:colOff>640080</xdr:colOff>
      <xdr:row>66</xdr:row>
      <xdr:rowOff>137160</xdr:rowOff>
    </xdr:to>
    <xdr:graphicFrame macro="">
      <xdr:nvGraphicFramePr>
        <xdr:cNvPr id="65800162" name="Diagramm 21">
          <a:extLst>
            <a:ext uri="{FF2B5EF4-FFF2-40B4-BE49-F238E27FC236}">
              <a16:creationId xmlns:a16="http://schemas.microsoft.com/office/drawing/2014/main" id="{00000000-0008-0000-0D00-0000E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0"/>
        </a:graphicData>
      </a:graphic>
    </xdr:graphicFrame>
    <xdr:clientData/>
  </xdr:twoCellAnchor>
  <xdr:twoCellAnchor>
    <xdr:from>
      <xdr:col>65</xdr:col>
      <xdr:colOff>7620</xdr:colOff>
      <xdr:row>68</xdr:row>
      <xdr:rowOff>0</xdr:rowOff>
    </xdr:from>
    <xdr:to>
      <xdr:col>70</xdr:col>
      <xdr:colOff>640080</xdr:colOff>
      <xdr:row>82</xdr:row>
      <xdr:rowOff>137160</xdr:rowOff>
    </xdr:to>
    <xdr:graphicFrame macro="">
      <xdr:nvGraphicFramePr>
        <xdr:cNvPr id="65800163" name="Diagramm 22">
          <a:extLst>
            <a:ext uri="{FF2B5EF4-FFF2-40B4-BE49-F238E27FC236}">
              <a16:creationId xmlns:a16="http://schemas.microsoft.com/office/drawing/2014/main" id="{00000000-0008-0000-0D00-0000E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1"/>
        </a:graphicData>
      </a:graphic>
    </xdr:graphicFrame>
    <xdr:clientData/>
  </xdr:twoCellAnchor>
  <xdr:twoCellAnchor>
    <xdr:from>
      <xdr:col>72</xdr:col>
      <xdr:colOff>0</xdr:colOff>
      <xdr:row>36</xdr:row>
      <xdr:rowOff>0</xdr:rowOff>
    </xdr:from>
    <xdr:to>
      <xdr:col>77</xdr:col>
      <xdr:colOff>640080</xdr:colOff>
      <xdr:row>50</xdr:row>
      <xdr:rowOff>137160</xdr:rowOff>
    </xdr:to>
    <xdr:graphicFrame macro="">
      <xdr:nvGraphicFramePr>
        <xdr:cNvPr id="65800164" name="Diagramm 20">
          <a:extLst>
            <a:ext uri="{FF2B5EF4-FFF2-40B4-BE49-F238E27FC236}">
              <a16:creationId xmlns:a16="http://schemas.microsoft.com/office/drawing/2014/main" id="{00000000-0008-0000-0D00-0000E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2"/>
        </a:graphicData>
      </a:graphic>
    </xdr:graphicFrame>
    <xdr:clientData/>
  </xdr:twoCellAnchor>
  <xdr:twoCellAnchor>
    <xdr:from>
      <xdr:col>72</xdr:col>
      <xdr:colOff>0</xdr:colOff>
      <xdr:row>52</xdr:row>
      <xdr:rowOff>0</xdr:rowOff>
    </xdr:from>
    <xdr:to>
      <xdr:col>77</xdr:col>
      <xdr:colOff>640080</xdr:colOff>
      <xdr:row>66</xdr:row>
      <xdr:rowOff>137160</xdr:rowOff>
    </xdr:to>
    <xdr:graphicFrame macro="">
      <xdr:nvGraphicFramePr>
        <xdr:cNvPr id="65800165" name="Diagramm 21">
          <a:extLst>
            <a:ext uri="{FF2B5EF4-FFF2-40B4-BE49-F238E27FC236}">
              <a16:creationId xmlns:a16="http://schemas.microsoft.com/office/drawing/2014/main" id="{00000000-0008-0000-0D00-0000E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3"/>
        </a:graphicData>
      </a:graphic>
    </xdr:graphicFrame>
    <xdr:clientData/>
  </xdr:twoCellAnchor>
  <xdr:twoCellAnchor>
    <xdr:from>
      <xdr:col>72</xdr:col>
      <xdr:colOff>7620</xdr:colOff>
      <xdr:row>68</xdr:row>
      <xdr:rowOff>0</xdr:rowOff>
    </xdr:from>
    <xdr:to>
      <xdr:col>77</xdr:col>
      <xdr:colOff>640080</xdr:colOff>
      <xdr:row>82</xdr:row>
      <xdr:rowOff>137160</xdr:rowOff>
    </xdr:to>
    <xdr:graphicFrame macro="">
      <xdr:nvGraphicFramePr>
        <xdr:cNvPr id="65800166" name="Diagramm 22">
          <a:extLst>
            <a:ext uri="{FF2B5EF4-FFF2-40B4-BE49-F238E27FC236}">
              <a16:creationId xmlns:a16="http://schemas.microsoft.com/office/drawing/2014/main" id="{00000000-0008-0000-0D00-0000E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4"/>
        </a:graphicData>
      </a:graphic>
    </xdr:graphicFrame>
    <xdr:clientData/>
  </xdr:twoCellAnchor>
  <xdr:twoCellAnchor>
    <xdr:from>
      <xdr:col>79</xdr:col>
      <xdr:colOff>0</xdr:colOff>
      <xdr:row>36</xdr:row>
      <xdr:rowOff>0</xdr:rowOff>
    </xdr:from>
    <xdr:to>
      <xdr:col>84</xdr:col>
      <xdr:colOff>640080</xdr:colOff>
      <xdr:row>50</xdr:row>
      <xdr:rowOff>137160</xdr:rowOff>
    </xdr:to>
    <xdr:graphicFrame macro="">
      <xdr:nvGraphicFramePr>
        <xdr:cNvPr id="65800167" name="Diagramm 20">
          <a:extLst>
            <a:ext uri="{FF2B5EF4-FFF2-40B4-BE49-F238E27FC236}">
              <a16:creationId xmlns:a16="http://schemas.microsoft.com/office/drawing/2014/main" id="{00000000-0008-0000-0D00-0000E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5"/>
        </a:graphicData>
      </a:graphic>
    </xdr:graphicFrame>
    <xdr:clientData/>
  </xdr:twoCellAnchor>
  <xdr:twoCellAnchor>
    <xdr:from>
      <xdr:col>79</xdr:col>
      <xdr:colOff>0</xdr:colOff>
      <xdr:row>52</xdr:row>
      <xdr:rowOff>0</xdr:rowOff>
    </xdr:from>
    <xdr:to>
      <xdr:col>84</xdr:col>
      <xdr:colOff>640080</xdr:colOff>
      <xdr:row>66</xdr:row>
      <xdr:rowOff>137160</xdr:rowOff>
    </xdr:to>
    <xdr:graphicFrame macro="">
      <xdr:nvGraphicFramePr>
        <xdr:cNvPr id="65800168" name="Diagramm 21">
          <a:extLst>
            <a:ext uri="{FF2B5EF4-FFF2-40B4-BE49-F238E27FC236}">
              <a16:creationId xmlns:a16="http://schemas.microsoft.com/office/drawing/2014/main" id="{00000000-0008-0000-0D00-0000E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6"/>
        </a:graphicData>
      </a:graphic>
    </xdr:graphicFrame>
    <xdr:clientData/>
  </xdr:twoCellAnchor>
  <xdr:twoCellAnchor>
    <xdr:from>
      <xdr:col>79</xdr:col>
      <xdr:colOff>7620</xdr:colOff>
      <xdr:row>68</xdr:row>
      <xdr:rowOff>0</xdr:rowOff>
    </xdr:from>
    <xdr:to>
      <xdr:col>84</xdr:col>
      <xdr:colOff>640080</xdr:colOff>
      <xdr:row>82</xdr:row>
      <xdr:rowOff>137160</xdr:rowOff>
    </xdr:to>
    <xdr:graphicFrame macro="">
      <xdr:nvGraphicFramePr>
        <xdr:cNvPr id="65800169" name="Diagramm 22">
          <a:extLst>
            <a:ext uri="{FF2B5EF4-FFF2-40B4-BE49-F238E27FC236}">
              <a16:creationId xmlns:a16="http://schemas.microsoft.com/office/drawing/2014/main" id="{00000000-0008-0000-0D00-0000E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7"/>
        </a:graphicData>
      </a:graphic>
    </xdr:graphicFrame>
    <xdr:clientData/>
  </xdr:twoCellAnchor>
  <xdr:twoCellAnchor>
    <xdr:from>
      <xdr:col>86</xdr:col>
      <xdr:colOff>0</xdr:colOff>
      <xdr:row>36</xdr:row>
      <xdr:rowOff>0</xdr:rowOff>
    </xdr:from>
    <xdr:to>
      <xdr:col>91</xdr:col>
      <xdr:colOff>640080</xdr:colOff>
      <xdr:row>50</xdr:row>
      <xdr:rowOff>137160</xdr:rowOff>
    </xdr:to>
    <xdr:graphicFrame macro="">
      <xdr:nvGraphicFramePr>
        <xdr:cNvPr id="65800170" name="Diagramm 20">
          <a:extLst>
            <a:ext uri="{FF2B5EF4-FFF2-40B4-BE49-F238E27FC236}">
              <a16:creationId xmlns:a16="http://schemas.microsoft.com/office/drawing/2014/main" id="{00000000-0008-0000-0D00-0000E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8"/>
        </a:graphicData>
      </a:graphic>
    </xdr:graphicFrame>
    <xdr:clientData/>
  </xdr:twoCellAnchor>
  <xdr:twoCellAnchor>
    <xdr:from>
      <xdr:col>86</xdr:col>
      <xdr:colOff>0</xdr:colOff>
      <xdr:row>52</xdr:row>
      <xdr:rowOff>0</xdr:rowOff>
    </xdr:from>
    <xdr:to>
      <xdr:col>91</xdr:col>
      <xdr:colOff>640080</xdr:colOff>
      <xdr:row>66</xdr:row>
      <xdr:rowOff>137160</xdr:rowOff>
    </xdr:to>
    <xdr:graphicFrame macro="">
      <xdr:nvGraphicFramePr>
        <xdr:cNvPr id="65800171" name="Diagramm 21">
          <a:extLst>
            <a:ext uri="{FF2B5EF4-FFF2-40B4-BE49-F238E27FC236}">
              <a16:creationId xmlns:a16="http://schemas.microsoft.com/office/drawing/2014/main" id="{00000000-0008-0000-0D00-0000E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9"/>
        </a:graphicData>
      </a:graphic>
    </xdr:graphicFrame>
    <xdr:clientData/>
  </xdr:twoCellAnchor>
  <xdr:twoCellAnchor>
    <xdr:from>
      <xdr:col>86</xdr:col>
      <xdr:colOff>7620</xdr:colOff>
      <xdr:row>68</xdr:row>
      <xdr:rowOff>0</xdr:rowOff>
    </xdr:from>
    <xdr:to>
      <xdr:col>91</xdr:col>
      <xdr:colOff>640080</xdr:colOff>
      <xdr:row>82</xdr:row>
      <xdr:rowOff>137160</xdr:rowOff>
    </xdr:to>
    <xdr:graphicFrame macro="">
      <xdr:nvGraphicFramePr>
        <xdr:cNvPr id="65800172" name="Diagramm 22">
          <a:extLst>
            <a:ext uri="{FF2B5EF4-FFF2-40B4-BE49-F238E27FC236}">
              <a16:creationId xmlns:a16="http://schemas.microsoft.com/office/drawing/2014/main" id="{00000000-0008-0000-0D00-0000E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0"/>
        </a:graphicData>
      </a:graphic>
    </xdr:graphicFrame>
    <xdr:clientData/>
  </xdr:twoCellAnchor>
  <xdr:twoCellAnchor>
    <xdr:from>
      <xdr:col>93</xdr:col>
      <xdr:colOff>0</xdr:colOff>
      <xdr:row>36</xdr:row>
      <xdr:rowOff>0</xdr:rowOff>
    </xdr:from>
    <xdr:to>
      <xdr:col>98</xdr:col>
      <xdr:colOff>640080</xdr:colOff>
      <xdr:row>50</xdr:row>
      <xdr:rowOff>137160</xdr:rowOff>
    </xdr:to>
    <xdr:graphicFrame macro="">
      <xdr:nvGraphicFramePr>
        <xdr:cNvPr id="65800173" name="Diagramm 20">
          <a:extLst>
            <a:ext uri="{FF2B5EF4-FFF2-40B4-BE49-F238E27FC236}">
              <a16:creationId xmlns:a16="http://schemas.microsoft.com/office/drawing/2014/main" id="{00000000-0008-0000-0D00-0000E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1"/>
        </a:graphicData>
      </a:graphic>
    </xdr:graphicFrame>
    <xdr:clientData/>
  </xdr:twoCellAnchor>
  <xdr:twoCellAnchor>
    <xdr:from>
      <xdr:col>93</xdr:col>
      <xdr:colOff>0</xdr:colOff>
      <xdr:row>52</xdr:row>
      <xdr:rowOff>0</xdr:rowOff>
    </xdr:from>
    <xdr:to>
      <xdr:col>98</xdr:col>
      <xdr:colOff>640080</xdr:colOff>
      <xdr:row>66</xdr:row>
      <xdr:rowOff>137160</xdr:rowOff>
    </xdr:to>
    <xdr:graphicFrame macro="">
      <xdr:nvGraphicFramePr>
        <xdr:cNvPr id="65800174" name="Diagramm 21">
          <a:extLst>
            <a:ext uri="{FF2B5EF4-FFF2-40B4-BE49-F238E27FC236}">
              <a16:creationId xmlns:a16="http://schemas.microsoft.com/office/drawing/2014/main" id="{00000000-0008-0000-0D00-0000E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2"/>
        </a:graphicData>
      </a:graphic>
    </xdr:graphicFrame>
    <xdr:clientData/>
  </xdr:twoCellAnchor>
  <xdr:twoCellAnchor>
    <xdr:from>
      <xdr:col>93</xdr:col>
      <xdr:colOff>7620</xdr:colOff>
      <xdr:row>68</xdr:row>
      <xdr:rowOff>0</xdr:rowOff>
    </xdr:from>
    <xdr:to>
      <xdr:col>98</xdr:col>
      <xdr:colOff>640080</xdr:colOff>
      <xdr:row>82</xdr:row>
      <xdr:rowOff>137160</xdr:rowOff>
    </xdr:to>
    <xdr:graphicFrame macro="">
      <xdr:nvGraphicFramePr>
        <xdr:cNvPr id="65800175" name="Diagramm 22">
          <a:extLst>
            <a:ext uri="{FF2B5EF4-FFF2-40B4-BE49-F238E27FC236}">
              <a16:creationId xmlns:a16="http://schemas.microsoft.com/office/drawing/2014/main" id="{00000000-0008-0000-0D00-0000E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3"/>
        </a:graphicData>
      </a:graphic>
    </xdr:graphicFrame>
    <xdr:clientData/>
  </xdr:twoCellAnchor>
  <xdr:twoCellAnchor>
    <xdr:from>
      <xdr:col>100</xdr:col>
      <xdr:colOff>0</xdr:colOff>
      <xdr:row>36</xdr:row>
      <xdr:rowOff>0</xdr:rowOff>
    </xdr:from>
    <xdr:to>
      <xdr:col>105</xdr:col>
      <xdr:colOff>640080</xdr:colOff>
      <xdr:row>50</xdr:row>
      <xdr:rowOff>137160</xdr:rowOff>
    </xdr:to>
    <xdr:graphicFrame macro="">
      <xdr:nvGraphicFramePr>
        <xdr:cNvPr id="65800176" name="Diagramm 20">
          <a:extLst>
            <a:ext uri="{FF2B5EF4-FFF2-40B4-BE49-F238E27FC236}">
              <a16:creationId xmlns:a16="http://schemas.microsoft.com/office/drawing/2014/main" id="{00000000-0008-0000-0D00-0000F0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4"/>
        </a:graphicData>
      </a:graphic>
    </xdr:graphicFrame>
    <xdr:clientData/>
  </xdr:twoCellAnchor>
  <xdr:twoCellAnchor>
    <xdr:from>
      <xdr:col>100</xdr:col>
      <xdr:colOff>0</xdr:colOff>
      <xdr:row>52</xdr:row>
      <xdr:rowOff>0</xdr:rowOff>
    </xdr:from>
    <xdr:to>
      <xdr:col>105</xdr:col>
      <xdr:colOff>640080</xdr:colOff>
      <xdr:row>66</xdr:row>
      <xdr:rowOff>137160</xdr:rowOff>
    </xdr:to>
    <xdr:graphicFrame macro="">
      <xdr:nvGraphicFramePr>
        <xdr:cNvPr id="65800177" name="Diagramm 21">
          <a:extLst>
            <a:ext uri="{FF2B5EF4-FFF2-40B4-BE49-F238E27FC236}">
              <a16:creationId xmlns:a16="http://schemas.microsoft.com/office/drawing/2014/main" id="{00000000-0008-0000-0D00-0000F1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5"/>
        </a:graphicData>
      </a:graphic>
    </xdr:graphicFrame>
    <xdr:clientData/>
  </xdr:twoCellAnchor>
  <xdr:twoCellAnchor>
    <xdr:from>
      <xdr:col>100</xdr:col>
      <xdr:colOff>7620</xdr:colOff>
      <xdr:row>68</xdr:row>
      <xdr:rowOff>0</xdr:rowOff>
    </xdr:from>
    <xdr:to>
      <xdr:col>105</xdr:col>
      <xdr:colOff>640080</xdr:colOff>
      <xdr:row>82</xdr:row>
      <xdr:rowOff>137160</xdr:rowOff>
    </xdr:to>
    <xdr:graphicFrame macro="">
      <xdr:nvGraphicFramePr>
        <xdr:cNvPr id="65800178" name="Diagramm 22">
          <a:extLst>
            <a:ext uri="{FF2B5EF4-FFF2-40B4-BE49-F238E27FC236}">
              <a16:creationId xmlns:a16="http://schemas.microsoft.com/office/drawing/2014/main" id="{00000000-0008-0000-0D00-0000F2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6"/>
        </a:graphicData>
      </a:graphic>
    </xdr:graphicFrame>
    <xdr:clientData/>
  </xdr:twoCellAnchor>
  <xdr:twoCellAnchor>
    <xdr:from>
      <xdr:col>107</xdr:col>
      <xdr:colOff>0</xdr:colOff>
      <xdr:row>36</xdr:row>
      <xdr:rowOff>0</xdr:rowOff>
    </xdr:from>
    <xdr:to>
      <xdr:col>112</xdr:col>
      <xdr:colOff>640080</xdr:colOff>
      <xdr:row>50</xdr:row>
      <xdr:rowOff>137160</xdr:rowOff>
    </xdr:to>
    <xdr:graphicFrame macro="">
      <xdr:nvGraphicFramePr>
        <xdr:cNvPr id="65800179" name="Diagramm 20">
          <a:extLst>
            <a:ext uri="{FF2B5EF4-FFF2-40B4-BE49-F238E27FC236}">
              <a16:creationId xmlns:a16="http://schemas.microsoft.com/office/drawing/2014/main" id="{00000000-0008-0000-0D00-0000F3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7"/>
        </a:graphicData>
      </a:graphic>
    </xdr:graphicFrame>
    <xdr:clientData/>
  </xdr:twoCellAnchor>
  <xdr:twoCellAnchor>
    <xdr:from>
      <xdr:col>107</xdr:col>
      <xdr:colOff>0</xdr:colOff>
      <xdr:row>52</xdr:row>
      <xdr:rowOff>0</xdr:rowOff>
    </xdr:from>
    <xdr:to>
      <xdr:col>112</xdr:col>
      <xdr:colOff>640080</xdr:colOff>
      <xdr:row>66</xdr:row>
      <xdr:rowOff>137160</xdr:rowOff>
    </xdr:to>
    <xdr:graphicFrame macro="">
      <xdr:nvGraphicFramePr>
        <xdr:cNvPr id="65800180" name="Diagramm 21">
          <a:extLst>
            <a:ext uri="{FF2B5EF4-FFF2-40B4-BE49-F238E27FC236}">
              <a16:creationId xmlns:a16="http://schemas.microsoft.com/office/drawing/2014/main" id="{00000000-0008-0000-0D00-0000F4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8"/>
        </a:graphicData>
      </a:graphic>
    </xdr:graphicFrame>
    <xdr:clientData/>
  </xdr:twoCellAnchor>
  <xdr:twoCellAnchor>
    <xdr:from>
      <xdr:col>107</xdr:col>
      <xdr:colOff>7620</xdr:colOff>
      <xdr:row>68</xdr:row>
      <xdr:rowOff>0</xdr:rowOff>
    </xdr:from>
    <xdr:to>
      <xdr:col>112</xdr:col>
      <xdr:colOff>640080</xdr:colOff>
      <xdr:row>82</xdr:row>
      <xdr:rowOff>137160</xdr:rowOff>
    </xdr:to>
    <xdr:graphicFrame macro="">
      <xdr:nvGraphicFramePr>
        <xdr:cNvPr id="65800181" name="Diagramm 22">
          <a:extLst>
            <a:ext uri="{FF2B5EF4-FFF2-40B4-BE49-F238E27FC236}">
              <a16:creationId xmlns:a16="http://schemas.microsoft.com/office/drawing/2014/main" id="{00000000-0008-0000-0D00-0000F5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9"/>
        </a:graphicData>
      </a:graphic>
    </xdr:graphicFrame>
    <xdr:clientData/>
  </xdr:twoCellAnchor>
  <xdr:twoCellAnchor>
    <xdr:from>
      <xdr:col>114</xdr:col>
      <xdr:colOff>0</xdr:colOff>
      <xdr:row>36</xdr:row>
      <xdr:rowOff>0</xdr:rowOff>
    </xdr:from>
    <xdr:to>
      <xdr:col>119</xdr:col>
      <xdr:colOff>640080</xdr:colOff>
      <xdr:row>50</xdr:row>
      <xdr:rowOff>137160</xdr:rowOff>
    </xdr:to>
    <xdr:graphicFrame macro="">
      <xdr:nvGraphicFramePr>
        <xdr:cNvPr id="65800182" name="Diagramm 20">
          <a:extLst>
            <a:ext uri="{FF2B5EF4-FFF2-40B4-BE49-F238E27FC236}">
              <a16:creationId xmlns:a16="http://schemas.microsoft.com/office/drawing/2014/main" id="{00000000-0008-0000-0D00-0000F6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0"/>
        </a:graphicData>
      </a:graphic>
    </xdr:graphicFrame>
    <xdr:clientData/>
  </xdr:twoCellAnchor>
  <xdr:twoCellAnchor>
    <xdr:from>
      <xdr:col>114</xdr:col>
      <xdr:colOff>0</xdr:colOff>
      <xdr:row>52</xdr:row>
      <xdr:rowOff>0</xdr:rowOff>
    </xdr:from>
    <xdr:to>
      <xdr:col>119</xdr:col>
      <xdr:colOff>640080</xdr:colOff>
      <xdr:row>66</xdr:row>
      <xdr:rowOff>137160</xdr:rowOff>
    </xdr:to>
    <xdr:graphicFrame macro="">
      <xdr:nvGraphicFramePr>
        <xdr:cNvPr id="65800183" name="Diagramm 21">
          <a:extLst>
            <a:ext uri="{FF2B5EF4-FFF2-40B4-BE49-F238E27FC236}">
              <a16:creationId xmlns:a16="http://schemas.microsoft.com/office/drawing/2014/main" id="{00000000-0008-0000-0D00-0000F7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1"/>
        </a:graphicData>
      </a:graphic>
    </xdr:graphicFrame>
    <xdr:clientData/>
  </xdr:twoCellAnchor>
  <xdr:twoCellAnchor>
    <xdr:from>
      <xdr:col>114</xdr:col>
      <xdr:colOff>7620</xdr:colOff>
      <xdr:row>68</xdr:row>
      <xdr:rowOff>0</xdr:rowOff>
    </xdr:from>
    <xdr:to>
      <xdr:col>119</xdr:col>
      <xdr:colOff>640080</xdr:colOff>
      <xdr:row>82</xdr:row>
      <xdr:rowOff>137160</xdr:rowOff>
    </xdr:to>
    <xdr:graphicFrame macro="">
      <xdr:nvGraphicFramePr>
        <xdr:cNvPr id="65800184" name="Diagramm 22">
          <a:extLst>
            <a:ext uri="{FF2B5EF4-FFF2-40B4-BE49-F238E27FC236}">
              <a16:creationId xmlns:a16="http://schemas.microsoft.com/office/drawing/2014/main" id="{00000000-0008-0000-0D00-0000F8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2"/>
        </a:graphicData>
      </a:graphic>
    </xdr:graphicFrame>
    <xdr:clientData/>
  </xdr:twoCellAnchor>
  <xdr:twoCellAnchor>
    <xdr:from>
      <xdr:col>121</xdr:col>
      <xdr:colOff>0</xdr:colOff>
      <xdr:row>36</xdr:row>
      <xdr:rowOff>0</xdr:rowOff>
    </xdr:from>
    <xdr:to>
      <xdr:col>126</xdr:col>
      <xdr:colOff>640080</xdr:colOff>
      <xdr:row>50</xdr:row>
      <xdr:rowOff>137160</xdr:rowOff>
    </xdr:to>
    <xdr:graphicFrame macro="">
      <xdr:nvGraphicFramePr>
        <xdr:cNvPr id="65800185" name="Diagramm 20">
          <a:extLst>
            <a:ext uri="{FF2B5EF4-FFF2-40B4-BE49-F238E27FC236}">
              <a16:creationId xmlns:a16="http://schemas.microsoft.com/office/drawing/2014/main" id="{00000000-0008-0000-0D00-0000F9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3"/>
        </a:graphicData>
      </a:graphic>
    </xdr:graphicFrame>
    <xdr:clientData/>
  </xdr:twoCellAnchor>
  <xdr:twoCellAnchor>
    <xdr:from>
      <xdr:col>121</xdr:col>
      <xdr:colOff>0</xdr:colOff>
      <xdr:row>52</xdr:row>
      <xdr:rowOff>0</xdr:rowOff>
    </xdr:from>
    <xdr:to>
      <xdr:col>126</xdr:col>
      <xdr:colOff>640080</xdr:colOff>
      <xdr:row>66</xdr:row>
      <xdr:rowOff>137160</xdr:rowOff>
    </xdr:to>
    <xdr:graphicFrame macro="">
      <xdr:nvGraphicFramePr>
        <xdr:cNvPr id="65800186" name="Diagramm 21">
          <a:extLst>
            <a:ext uri="{FF2B5EF4-FFF2-40B4-BE49-F238E27FC236}">
              <a16:creationId xmlns:a16="http://schemas.microsoft.com/office/drawing/2014/main" id="{00000000-0008-0000-0D00-0000FA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4"/>
        </a:graphicData>
      </a:graphic>
    </xdr:graphicFrame>
    <xdr:clientData/>
  </xdr:twoCellAnchor>
  <xdr:twoCellAnchor>
    <xdr:from>
      <xdr:col>121</xdr:col>
      <xdr:colOff>7620</xdr:colOff>
      <xdr:row>68</xdr:row>
      <xdr:rowOff>0</xdr:rowOff>
    </xdr:from>
    <xdr:to>
      <xdr:col>126</xdr:col>
      <xdr:colOff>640080</xdr:colOff>
      <xdr:row>82</xdr:row>
      <xdr:rowOff>137160</xdr:rowOff>
    </xdr:to>
    <xdr:graphicFrame macro="">
      <xdr:nvGraphicFramePr>
        <xdr:cNvPr id="65800187" name="Diagramm 22">
          <a:extLst>
            <a:ext uri="{FF2B5EF4-FFF2-40B4-BE49-F238E27FC236}">
              <a16:creationId xmlns:a16="http://schemas.microsoft.com/office/drawing/2014/main" id="{00000000-0008-0000-0D00-0000FB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5"/>
        </a:graphicData>
      </a:graphic>
    </xdr:graphicFrame>
    <xdr:clientData/>
  </xdr:twoCellAnchor>
  <xdr:twoCellAnchor>
    <xdr:from>
      <xdr:col>128</xdr:col>
      <xdr:colOff>0</xdr:colOff>
      <xdr:row>36</xdr:row>
      <xdr:rowOff>0</xdr:rowOff>
    </xdr:from>
    <xdr:to>
      <xdr:col>133</xdr:col>
      <xdr:colOff>640080</xdr:colOff>
      <xdr:row>50</xdr:row>
      <xdr:rowOff>137160</xdr:rowOff>
    </xdr:to>
    <xdr:graphicFrame macro="">
      <xdr:nvGraphicFramePr>
        <xdr:cNvPr id="65800188" name="Diagramm 20">
          <a:extLst>
            <a:ext uri="{FF2B5EF4-FFF2-40B4-BE49-F238E27FC236}">
              <a16:creationId xmlns:a16="http://schemas.microsoft.com/office/drawing/2014/main" id="{00000000-0008-0000-0D00-0000FC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6"/>
        </a:graphicData>
      </a:graphic>
    </xdr:graphicFrame>
    <xdr:clientData/>
  </xdr:twoCellAnchor>
  <xdr:twoCellAnchor>
    <xdr:from>
      <xdr:col>128</xdr:col>
      <xdr:colOff>0</xdr:colOff>
      <xdr:row>52</xdr:row>
      <xdr:rowOff>0</xdr:rowOff>
    </xdr:from>
    <xdr:to>
      <xdr:col>133</xdr:col>
      <xdr:colOff>640080</xdr:colOff>
      <xdr:row>66</xdr:row>
      <xdr:rowOff>137160</xdr:rowOff>
    </xdr:to>
    <xdr:graphicFrame macro="">
      <xdr:nvGraphicFramePr>
        <xdr:cNvPr id="65800189" name="Diagramm 21">
          <a:extLst>
            <a:ext uri="{FF2B5EF4-FFF2-40B4-BE49-F238E27FC236}">
              <a16:creationId xmlns:a16="http://schemas.microsoft.com/office/drawing/2014/main" id="{00000000-0008-0000-0D00-0000FD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7"/>
        </a:graphicData>
      </a:graphic>
    </xdr:graphicFrame>
    <xdr:clientData/>
  </xdr:twoCellAnchor>
  <xdr:twoCellAnchor>
    <xdr:from>
      <xdr:col>128</xdr:col>
      <xdr:colOff>7620</xdr:colOff>
      <xdr:row>68</xdr:row>
      <xdr:rowOff>0</xdr:rowOff>
    </xdr:from>
    <xdr:to>
      <xdr:col>133</xdr:col>
      <xdr:colOff>640080</xdr:colOff>
      <xdr:row>82</xdr:row>
      <xdr:rowOff>137160</xdr:rowOff>
    </xdr:to>
    <xdr:graphicFrame macro="">
      <xdr:nvGraphicFramePr>
        <xdr:cNvPr id="65800190" name="Diagramm 22">
          <a:extLst>
            <a:ext uri="{FF2B5EF4-FFF2-40B4-BE49-F238E27FC236}">
              <a16:creationId xmlns:a16="http://schemas.microsoft.com/office/drawing/2014/main" id="{00000000-0008-0000-0D00-0000FE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8"/>
        </a:graphicData>
      </a:graphic>
    </xdr:graphicFrame>
    <xdr:clientData/>
  </xdr:twoCellAnchor>
  <xdr:twoCellAnchor>
    <xdr:from>
      <xdr:col>135</xdr:col>
      <xdr:colOff>0</xdr:colOff>
      <xdr:row>36</xdr:row>
      <xdr:rowOff>0</xdr:rowOff>
    </xdr:from>
    <xdr:to>
      <xdr:col>140</xdr:col>
      <xdr:colOff>640080</xdr:colOff>
      <xdr:row>50</xdr:row>
      <xdr:rowOff>137160</xdr:rowOff>
    </xdr:to>
    <xdr:graphicFrame macro="">
      <xdr:nvGraphicFramePr>
        <xdr:cNvPr id="65800191" name="Diagramm 20">
          <a:extLst>
            <a:ext uri="{FF2B5EF4-FFF2-40B4-BE49-F238E27FC236}">
              <a16:creationId xmlns:a16="http://schemas.microsoft.com/office/drawing/2014/main" id="{00000000-0008-0000-0D00-0000FF07E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9"/>
        </a:graphicData>
      </a:graphic>
    </xdr:graphicFrame>
    <xdr:clientData/>
  </xdr:twoCellAnchor>
  <xdr:twoCellAnchor>
    <xdr:from>
      <xdr:col>135</xdr:col>
      <xdr:colOff>0</xdr:colOff>
      <xdr:row>52</xdr:row>
      <xdr:rowOff>0</xdr:rowOff>
    </xdr:from>
    <xdr:to>
      <xdr:col>140</xdr:col>
      <xdr:colOff>640080</xdr:colOff>
      <xdr:row>66</xdr:row>
      <xdr:rowOff>137160</xdr:rowOff>
    </xdr:to>
    <xdr:graphicFrame macro="">
      <xdr:nvGraphicFramePr>
        <xdr:cNvPr id="66832384" name="Diagramm 21">
          <a:extLst>
            <a:ext uri="{FF2B5EF4-FFF2-40B4-BE49-F238E27FC236}">
              <a16:creationId xmlns:a16="http://schemas.microsoft.com/office/drawing/2014/main" id="{00000000-0008-0000-0D00-000000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0"/>
        </a:graphicData>
      </a:graphic>
    </xdr:graphicFrame>
    <xdr:clientData/>
  </xdr:twoCellAnchor>
  <xdr:twoCellAnchor>
    <xdr:from>
      <xdr:col>135</xdr:col>
      <xdr:colOff>7620</xdr:colOff>
      <xdr:row>68</xdr:row>
      <xdr:rowOff>0</xdr:rowOff>
    </xdr:from>
    <xdr:to>
      <xdr:col>140</xdr:col>
      <xdr:colOff>640080</xdr:colOff>
      <xdr:row>82</xdr:row>
      <xdr:rowOff>137160</xdr:rowOff>
    </xdr:to>
    <xdr:graphicFrame macro="">
      <xdr:nvGraphicFramePr>
        <xdr:cNvPr id="66832385" name="Diagramm 22">
          <a:extLst>
            <a:ext uri="{FF2B5EF4-FFF2-40B4-BE49-F238E27FC236}">
              <a16:creationId xmlns:a16="http://schemas.microsoft.com/office/drawing/2014/main" id="{00000000-0008-0000-0D00-000001C8FB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10</v>
    <v>10</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image" Target="../media/image3.emf"/><Relationship Id="rId5" Type="http://schemas.openxmlformats.org/officeDocument/2006/relationships/control" Target="../activeX/activeX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image" Target="../media/image5.emf"/><Relationship Id="rId5" Type="http://schemas.openxmlformats.org/officeDocument/2006/relationships/control" Target="../activeX/activeX5.xml"/><Relationship Id="rId4" Type="http://schemas.openxmlformats.org/officeDocument/2006/relationships/vmlDrawing" Target="../drawings/vmlDrawing6.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image" Target="../media/image3.emf"/><Relationship Id="rId5" Type="http://schemas.openxmlformats.org/officeDocument/2006/relationships/control" Target="../activeX/activeX6.xml"/><Relationship Id="rId4" Type="http://schemas.openxmlformats.org/officeDocument/2006/relationships/vmlDrawing" Target="../drawings/vmlDrawing8.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image" Target="../media/image6.emf"/><Relationship Id="rId5" Type="http://schemas.openxmlformats.org/officeDocument/2006/relationships/control" Target="../activeX/activeX7.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image" Target="../media/image6.emf"/><Relationship Id="rId5" Type="http://schemas.openxmlformats.org/officeDocument/2006/relationships/control" Target="../activeX/activeX8.xml"/><Relationship Id="rId4" Type="http://schemas.openxmlformats.org/officeDocument/2006/relationships/vmlDrawing" Target="../drawings/vmlDrawing12.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image" Target="../media/image3.emf"/><Relationship Id="rId5" Type="http://schemas.openxmlformats.org/officeDocument/2006/relationships/control" Target="../activeX/activeX9.xml"/><Relationship Id="rId4" Type="http://schemas.openxmlformats.org/officeDocument/2006/relationships/vmlDrawing" Target="../drawings/vmlDrawing1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8.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image" Target="../media/image6.emf"/><Relationship Id="rId5" Type="http://schemas.openxmlformats.org/officeDocument/2006/relationships/control" Target="../activeX/activeX10.xml"/><Relationship Id="rId4" Type="http://schemas.openxmlformats.org/officeDocument/2006/relationships/vmlDrawing" Target="../drawings/vmlDrawing1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image" Target="../media/image6.emf"/><Relationship Id="rId5" Type="http://schemas.openxmlformats.org/officeDocument/2006/relationships/control" Target="../activeX/activeX11.xml"/><Relationship Id="rId4" Type="http://schemas.openxmlformats.org/officeDocument/2006/relationships/vmlDrawing" Target="../drawings/vmlDrawing18.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0.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6.emf"/><Relationship Id="rId5" Type="http://schemas.openxmlformats.org/officeDocument/2006/relationships/control" Target="../activeX/activeX12.xml"/><Relationship Id="rId4" Type="http://schemas.openxmlformats.org/officeDocument/2006/relationships/vmlDrawing" Target="../drawings/vmlDrawing20.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11.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image" Target="../media/image6.emf"/><Relationship Id="rId5" Type="http://schemas.openxmlformats.org/officeDocument/2006/relationships/control" Target="../activeX/activeX13.xml"/><Relationship Id="rId4" Type="http://schemas.openxmlformats.org/officeDocument/2006/relationships/vmlDrawing" Target="../drawings/vmlDrawing22.v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4"/>
  <dimension ref="A1:H15"/>
  <sheetViews>
    <sheetView workbookViewId="0">
      <selection activeCell="C21" sqref="C21"/>
    </sheetView>
  </sheetViews>
  <sheetFormatPr defaultColWidth="11.44140625" defaultRowHeight="13.2"/>
  <cols>
    <col min="1" max="2" width="5.6640625" style="52" customWidth="1"/>
    <col min="3" max="3" width="75.6640625" style="52" customWidth="1"/>
    <col min="4" max="16384" width="11.44140625" style="52"/>
  </cols>
  <sheetData>
    <row r="1" spans="1:8" s="530" customFormat="1" ht="39.9" customHeight="1">
      <c r="A1" s="541" t="s">
        <v>0</v>
      </c>
      <c r="B1" s="541"/>
      <c r="C1" s="541"/>
      <c r="D1" s="541"/>
      <c r="E1" s="541"/>
      <c r="F1" s="541"/>
      <c r="G1" s="541"/>
      <c r="H1" s="541"/>
    </row>
    <row r="2" spans="1:8" ht="8.1" customHeight="1"/>
    <row r="3" spans="1:8" ht="15.6">
      <c r="A3" s="542" t="s">
        <v>1</v>
      </c>
      <c r="B3" s="542"/>
      <c r="C3" s="542"/>
      <c r="D3" s="542"/>
      <c r="E3" s="542"/>
      <c r="F3" s="542"/>
      <c r="G3" s="542"/>
      <c r="H3" s="542"/>
    </row>
    <row r="4" spans="1:8" ht="8.1" customHeight="1"/>
    <row r="5" spans="1:8" ht="39.75" customHeight="1">
      <c r="B5" s="540" t="s">
        <v>2</v>
      </c>
      <c r="C5" s="540"/>
      <c r="D5" s="540"/>
      <c r="E5" s="540"/>
      <c r="F5" s="540"/>
      <c r="G5" s="540"/>
      <c r="H5" s="540"/>
    </row>
    <row r="6" spans="1:8" ht="8.1" customHeight="1"/>
    <row r="7" spans="1:8">
      <c r="B7" s="543" t="s">
        <v>3</v>
      </c>
      <c r="C7" s="543"/>
      <c r="D7" s="543"/>
      <c r="E7" s="543"/>
      <c r="F7" s="543"/>
      <c r="G7" s="543"/>
      <c r="H7" s="543"/>
    </row>
    <row r="8" spans="1:8" ht="8.1" customHeight="1"/>
    <row r="9" spans="1:8" ht="49.5" customHeight="1">
      <c r="B9" s="531"/>
      <c r="C9" s="540" t="s">
        <v>4</v>
      </c>
      <c r="D9" s="540"/>
      <c r="E9" s="540"/>
      <c r="F9" s="540"/>
      <c r="G9" s="540"/>
      <c r="H9" s="540"/>
    </row>
    <row r="10" spans="1:8">
      <c r="B10" s="531"/>
      <c r="C10" s="531"/>
      <c r="D10" s="531"/>
      <c r="E10" s="531"/>
      <c r="F10" s="531"/>
      <c r="G10" s="531"/>
      <c r="H10" s="531"/>
    </row>
    <row r="11" spans="1:8">
      <c r="B11" s="531"/>
      <c r="C11" s="531"/>
      <c r="D11" s="531"/>
      <c r="E11" s="531"/>
      <c r="F11" s="531"/>
      <c r="G11" s="531"/>
      <c r="H11" s="531"/>
    </row>
    <row r="12" spans="1:8">
      <c r="B12" s="531"/>
      <c r="C12" s="531"/>
      <c r="D12" s="531"/>
      <c r="E12" s="531"/>
      <c r="F12" s="531"/>
      <c r="G12" s="531"/>
      <c r="H12" s="531"/>
    </row>
    <row r="13" spans="1:8">
      <c r="B13" s="531"/>
      <c r="C13" s="531"/>
      <c r="D13" s="531"/>
      <c r="E13" s="531"/>
      <c r="F13" s="531"/>
      <c r="G13" s="531"/>
      <c r="H13" s="531"/>
    </row>
    <row r="14" spans="1:8">
      <c r="B14" s="531"/>
      <c r="C14" s="531"/>
      <c r="D14" s="531"/>
      <c r="E14" s="531"/>
      <c r="F14" s="531"/>
      <c r="G14" s="531"/>
      <c r="H14" s="531"/>
    </row>
    <row r="15" spans="1:8">
      <c r="B15" s="531"/>
      <c r="C15" s="531"/>
      <c r="D15" s="531"/>
      <c r="E15" s="531"/>
      <c r="F15" s="531"/>
      <c r="G15" s="531"/>
      <c r="H15" s="531"/>
    </row>
  </sheetData>
  <mergeCells count="5">
    <mergeCell ref="C9:H9"/>
    <mergeCell ref="A1:H1"/>
    <mergeCell ref="A3:H3"/>
    <mergeCell ref="B5:H5"/>
    <mergeCell ref="B7:H7"/>
  </mergeCells>
  <phoneticPr fontId="62"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tabColor rgb="FFC00000"/>
  </sheetPr>
  <dimension ref="B1:CN511"/>
  <sheetViews>
    <sheetView showGridLines="0" zoomScaleSheetLayoutView="100" workbookViewId="0">
      <pane ySplit="2" topLeftCell="A37" activePane="bottomLeft" state="frozen"/>
      <selection pane="bottomLeft" activeCell="E13" sqref="E13:F13"/>
    </sheetView>
  </sheetViews>
  <sheetFormatPr defaultColWidth="11.44140625" defaultRowHeight="15.6"/>
  <cols>
    <col min="1" max="1" width="5.6640625" style="84" customWidth="1"/>
    <col min="2" max="2" width="12.6640625" style="84" customWidth="1"/>
    <col min="3" max="3" width="6.6640625" style="85" customWidth="1"/>
    <col min="4" max="6" width="7.6640625" style="84" customWidth="1"/>
    <col min="7" max="15" width="7.6640625" style="85" customWidth="1"/>
    <col min="16" max="18" width="7.6640625" style="84" customWidth="1"/>
    <col min="19" max="29" width="7.6640625" style="85" customWidth="1"/>
    <col min="30" max="30" width="12.6640625" style="86" customWidth="1"/>
    <col min="31" max="31" width="4.6640625" style="86" customWidth="1"/>
    <col min="32" max="41" width="8.33203125" style="86" hidden="1" customWidth="1"/>
    <col min="42" max="42" width="8.6640625" style="86" customWidth="1"/>
    <col min="43" max="43" width="4.6640625" style="86" customWidth="1"/>
    <col min="44" max="53" width="8.33203125" style="86" hidden="1" customWidth="1"/>
    <col min="54" max="54" width="8.6640625" style="86" customWidth="1"/>
    <col min="55" max="55" width="4.6640625" style="86" customWidth="1"/>
    <col min="56" max="56" width="8.6640625" style="86" customWidth="1"/>
    <col min="57" max="57" width="5.6640625" style="84" customWidth="1"/>
    <col min="58" max="58" width="12.6640625" style="84" customWidth="1"/>
    <col min="59" max="61" width="6.6640625" style="105" customWidth="1"/>
    <col min="62" max="85" width="6.6640625" style="84" customWidth="1"/>
    <col min="86" max="88" width="6.6640625" style="85" customWidth="1"/>
    <col min="89" max="92" width="7.6640625" style="85" customWidth="1"/>
    <col min="93" max="95" width="7.6640625" style="84" customWidth="1"/>
    <col min="96" max="16384" width="11.44140625" style="84"/>
  </cols>
  <sheetData>
    <row r="1" spans="2:92" ht="20.100000000000001" customHeight="1">
      <c r="B1" s="188"/>
      <c r="AF1" s="87" t="str">
        <f t="shared" ref="AF1:AO1" ca="1" si="0">INDIRECT(ADDRESS(COLUMN()-COLUMN($AE10)+ROW($D128),4,,,))</f>
        <v/>
      </c>
      <c r="AG1" s="87" t="str">
        <f t="shared" ca="1" si="0"/>
        <v/>
      </c>
      <c r="AH1" s="87" t="str">
        <f t="shared" ca="1" si="0"/>
        <v/>
      </c>
      <c r="AI1" s="87" t="str">
        <f t="shared" ca="1" si="0"/>
        <v/>
      </c>
      <c r="AJ1" s="87" t="str">
        <f t="shared" ca="1" si="0"/>
        <v/>
      </c>
      <c r="AK1" s="87" t="str">
        <f t="shared" ca="1" si="0"/>
        <v/>
      </c>
      <c r="AL1" s="87" t="str">
        <f t="shared" ca="1" si="0"/>
        <v/>
      </c>
      <c r="AM1" s="87" t="str">
        <f t="shared" ca="1" si="0"/>
        <v/>
      </c>
      <c r="AN1" s="87" t="str">
        <f t="shared" ca="1" si="0"/>
        <v/>
      </c>
      <c r="AO1" s="87" t="str">
        <f t="shared" ca="1" si="0"/>
        <v/>
      </c>
      <c r="AR1" s="87" t="str">
        <f ca="1">AF1</f>
        <v/>
      </c>
      <c r="AS1" s="87" t="str">
        <f t="shared" ref="AS1:BA1" ca="1" si="1">AG1</f>
        <v/>
      </c>
      <c r="AT1" s="87" t="str">
        <f t="shared" ca="1" si="1"/>
        <v/>
      </c>
      <c r="AU1" s="87" t="str">
        <f t="shared" ca="1" si="1"/>
        <v/>
      </c>
      <c r="AV1" s="87" t="str">
        <f t="shared" ca="1" si="1"/>
        <v/>
      </c>
      <c r="AW1" s="87" t="str">
        <f t="shared" ca="1" si="1"/>
        <v/>
      </c>
      <c r="AX1" s="87" t="str">
        <f t="shared" ca="1" si="1"/>
        <v/>
      </c>
      <c r="AY1" s="87" t="str">
        <f t="shared" ca="1" si="1"/>
        <v/>
      </c>
      <c r="AZ1" s="87" t="str">
        <f t="shared" ca="1" si="1"/>
        <v/>
      </c>
      <c r="BA1" s="87" t="str">
        <f t="shared" ca="1" si="1"/>
        <v/>
      </c>
      <c r="BG1" s="558" t="str">
        <f ca="1">AF1</f>
        <v/>
      </c>
      <c r="BH1" s="558"/>
      <c r="BI1" s="558"/>
      <c r="BJ1" s="547" t="str">
        <f ca="1">AG1</f>
        <v/>
      </c>
      <c r="BK1" s="548"/>
      <c r="BL1" s="548"/>
      <c r="BM1" s="547" t="str">
        <f ca="1">AH1</f>
        <v/>
      </c>
      <c r="BN1" s="548"/>
      <c r="BO1" s="548"/>
      <c r="BP1" s="547" t="str">
        <f ca="1">AI1</f>
        <v/>
      </c>
      <c r="BQ1" s="548"/>
      <c r="BR1" s="548"/>
      <c r="BS1" s="547" t="str">
        <f ca="1">AJ1</f>
        <v/>
      </c>
      <c r="BT1" s="548"/>
      <c r="BU1" s="548"/>
      <c r="BV1" s="547" t="str">
        <f ca="1">AK1</f>
        <v/>
      </c>
      <c r="BW1" s="548"/>
      <c r="BX1" s="548"/>
      <c r="BY1" s="547" t="str">
        <f ca="1">AL1</f>
        <v/>
      </c>
      <c r="BZ1" s="548"/>
      <c r="CA1" s="548"/>
      <c r="CB1" s="547" t="str">
        <f ca="1">AM1</f>
        <v/>
      </c>
      <c r="CC1" s="548"/>
      <c r="CD1" s="548"/>
      <c r="CE1" s="547" t="str">
        <f ca="1">AN1</f>
        <v/>
      </c>
      <c r="CF1" s="548"/>
      <c r="CG1" s="548"/>
      <c r="CH1" s="547" t="str">
        <f ca="1">AO1</f>
        <v/>
      </c>
      <c r="CI1" s="548"/>
      <c r="CJ1" s="548"/>
      <c r="CK1" s="88"/>
      <c r="CL1" s="88"/>
      <c r="CM1" s="88"/>
      <c r="CN1" s="88"/>
    </row>
    <row r="2" spans="2:92" ht="20.100000000000001" customHeight="1">
      <c r="AF2" s="86" t="str">
        <f ca="1">IF(COUNT(AF12:AF36)&gt;0,"x","")</f>
        <v/>
      </c>
      <c r="AG2" s="86" t="str">
        <f t="shared" ref="AG2:AO2" ca="1" si="2">IF(COUNT(AG12:AG36)&gt;0,"x","")</f>
        <v/>
      </c>
      <c r="AH2" s="86" t="str">
        <f t="shared" ca="1" si="2"/>
        <v/>
      </c>
      <c r="AI2" s="86" t="str">
        <f t="shared" ca="1" si="2"/>
        <v/>
      </c>
      <c r="AJ2" s="86" t="str">
        <f t="shared" ca="1" si="2"/>
        <v/>
      </c>
      <c r="AK2" s="86" t="str">
        <f t="shared" ca="1" si="2"/>
        <v/>
      </c>
      <c r="AL2" s="86" t="str">
        <f t="shared" ca="1" si="2"/>
        <v/>
      </c>
      <c r="AM2" s="86" t="str">
        <f t="shared" ca="1" si="2"/>
        <v/>
      </c>
      <c r="AN2" s="86" t="str">
        <f t="shared" ca="1" si="2"/>
        <v/>
      </c>
      <c r="AO2" s="86" t="str">
        <f t="shared" ca="1" si="2"/>
        <v/>
      </c>
      <c r="AR2" s="86" t="str">
        <f ca="1">IF(COUNT(AR12:AR36)&gt;0,"x","")</f>
        <v/>
      </c>
      <c r="AS2" s="86" t="str">
        <f t="shared" ref="AS2:BA2" ca="1" si="3">IF(COUNT(AS12:AS36)&gt;0,"x","")</f>
        <v/>
      </c>
      <c r="AT2" s="86" t="str">
        <f t="shared" ca="1" si="3"/>
        <v/>
      </c>
      <c r="AU2" s="86" t="str">
        <f t="shared" ca="1" si="3"/>
        <v/>
      </c>
      <c r="AV2" s="86" t="str">
        <f t="shared" ca="1" si="3"/>
        <v/>
      </c>
      <c r="AW2" s="86" t="str">
        <f t="shared" ca="1" si="3"/>
        <v/>
      </c>
      <c r="AX2" s="86" t="str">
        <f t="shared" ca="1" si="3"/>
        <v/>
      </c>
      <c r="AY2" s="86" t="str">
        <f t="shared" ca="1" si="3"/>
        <v/>
      </c>
      <c r="AZ2" s="86" t="str">
        <f t="shared" ca="1" si="3"/>
        <v/>
      </c>
      <c r="BA2" s="86" t="str">
        <f t="shared" ca="1" si="3"/>
        <v/>
      </c>
      <c r="BG2" s="89" t="str">
        <f ca="1">IF(COUNT(BG12:BG36)&gt;0,"x","")</f>
        <v/>
      </c>
      <c r="BH2" s="89" t="str">
        <f t="shared" ref="BH2:CJ2" ca="1" si="4">IF(COUNT(BH12:BH36)&gt;0,"x","")</f>
        <v/>
      </c>
      <c r="BI2" s="89" t="str">
        <f t="shared" ca="1" si="4"/>
        <v/>
      </c>
      <c r="BJ2" s="86" t="str">
        <f t="shared" ca="1" si="4"/>
        <v/>
      </c>
      <c r="BK2" s="86" t="str">
        <f t="shared" ca="1" si="4"/>
        <v/>
      </c>
      <c r="BL2" s="86" t="str">
        <f t="shared" ca="1" si="4"/>
        <v/>
      </c>
      <c r="BM2" s="86" t="str">
        <f t="shared" ca="1" si="4"/>
        <v/>
      </c>
      <c r="BN2" s="86" t="str">
        <f t="shared" ca="1" si="4"/>
        <v/>
      </c>
      <c r="BO2" s="86" t="str">
        <f t="shared" ca="1" si="4"/>
        <v/>
      </c>
      <c r="BP2" s="86" t="str">
        <f t="shared" ca="1" si="4"/>
        <v/>
      </c>
      <c r="BQ2" s="86" t="str">
        <f t="shared" ca="1" si="4"/>
        <v/>
      </c>
      <c r="BR2" s="86" t="str">
        <f t="shared" ca="1" si="4"/>
        <v/>
      </c>
      <c r="BS2" s="86" t="str">
        <f t="shared" ca="1" si="4"/>
        <v/>
      </c>
      <c r="BT2" s="86" t="str">
        <f t="shared" ca="1" si="4"/>
        <v/>
      </c>
      <c r="BU2" s="86" t="str">
        <f t="shared" ca="1" si="4"/>
        <v/>
      </c>
      <c r="BV2" s="86" t="str">
        <f t="shared" ca="1" si="4"/>
        <v/>
      </c>
      <c r="BW2" s="86" t="str">
        <f t="shared" ca="1" si="4"/>
        <v/>
      </c>
      <c r="BX2" s="86" t="str">
        <f t="shared" ca="1" si="4"/>
        <v/>
      </c>
      <c r="BY2" s="86" t="str">
        <f t="shared" ca="1" si="4"/>
        <v/>
      </c>
      <c r="BZ2" s="86" t="str">
        <f t="shared" ca="1" si="4"/>
        <v/>
      </c>
      <c r="CA2" s="86" t="str">
        <f t="shared" ca="1" si="4"/>
        <v/>
      </c>
      <c r="CB2" s="86" t="str">
        <f t="shared" ca="1" si="4"/>
        <v/>
      </c>
      <c r="CC2" s="86" t="str">
        <f t="shared" ca="1" si="4"/>
        <v/>
      </c>
      <c r="CD2" s="86" t="str">
        <f t="shared" ca="1" si="4"/>
        <v/>
      </c>
      <c r="CE2" s="86" t="str">
        <f t="shared" ca="1" si="4"/>
        <v/>
      </c>
      <c r="CF2" s="86" t="str">
        <f t="shared" ca="1" si="4"/>
        <v/>
      </c>
      <c r="CG2" s="86" t="str">
        <f t="shared" ca="1" si="4"/>
        <v/>
      </c>
      <c r="CH2" s="86" t="str">
        <f t="shared" ca="1" si="4"/>
        <v/>
      </c>
      <c r="CI2" s="86" t="str">
        <f t="shared" ca="1" si="4"/>
        <v/>
      </c>
      <c r="CJ2" s="86" t="str">
        <f t="shared" ca="1" si="4"/>
        <v/>
      </c>
      <c r="CK2" s="86"/>
      <c r="CL2" s="86"/>
      <c r="CM2" s="86"/>
      <c r="CN2" s="86"/>
    </row>
    <row r="3" spans="2:92" ht="18.899999999999999" customHeight="1" thickBot="1">
      <c r="B3" s="221"/>
      <c r="C3" s="222"/>
      <c r="D3" s="223"/>
      <c r="E3" s="223"/>
      <c r="F3" s="223"/>
      <c r="G3" s="223"/>
      <c r="H3" s="223"/>
      <c r="I3" s="223"/>
      <c r="J3" s="223"/>
      <c r="K3" s="223"/>
      <c r="L3" s="223"/>
      <c r="M3" s="223"/>
      <c r="N3" s="223"/>
      <c r="O3" s="222"/>
      <c r="P3" s="223"/>
      <c r="Q3" s="223"/>
      <c r="R3" s="223"/>
      <c r="S3" s="223"/>
      <c r="T3" s="223"/>
      <c r="U3" s="223"/>
      <c r="V3" s="223"/>
      <c r="W3" s="223"/>
      <c r="X3" s="223"/>
      <c r="Y3" s="223"/>
      <c r="Z3" s="223"/>
      <c r="AA3" s="605" t="s">
        <v>5</v>
      </c>
      <c r="AB3" s="605"/>
      <c r="AC3" s="93"/>
      <c r="AD3" s="90"/>
      <c r="AE3" s="91"/>
      <c r="AF3" s="92"/>
      <c r="AG3" s="92"/>
      <c r="AH3" s="92"/>
      <c r="AI3" s="92"/>
      <c r="AJ3" s="92"/>
      <c r="AK3" s="92"/>
      <c r="AL3" s="92"/>
      <c r="AM3" s="92"/>
      <c r="AN3" s="92"/>
      <c r="AO3" s="92"/>
      <c r="AP3" s="92"/>
      <c r="AQ3" s="91"/>
      <c r="AR3" s="92"/>
      <c r="AS3" s="92"/>
      <c r="AT3" s="92"/>
      <c r="AU3" s="92"/>
      <c r="AV3" s="92"/>
      <c r="AW3" s="92"/>
      <c r="AX3" s="92"/>
      <c r="AY3" s="92"/>
      <c r="AZ3" s="92"/>
      <c r="BA3" s="92"/>
      <c r="BB3" s="92"/>
      <c r="BC3" s="91"/>
      <c r="BD3" s="93"/>
      <c r="BG3" s="84"/>
      <c r="BH3" s="84"/>
      <c r="BI3" s="84"/>
      <c r="CH3" s="84"/>
      <c r="CI3" s="84"/>
      <c r="CJ3" s="84"/>
      <c r="CK3" s="84"/>
      <c r="CL3" s="84"/>
    </row>
    <row r="4" spans="2:92" ht="30" customHeight="1" thickBot="1">
      <c r="B4" s="576" t="s">
        <v>6</v>
      </c>
      <c r="C4" s="576"/>
      <c r="D4" s="576"/>
      <c r="E4" s="576"/>
      <c r="F4" s="576"/>
      <c r="G4" s="576"/>
      <c r="H4" s="576"/>
      <c r="I4" s="576"/>
      <c r="J4" s="576"/>
      <c r="K4" s="576"/>
      <c r="L4" s="576"/>
      <c r="M4" s="576"/>
      <c r="N4" s="576"/>
      <c r="O4" s="576"/>
      <c r="P4" s="576"/>
      <c r="Q4" s="576"/>
      <c r="R4" s="576"/>
      <c r="S4" s="576"/>
      <c r="T4" s="576"/>
      <c r="U4" s="576"/>
      <c r="V4" s="576"/>
      <c r="W4" s="576"/>
      <c r="X4" s="576"/>
      <c r="Y4" s="576"/>
      <c r="Z4" s="576"/>
      <c r="AA4" s="576"/>
      <c r="AB4" s="576"/>
      <c r="AC4" s="94"/>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G4" s="96" t="s">
        <v>7</v>
      </c>
      <c r="BH4" s="97"/>
      <c r="BI4" s="97"/>
      <c r="BJ4" s="98"/>
      <c r="BK4" s="98"/>
      <c r="BL4" s="98"/>
      <c r="BM4" s="98"/>
      <c r="BN4" s="98"/>
      <c r="BO4" s="98"/>
      <c r="BP4" s="98"/>
      <c r="BQ4" s="98"/>
      <c r="BR4" s="98"/>
      <c r="BS4" s="98"/>
      <c r="BT4" s="98"/>
      <c r="BU4" s="98"/>
      <c r="BV4" s="98"/>
      <c r="BW4" s="98"/>
      <c r="BX4" s="98"/>
      <c r="BY4" s="98"/>
      <c r="BZ4" s="98"/>
      <c r="CA4" s="98"/>
      <c r="CB4" s="98"/>
      <c r="CC4" s="98"/>
      <c r="CD4" s="98"/>
      <c r="CE4" s="98"/>
      <c r="CF4" s="98"/>
      <c r="CG4" s="98"/>
      <c r="CH4" s="99"/>
      <c r="CI4" s="99"/>
      <c r="CJ4" s="99"/>
      <c r="CK4" s="99"/>
      <c r="CL4" s="99"/>
      <c r="CM4" s="99"/>
      <c r="CN4" s="100"/>
    </row>
    <row r="5" spans="2:92" ht="18" customHeight="1">
      <c r="B5" s="224"/>
      <c r="C5" s="224"/>
      <c r="D5" s="225"/>
      <c r="E5" s="225"/>
      <c r="F5" s="225"/>
      <c r="G5" s="225"/>
      <c r="H5" s="225"/>
      <c r="I5" s="225"/>
      <c r="J5" s="225"/>
      <c r="K5" s="225"/>
      <c r="L5" s="225"/>
      <c r="M5" s="225"/>
      <c r="N5" s="226"/>
      <c r="O5" s="227"/>
      <c r="P5" s="225"/>
      <c r="Q5" s="225"/>
      <c r="R5" s="225"/>
      <c r="S5" s="225"/>
      <c r="T5" s="225"/>
      <c r="U5" s="225"/>
      <c r="V5" s="225"/>
      <c r="W5" s="225"/>
      <c r="X5" s="225"/>
      <c r="Y5" s="225"/>
      <c r="Z5" s="226"/>
      <c r="AA5" s="227"/>
      <c r="AB5" s="226"/>
      <c r="AC5" s="103"/>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G5" s="104" t="s">
        <v>8</v>
      </c>
      <c r="CJ5" s="106"/>
      <c r="CK5" s="627" t="s">
        <v>9</v>
      </c>
      <c r="CL5" s="628"/>
      <c r="CM5" s="628"/>
      <c r="CN5" s="629"/>
    </row>
    <row r="6" spans="2:92" s="107" customFormat="1" ht="9.9" customHeight="1" thickBot="1">
      <c r="B6" s="228"/>
      <c r="C6" s="229"/>
      <c r="D6" s="230"/>
      <c r="E6" s="228"/>
      <c r="F6" s="228"/>
      <c r="G6" s="229"/>
      <c r="H6" s="229"/>
      <c r="I6" s="229"/>
      <c r="J6" s="229"/>
      <c r="K6" s="229"/>
      <c r="L6" s="229"/>
      <c r="M6" s="229"/>
      <c r="N6" s="229"/>
      <c r="O6" s="229"/>
      <c r="P6" s="228"/>
      <c r="Q6" s="228"/>
      <c r="R6" s="228"/>
      <c r="S6" s="229"/>
      <c r="T6" s="229"/>
      <c r="U6" s="229"/>
      <c r="V6" s="229"/>
      <c r="W6" s="229"/>
      <c r="X6" s="229"/>
      <c r="Y6" s="229"/>
      <c r="Z6" s="229"/>
      <c r="AA6" s="229"/>
      <c r="AB6" s="229"/>
      <c r="AC6" s="108"/>
      <c r="AE6" s="108"/>
      <c r="AF6" s="109">
        <f>23-ROW(AF13)</f>
        <v>10</v>
      </c>
      <c r="AK6" s="108"/>
      <c r="AL6" s="108"/>
      <c r="AM6" s="108"/>
      <c r="AN6" s="108"/>
      <c r="AO6" s="108"/>
      <c r="AP6" s="108"/>
      <c r="AQ6" s="108"/>
      <c r="AU6" s="108"/>
      <c r="AV6" s="108"/>
      <c r="AW6" s="108"/>
      <c r="AX6" s="108"/>
      <c r="AY6" s="108"/>
      <c r="AZ6" s="108"/>
      <c r="BA6" s="108"/>
      <c r="BB6" s="108"/>
      <c r="BC6" s="108"/>
      <c r="BD6" s="108"/>
      <c r="BG6" s="110"/>
      <c r="BH6" s="111"/>
      <c r="BI6" s="111"/>
      <c r="CH6" s="108"/>
      <c r="CI6" s="108"/>
      <c r="CJ6" s="112"/>
      <c r="CK6" s="113"/>
      <c r="CL6" s="108"/>
      <c r="CM6" s="108"/>
      <c r="CN6" s="112"/>
    </row>
    <row r="7" spans="2:92" ht="18" customHeight="1" thickBot="1">
      <c r="B7" s="231"/>
      <c r="C7" s="231"/>
      <c r="D7" s="225"/>
      <c r="E7" s="225"/>
      <c r="F7" s="225"/>
      <c r="G7" s="225"/>
      <c r="H7" s="225"/>
      <c r="I7" s="225"/>
      <c r="J7" s="225"/>
      <c r="K7" s="225"/>
      <c r="L7" s="225"/>
      <c r="M7" s="225"/>
      <c r="N7" s="226"/>
      <c r="O7" s="227"/>
      <c r="P7" s="225"/>
      <c r="Q7" s="225"/>
      <c r="R7" s="225"/>
      <c r="S7" s="225"/>
      <c r="T7" s="225"/>
      <c r="U7" s="225"/>
      <c r="V7" s="225"/>
      <c r="W7" s="225"/>
      <c r="X7" s="225"/>
      <c r="Y7" s="225"/>
      <c r="Z7" s="226"/>
      <c r="AA7" s="227"/>
      <c r="AB7" s="226"/>
      <c r="AC7" s="573" t="s">
        <v>10</v>
      </c>
      <c r="AD7" s="574" t="s">
        <v>11</v>
      </c>
      <c r="AE7" s="115"/>
      <c r="AF7" s="116" t="s">
        <v>12</v>
      </c>
      <c r="AG7" s="117"/>
      <c r="AH7" s="117"/>
      <c r="AI7" s="117"/>
      <c r="AJ7" s="117"/>
      <c r="AK7" s="117"/>
      <c r="AL7" s="117"/>
      <c r="AM7" s="117"/>
      <c r="AN7" s="117"/>
      <c r="AO7" s="117"/>
      <c r="AP7" s="118"/>
      <c r="AQ7" s="115"/>
      <c r="AR7" s="116" t="s">
        <v>13</v>
      </c>
      <c r="AS7" s="117"/>
      <c r="AT7" s="117"/>
      <c r="AU7" s="117"/>
      <c r="AV7" s="117"/>
      <c r="AW7" s="117"/>
      <c r="AX7" s="117"/>
      <c r="AY7" s="117"/>
      <c r="AZ7" s="117"/>
      <c r="BA7" s="117"/>
      <c r="BB7" s="118"/>
      <c r="BC7" s="115"/>
      <c r="BD7" s="569" t="s">
        <v>14</v>
      </c>
      <c r="BG7" s="560" t="e">
        <f ca="1">IF(BG8&lt;&gt;"",1,"")</f>
        <v>#REF!</v>
      </c>
      <c r="BH7" s="561"/>
      <c r="BI7" s="561"/>
      <c r="BJ7" s="551" t="e">
        <f ca="1">IF(BJ8&lt;&gt;"",2,"")</f>
        <v>#REF!</v>
      </c>
      <c r="BK7" s="551"/>
      <c r="BL7" s="551"/>
      <c r="BM7" s="551" t="e">
        <f ca="1">IF(BM8&lt;&gt;"",3,"")</f>
        <v>#REF!</v>
      </c>
      <c r="BN7" s="551"/>
      <c r="BO7" s="551"/>
      <c r="BP7" s="551" t="e">
        <f ca="1">IF(BP8&lt;&gt;"",4,"")</f>
        <v>#REF!</v>
      </c>
      <c r="BQ7" s="551"/>
      <c r="BR7" s="551"/>
      <c r="BS7" s="551" t="e">
        <f ca="1">IF(BS8&lt;&gt;"",5,"")</f>
        <v>#REF!</v>
      </c>
      <c r="BT7" s="551"/>
      <c r="BU7" s="551"/>
      <c r="BV7" s="551" t="e">
        <f ca="1">IF(BV8&lt;&gt;"",6,"")</f>
        <v>#REF!</v>
      </c>
      <c r="BW7" s="551"/>
      <c r="BX7" s="551"/>
      <c r="BY7" s="551" t="e">
        <f ca="1">IF(BY8&lt;&gt;"",7,"")</f>
        <v>#REF!</v>
      </c>
      <c r="BZ7" s="551"/>
      <c r="CA7" s="551"/>
      <c r="CB7" s="551" t="e">
        <f ca="1">IF(CB8&lt;&gt;"",8,"")</f>
        <v>#REF!</v>
      </c>
      <c r="CC7" s="551"/>
      <c r="CD7" s="551"/>
      <c r="CE7" s="551" t="e">
        <f ca="1">IF(CE8&lt;&gt;"",9,"")</f>
        <v>#REF!</v>
      </c>
      <c r="CF7" s="551"/>
      <c r="CG7" s="551"/>
      <c r="CH7" s="551" t="e">
        <f ca="1">IF(CH8&lt;&gt;"",10,"")</f>
        <v>#REF!</v>
      </c>
      <c r="CI7" s="551"/>
      <c r="CJ7" s="559"/>
      <c r="CK7" s="119"/>
      <c r="CL7" s="120"/>
      <c r="CM7" s="121"/>
      <c r="CN7" s="122"/>
    </row>
    <row r="8" spans="2:92" ht="50.1" customHeight="1">
      <c r="B8" s="613" t="s">
        <v>11</v>
      </c>
      <c r="C8" s="614"/>
      <c r="D8" s="232"/>
      <c r="E8" s="617" t="s">
        <v>15</v>
      </c>
      <c r="F8" s="618"/>
      <c r="G8" s="618"/>
      <c r="H8" s="618"/>
      <c r="I8" s="618"/>
      <c r="J8" s="619"/>
      <c r="K8" s="224"/>
      <c r="L8" s="224"/>
      <c r="M8" s="224"/>
      <c r="N8" s="617" t="str">
        <f>"Quell- und Zielverkehrsaufkommen"</f>
        <v>Quell- und Zielverkehrsaufkommen</v>
      </c>
      <c r="O8" s="618"/>
      <c r="P8" s="618"/>
      <c r="Q8" s="618"/>
      <c r="R8" s="618"/>
      <c r="S8" s="619"/>
      <c r="T8" s="224"/>
      <c r="U8" s="224"/>
      <c r="V8" s="224"/>
      <c r="W8" s="617" t="str">
        <f ca="1">IF(I141=0,"Quell- und Zielverkehrsaufkommen ","davon zusätzlich erzeugtes Verkehrsaufkommen")</f>
        <v xml:space="preserve">Quell- und Zielverkehrsaufkommen </v>
      </c>
      <c r="X8" s="618"/>
      <c r="Y8" s="618"/>
      <c r="Z8" s="618"/>
      <c r="AA8" s="618"/>
      <c r="AB8" s="619"/>
      <c r="AC8" s="573"/>
      <c r="AD8" s="575"/>
      <c r="AE8" s="115"/>
      <c r="AF8" s="124" t="s">
        <v>16</v>
      </c>
      <c r="AG8" s="125"/>
      <c r="AH8" s="125"/>
      <c r="AI8" s="125"/>
      <c r="AJ8" s="125"/>
      <c r="AK8" s="125"/>
      <c r="AL8" s="125"/>
      <c r="AM8" s="125"/>
      <c r="AN8" s="125"/>
      <c r="AO8" s="126"/>
      <c r="AP8" s="569" t="s">
        <v>17</v>
      </c>
      <c r="AQ8" s="115"/>
      <c r="AR8" s="124" t="s">
        <v>16</v>
      </c>
      <c r="AS8" s="125"/>
      <c r="AT8" s="125"/>
      <c r="AU8" s="125"/>
      <c r="AV8" s="125"/>
      <c r="AW8" s="125"/>
      <c r="AX8" s="125"/>
      <c r="AY8" s="125"/>
      <c r="AZ8" s="125"/>
      <c r="BA8" s="126"/>
      <c r="BB8" s="569" t="s">
        <v>17</v>
      </c>
      <c r="BC8" s="115"/>
      <c r="BD8" s="570"/>
      <c r="BG8" s="557" t="e">
        <f ca="1">IF(INDIRECT(ADDRESS(32,13,,,BG1))&lt;&gt;0,BG1,"")</f>
        <v>#REF!</v>
      </c>
      <c r="BH8" s="558"/>
      <c r="BI8" s="558"/>
      <c r="BJ8" s="549" t="e">
        <f ca="1">IF(INDIRECT(ADDRESS(32,13,,,BJ1))&lt;&gt;0,BJ1,"")</f>
        <v>#REF!</v>
      </c>
      <c r="BK8" s="547"/>
      <c r="BL8" s="550"/>
      <c r="BM8" s="549" t="e">
        <f ca="1">IF(INDIRECT(ADDRESS(32,13,,,BM1))&lt;&gt;0,BM1,"")</f>
        <v>#REF!</v>
      </c>
      <c r="BN8" s="547"/>
      <c r="BO8" s="550"/>
      <c r="BP8" s="549" t="e">
        <f ca="1">IF(INDIRECT(ADDRESS(32,13,,,BP1))&lt;&gt;0,BP1,"")</f>
        <v>#REF!</v>
      </c>
      <c r="BQ8" s="547"/>
      <c r="BR8" s="550"/>
      <c r="BS8" s="549" t="e">
        <f ca="1">IF(INDIRECT(ADDRESS(32,13,,,BS1))&lt;&gt;0,BS1,"")</f>
        <v>#REF!</v>
      </c>
      <c r="BT8" s="547"/>
      <c r="BU8" s="550"/>
      <c r="BV8" s="549" t="e">
        <f ca="1">IF(INDIRECT(ADDRESS(32,13,,,BV1))&lt;&gt;0,BV1,"")</f>
        <v>#REF!</v>
      </c>
      <c r="BW8" s="547"/>
      <c r="BX8" s="550"/>
      <c r="BY8" s="549" t="e">
        <f ca="1">IF(INDIRECT(ADDRESS(32,13,,,BY1))&lt;&gt;0,BY1,"")</f>
        <v>#REF!</v>
      </c>
      <c r="BZ8" s="547"/>
      <c r="CA8" s="550"/>
      <c r="CB8" s="549" t="e">
        <f ca="1">IF(INDIRECT(ADDRESS(32,13,,,CB1))&lt;&gt;0,CB1,"")</f>
        <v>#REF!</v>
      </c>
      <c r="CC8" s="547"/>
      <c r="CD8" s="550"/>
      <c r="CE8" s="549" t="e">
        <f ca="1">IF(INDIRECT(ADDRESS(32,13,,,CE1))&lt;&gt;0,CE1,"")</f>
        <v>#REF!</v>
      </c>
      <c r="CF8" s="547"/>
      <c r="CG8" s="550"/>
      <c r="CH8" s="547" t="e">
        <f ca="1">IF(INDIRECT(ADDRESS(32,13,,,CH1))&lt;&gt;0,CH1,"")</f>
        <v>#REF!</v>
      </c>
      <c r="CI8" s="547"/>
      <c r="CJ8" s="555"/>
      <c r="CK8" s="556" t="str">
        <f ca="1">"SUMME "&amp;IF(CK39=1,"Kunden- / Besucherverkehr",IF(CK39=2,"Kundenverkehr","Besucherverkehr"))</f>
        <v>SUMME Besucherverkehr</v>
      </c>
      <c r="CL8" s="552" t="str">
        <f ca="1">"SUMME "&amp;IF(CL39=1,"Beschäftigten- / Bewohnerverkehr",IF(CL39=2,"Beschäftigtenverkehr","Bewohnerverkehr"))</f>
        <v>SUMME Bewohnerverkehr</v>
      </c>
      <c r="CM8" s="553" t="s">
        <v>18</v>
      </c>
      <c r="CN8" s="626" t="s">
        <v>14</v>
      </c>
    </row>
    <row r="9" spans="2:92" ht="30" customHeight="1">
      <c r="B9" s="615"/>
      <c r="C9" s="616"/>
      <c r="D9" s="232"/>
      <c r="E9" s="630" t="s">
        <v>19</v>
      </c>
      <c r="F9" s="579"/>
      <c r="G9" s="579"/>
      <c r="H9" s="579"/>
      <c r="I9" s="579"/>
      <c r="J9" s="631"/>
      <c r="K9" s="224"/>
      <c r="L9" s="224"/>
      <c r="M9" s="224"/>
      <c r="N9" s="630" t="str">
        <f ca="1">IF(AND(OR(H141&gt;=1,J141&gt;=1)=TRUE,I141&gt;=1)=TRUE,"inkl. Berücksichtigung von abmindernden Effekten im Kundenverkehr | exkl. Mitnahmeeffekte",IF(AND(OR(H141&gt;=1,J141&gt;=1)=TRUE,I141=0)=TRUE,"inkl. Berücksichtigung von abmindernden Effekten im Kundenverkehr","ohne Berücksichtigung von abmindernden Effekten im Kundenverkehr"))</f>
        <v>ohne Berücksichtigung von abmindernden Effekten im Kundenverkehr</v>
      </c>
      <c r="O9" s="579"/>
      <c r="P9" s="579"/>
      <c r="Q9" s="579"/>
      <c r="R9" s="579"/>
      <c r="S9" s="631"/>
      <c r="T9" s="224"/>
      <c r="U9" s="224"/>
      <c r="V9" s="224"/>
      <c r="W9" s="630" t="str">
        <f ca="1">IF(I141&gt;=1,"inkl. Berücksichtigung aller abmindernder Effekte im Kundenverkehr",IF(AND(I141=0,OR(H141&gt;=1,J141&gt;=1)=TRUE)=TRUE,"inkl. Berücksichtigung von abmindernden Effekte im Kundenverkehr","ohne Berücksichtigung von abmindernden Effekten im Kundenverkehr"))</f>
        <v>ohne Berücksichtigung von abmindernden Effekten im Kundenverkehr</v>
      </c>
      <c r="X9" s="579"/>
      <c r="Y9" s="579"/>
      <c r="Z9" s="579"/>
      <c r="AA9" s="579"/>
      <c r="AB9" s="631"/>
      <c r="AC9" s="573"/>
      <c r="AD9" s="575"/>
      <c r="AE9" s="127"/>
      <c r="AF9" s="128" t="e">
        <f ca="1">IF(AF10&lt;&gt;"",COLUMN()-COLUMN($AE$9),"")</f>
        <v>#REF!</v>
      </c>
      <c r="AG9" s="128" t="e">
        <f t="shared" ref="AG9:AO9" ca="1" si="5">IF(AG10&lt;&gt;"",COLUMN()-COLUMN($AE$9),"")</f>
        <v>#REF!</v>
      </c>
      <c r="AH9" s="128" t="e">
        <f t="shared" ca="1" si="5"/>
        <v>#REF!</v>
      </c>
      <c r="AI9" s="128" t="e">
        <f t="shared" ca="1" si="5"/>
        <v>#REF!</v>
      </c>
      <c r="AJ9" s="128" t="e">
        <f t="shared" ca="1" si="5"/>
        <v>#REF!</v>
      </c>
      <c r="AK9" s="128" t="e">
        <f t="shared" ca="1" si="5"/>
        <v>#REF!</v>
      </c>
      <c r="AL9" s="128" t="e">
        <f t="shared" ca="1" si="5"/>
        <v>#REF!</v>
      </c>
      <c r="AM9" s="128" t="e">
        <f t="shared" ca="1" si="5"/>
        <v>#REF!</v>
      </c>
      <c r="AN9" s="128" t="e">
        <f t="shared" ca="1" si="5"/>
        <v>#REF!</v>
      </c>
      <c r="AO9" s="128" t="e">
        <f t="shared" ca="1" si="5"/>
        <v>#REF!</v>
      </c>
      <c r="AP9" s="570"/>
      <c r="AQ9" s="127"/>
      <c r="AR9" s="128" t="e">
        <f ca="1">IF(AR10&lt;&gt;"",COLUMN()-COLUMN($AQ$9),"")</f>
        <v>#REF!</v>
      </c>
      <c r="AS9" s="128" t="e">
        <f t="shared" ref="AS9:BA9" ca="1" si="6">IF(AS10&lt;&gt;"",COLUMN()-COLUMN($AQ$9),"")</f>
        <v>#REF!</v>
      </c>
      <c r="AT9" s="128" t="e">
        <f t="shared" ca="1" si="6"/>
        <v>#REF!</v>
      </c>
      <c r="AU9" s="128" t="e">
        <f t="shared" ca="1" si="6"/>
        <v>#REF!</v>
      </c>
      <c r="AV9" s="128" t="e">
        <f t="shared" ca="1" si="6"/>
        <v>#REF!</v>
      </c>
      <c r="AW9" s="128" t="e">
        <f t="shared" ca="1" si="6"/>
        <v>#REF!</v>
      </c>
      <c r="AX9" s="128" t="e">
        <f t="shared" ca="1" si="6"/>
        <v>#REF!</v>
      </c>
      <c r="AY9" s="128" t="e">
        <f t="shared" ca="1" si="6"/>
        <v>#REF!</v>
      </c>
      <c r="AZ9" s="128" t="e">
        <f t="shared" ca="1" si="6"/>
        <v>#REF!</v>
      </c>
      <c r="BA9" s="128" t="e">
        <f t="shared" ca="1" si="6"/>
        <v>#REF!</v>
      </c>
      <c r="BB9" s="570"/>
      <c r="BC9" s="127"/>
      <c r="BD9" s="570"/>
      <c r="BG9" s="567" t="e">
        <f ca="1">IF(BG8&lt;&gt;"",INDIRECT(ADDRESS(19,77,,,BG8)),"")</f>
        <v>#REF!</v>
      </c>
      <c r="BH9" s="545" t="e">
        <f ca="1">IF(BG8&lt;&gt;"",INDIRECT(ADDRESS(19,78,,,BG8)),"")</f>
        <v>#REF!</v>
      </c>
      <c r="BI9" s="545" t="e">
        <f ca="1">IF(BG8&lt;&gt;"",INDIRECT(ADDRESS(19,79,,,BG8)),"")</f>
        <v>#REF!</v>
      </c>
      <c r="BJ9" s="544" t="e">
        <f ca="1">IF(BJ8&lt;&gt;"",INDIRECT(ADDRESS(19,77,,,BJ8)),"")</f>
        <v>#REF!</v>
      </c>
      <c r="BK9" s="545" t="e">
        <f ca="1">IF(BJ8&lt;&gt;"",INDIRECT(ADDRESS(19,78,,,BJ8)),"")</f>
        <v>#REF!</v>
      </c>
      <c r="BL9" s="546" t="e">
        <f ca="1">IF(BJ8&lt;&gt;"",INDIRECT(ADDRESS(19,79,,,BJ8)),"")</f>
        <v>#REF!</v>
      </c>
      <c r="BM9" s="544" t="e">
        <f ca="1">IF(BM8&lt;&gt;"",INDIRECT(ADDRESS(19,77,,,BM8)),"")</f>
        <v>#REF!</v>
      </c>
      <c r="BN9" s="545" t="e">
        <f ca="1">IF(BM8&lt;&gt;"",INDIRECT(ADDRESS(19,78,,,BM8)),"")</f>
        <v>#REF!</v>
      </c>
      <c r="BO9" s="546" t="e">
        <f ca="1">IF(BM8&lt;&gt;"",INDIRECT(ADDRESS(19,79,,,BM8)),"")</f>
        <v>#REF!</v>
      </c>
      <c r="BP9" s="544" t="e">
        <f ca="1">IF(BP8&lt;&gt;"",INDIRECT(ADDRESS(19,77,,,BP8)),"")</f>
        <v>#REF!</v>
      </c>
      <c r="BQ9" s="545" t="e">
        <f ca="1">IF(BP8&lt;&gt;"",INDIRECT(ADDRESS(19,78,,,BP8)),"")</f>
        <v>#REF!</v>
      </c>
      <c r="BR9" s="546" t="e">
        <f ca="1">IF(BP8&lt;&gt;"",INDIRECT(ADDRESS(19,79,,,BP8)),"")</f>
        <v>#REF!</v>
      </c>
      <c r="BS9" s="544" t="e">
        <f ca="1">IF(BS8&lt;&gt;"",INDIRECT(ADDRESS(19,77,,,BS8)),"")</f>
        <v>#REF!</v>
      </c>
      <c r="BT9" s="545" t="e">
        <f ca="1">IF(BS8&lt;&gt;"",INDIRECT(ADDRESS(19,78,,,BS8)),"")</f>
        <v>#REF!</v>
      </c>
      <c r="BU9" s="546" t="e">
        <f ca="1">IF(BS8&lt;&gt;"",INDIRECT(ADDRESS(19,79,,,BS8)),"")</f>
        <v>#REF!</v>
      </c>
      <c r="BV9" s="544" t="e">
        <f ca="1">IF(BV8&lt;&gt;"",INDIRECT(ADDRESS(19,77,,,BV8)),"")</f>
        <v>#REF!</v>
      </c>
      <c r="BW9" s="545" t="e">
        <f ca="1">IF(BV8&lt;&gt;"",INDIRECT(ADDRESS(19,78,,,BV8)),"")</f>
        <v>#REF!</v>
      </c>
      <c r="BX9" s="546" t="e">
        <f ca="1">IF(BV8&lt;&gt;"",INDIRECT(ADDRESS(19,79,,,BV8)),"")</f>
        <v>#REF!</v>
      </c>
      <c r="BY9" s="544" t="e">
        <f ca="1">IF(BY8&lt;&gt;"",INDIRECT(ADDRESS(19,77,,,BY8)),"")</f>
        <v>#REF!</v>
      </c>
      <c r="BZ9" s="545" t="e">
        <f ca="1">IF(BY8&lt;&gt;"",INDIRECT(ADDRESS(19,78,,,BY8)),"")</f>
        <v>#REF!</v>
      </c>
      <c r="CA9" s="546" t="e">
        <f ca="1">IF(BY8&lt;&gt;"",INDIRECT(ADDRESS(19,79,,,BY8)),"")</f>
        <v>#REF!</v>
      </c>
      <c r="CB9" s="544" t="e">
        <f ca="1">IF(CB8&lt;&gt;"",INDIRECT(ADDRESS(19,77,,,CB8)),"")</f>
        <v>#REF!</v>
      </c>
      <c r="CC9" s="545" t="e">
        <f ca="1">IF(CB8&lt;&gt;"",INDIRECT(ADDRESS(19,78,,,CB8)),"")</f>
        <v>#REF!</v>
      </c>
      <c r="CD9" s="546" t="e">
        <f ca="1">IF(CB8&lt;&gt;"",INDIRECT(ADDRESS(19,79,,,CB8)),"")</f>
        <v>#REF!</v>
      </c>
      <c r="CE9" s="544" t="e">
        <f ca="1">IF(CE8&lt;&gt;"",INDIRECT(ADDRESS(19,77,,,CE8)),"")</f>
        <v>#REF!</v>
      </c>
      <c r="CF9" s="545" t="e">
        <f ca="1">IF(CE8&lt;&gt;"",INDIRECT(ADDRESS(19,78,,,CE8)),"")</f>
        <v>#REF!</v>
      </c>
      <c r="CG9" s="546" t="e">
        <f ca="1">IF(CE8&lt;&gt;"",INDIRECT(ADDRESS(19,79,,,CE8)),"")</f>
        <v>#REF!</v>
      </c>
      <c r="CH9" s="545" t="e">
        <f ca="1">IF(CH8&lt;&gt;"",INDIRECT(ADDRESS(19,77,,,CH8)),"")</f>
        <v>#REF!</v>
      </c>
      <c r="CI9" s="545" t="e">
        <f ca="1">IF(CH8&lt;&gt;"",INDIRECT(ADDRESS(19,78,,,CH8)),"")</f>
        <v>#REF!</v>
      </c>
      <c r="CJ9" s="554" t="e">
        <f ca="1">IF(CH8&lt;&gt;"",INDIRECT(ADDRESS(19,79,,,CH8)),"")</f>
        <v>#REF!</v>
      </c>
      <c r="CK9" s="556"/>
      <c r="CL9" s="552"/>
      <c r="CM9" s="553"/>
      <c r="CN9" s="553"/>
    </row>
    <row r="10" spans="2:92" ht="69.900000000000006" customHeight="1">
      <c r="B10" s="615"/>
      <c r="C10" s="616"/>
      <c r="D10" s="233"/>
      <c r="E10" s="632" t="s">
        <v>20</v>
      </c>
      <c r="F10" s="600"/>
      <c r="G10" s="600" t="s">
        <v>21</v>
      </c>
      <c r="H10" s="601"/>
      <c r="I10" s="602" t="s">
        <v>22</v>
      </c>
      <c r="J10" s="603"/>
      <c r="K10" s="233"/>
      <c r="L10" s="233"/>
      <c r="M10" s="233"/>
      <c r="N10" s="632" t="s">
        <v>20</v>
      </c>
      <c r="O10" s="600"/>
      <c r="P10" s="600" t="s">
        <v>21</v>
      </c>
      <c r="Q10" s="601"/>
      <c r="R10" s="602" t="s">
        <v>22</v>
      </c>
      <c r="S10" s="603"/>
      <c r="T10" s="233"/>
      <c r="U10" s="233"/>
      <c r="V10" s="233"/>
      <c r="W10" s="632" t="s">
        <v>20</v>
      </c>
      <c r="X10" s="600"/>
      <c r="Y10" s="600" t="s">
        <v>21</v>
      </c>
      <c r="Z10" s="601"/>
      <c r="AA10" s="602" t="s">
        <v>22</v>
      </c>
      <c r="AB10" s="603"/>
      <c r="AC10" s="573"/>
      <c r="AD10" s="575"/>
      <c r="AE10" s="127"/>
      <c r="AF10" s="129" t="e">
        <f ca="1">IF(INDIRECT(ADDRESS(32,13,,,AF1))&lt;&gt;0,AF1,"")</f>
        <v>#REF!</v>
      </c>
      <c r="AG10" s="129" t="e">
        <f t="shared" ref="AG10:AO10" ca="1" si="7">IF(INDIRECT(ADDRESS(32,13,,,AG1))&lt;&gt;0,AG1,"")</f>
        <v>#REF!</v>
      </c>
      <c r="AH10" s="129" t="e">
        <f t="shared" ca="1" si="7"/>
        <v>#REF!</v>
      </c>
      <c r="AI10" s="129" t="e">
        <f ca="1">IF(INDIRECT(ADDRESS(32,13,,,AI1))&lt;&gt;0,AI1,"")</f>
        <v>#REF!</v>
      </c>
      <c r="AJ10" s="129" t="e">
        <f ca="1">IF(INDIRECT(ADDRESS(32,13,,,AJ1))&lt;&gt;0,AJ1,"")</f>
        <v>#REF!</v>
      </c>
      <c r="AK10" s="129" t="e">
        <f t="shared" ca="1" si="7"/>
        <v>#REF!</v>
      </c>
      <c r="AL10" s="129" t="e">
        <f t="shared" ca="1" si="7"/>
        <v>#REF!</v>
      </c>
      <c r="AM10" s="129" t="e">
        <f t="shared" ca="1" si="7"/>
        <v>#REF!</v>
      </c>
      <c r="AN10" s="129" t="e">
        <f t="shared" ca="1" si="7"/>
        <v>#REF!</v>
      </c>
      <c r="AO10" s="129" t="e">
        <f t="shared" ca="1" si="7"/>
        <v>#REF!</v>
      </c>
      <c r="AP10" s="570"/>
      <c r="AQ10" s="127"/>
      <c r="AR10" s="130" t="e">
        <f ca="1">AF10</f>
        <v>#REF!</v>
      </c>
      <c r="AS10" s="129" t="e">
        <f t="shared" ref="AS10:BA10" ca="1" si="8">AG10</f>
        <v>#REF!</v>
      </c>
      <c r="AT10" s="129" t="e">
        <f t="shared" ca="1" si="8"/>
        <v>#REF!</v>
      </c>
      <c r="AU10" s="129" t="e">
        <f t="shared" ca="1" si="8"/>
        <v>#REF!</v>
      </c>
      <c r="AV10" s="129" t="e">
        <f t="shared" ca="1" si="8"/>
        <v>#REF!</v>
      </c>
      <c r="AW10" s="129" t="e">
        <f t="shared" ca="1" si="8"/>
        <v>#REF!</v>
      </c>
      <c r="AX10" s="129" t="e">
        <f t="shared" ca="1" si="8"/>
        <v>#REF!</v>
      </c>
      <c r="AY10" s="129" t="e">
        <f t="shared" ca="1" si="8"/>
        <v>#REF!</v>
      </c>
      <c r="AZ10" s="129" t="e">
        <f t="shared" ca="1" si="8"/>
        <v>#REF!</v>
      </c>
      <c r="BA10" s="131" t="e">
        <f t="shared" ca="1" si="8"/>
        <v>#REF!</v>
      </c>
      <c r="BB10" s="570"/>
      <c r="BC10" s="127"/>
      <c r="BD10" s="570"/>
      <c r="BG10" s="567"/>
      <c r="BH10" s="545"/>
      <c r="BI10" s="545"/>
      <c r="BJ10" s="544"/>
      <c r="BK10" s="545"/>
      <c r="BL10" s="546"/>
      <c r="BM10" s="544"/>
      <c r="BN10" s="545"/>
      <c r="BO10" s="546"/>
      <c r="BP10" s="544"/>
      <c r="BQ10" s="545"/>
      <c r="BR10" s="546"/>
      <c r="BS10" s="544"/>
      <c r="BT10" s="545"/>
      <c r="BU10" s="546"/>
      <c r="BV10" s="544"/>
      <c r="BW10" s="545"/>
      <c r="BX10" s="546"/>
      <c r="BY10" s="544"/>
      <c r="BZ10" s="545"/>
      <c r="CA10" s="546"/>
      <c r="CB10" s="544"/>
      <c r="CC10" s="545"/>
      <c r="CD10" s="546"/>
      <c r="CE10" s="544"/>
      <c r="CF10" s="545"/>
      <c r="CG10" s="546"/>
      <c r="CH10" s="545"/>
      <c r="CI10" s="545"/>
      <c r="CJ10" s="554"/>
      <c r="CK10" s="556"/>
      <c r="CL10" s="552"/>
      <c r="CM10" s="553"/>
      <c r="CN10" s="553"/>
    </row>
    <row r="11" spans="2:92" ht="3.9" customHeight="1" thickBot="1">
      <c r="B11" s="622"/>
      <c r="C11" s="623"/>
      <c r="D11" s="234"/>
      <c r="E11" s="607"/>
      <c r="F11" s="608"/>
      <c r="G11" s="609"/>
      <c r="H11" s="610"/>
      <c r="I11" s="607"/>
      <c r="J11" s="610"/>
      <c r="K11" s="234"/>
      <c r="L11" s="234"/>
      <c r="M11" s="234"/>
      <c r="N11" s="607"/>
      <c r="O11" s="608"/>
      <c r="P11" s="609"/>
      <c r="Q11" s="610"/>
      <c r="R11" s="607"/>
      <c r="S11" s="610"/>
      <c r="T11" s="233"/>
      <c r="U11" s="233"/>
      <c r="V11" s="233"/>
      <c r="W11" s="607"/>
      <c r="X11" s="608"/>
      <c r="Y11" s="609"/>
      <c r="Z11" s="610"/>
      <c r="AA11" s="607"/>
      <c r="AB11" s="610"/>
      <c r="AC11" s="573"/>
      <c r="AD11" s="133"/>
      <c r="AE11" s="127"/>
      <c r="AF11" s="134"/>
      <c r="AG11" s="132"/>
      <c r="AH11" s="132"/>
      <c r="AI11" s="132"/>
      <c r="AJ11" s="132"/>
      <c r="AK11" s="132"/>
      <c r="AL11" s="132"/>
      <c r="AM11" s="132"/>
      <c r="AN11" s="132"/>
      <c r="AO11" s="135"/>
      <c r="AP11" s="136"/>
      <c r="AQ11" s="127"/>
      <c r="AR11" s="130"/>
      <c r="AS11" s="129"/>
      <c r="AT11" s="129"/>
      <c r="AU11" s="129"/>
      <c r="AV11" s="129"/>
      <c r="AW11" s="129"/>
      <c r="AX11" s="129"/>
      <c r="AY11" s="129"/>
      <c r="AZ11" s="129"/>
      <c r="BA11" s="131"/>
      <c r="BB11" s="136"/>
      <c r="BC11" s="127"/>
      <c r="BD11" s="136"/>
      <c r="BG11" s="137"/>
      <c r="BH11" s="138"/>
      <c r="BI11" s="138"/>
      <c r="BJ11" s="139"/>
      <c r="BK11" s="140"/>
      <c r="BL11" s="141"/>
      <c r="BM11" s="139"/>
      <c r="BN11" s="140"/>
      <c r="BO11" s="141"/>
      <c r="BP11" s="139"/>
      <c r="BQ11" s="140"/>
      <c r="BR11" s="141"/>
      <c r="BS11" s="139"/>
      <c r="BT11" s="140"/>
      <c r="BU11" s="141"/>
      <c r="BV11" s="139"/>
      <c r="BW11" s="140"/>
      <c r="BX11" s="141"/>
      <c r="BY11" s="139"/>
      <c r="BZ11" s="140"/>
      <c r="CA11" s="141"/>
      <c r="CB11" s="139"/>
      <c r="CC11" s="140"/>
      <c r="CD11" s="141"/>
      <c r="CE11" s="139"/>
      <c r="CF11" s="140"/>
      <c r="CG11" s="141"/>
      <c r="CH11" s="142"/>
      <c r="CI11" s="142"/>
      <c r="CJ11" s="142"/>
      <c r="CK11" s="143"/>
      <c r="CL11" s="144"/>
      <c r="CM11" s="145"/>
      <c r="CN11" s="145"/>
    </row>
    <row r="12" spans="2:92" ht="17.100000000000001" customHeight="1">
      <c r="B12" s="620" t="s">
        <v>23</v>
      </c>
      <c r="C12" s="621"/>
      <c r="D12" s="25"/>
      <c r="E12" s="590" t="e">
        <f ca="1">AP13</f>
        <v>#REF!</v>
      </c>
      <c r="F12" s="591"/>
      <c r="G12" s="591" t="e">
        <f ca="1">BB13</f>
        <v>#REF!</v>
      </c>
      <c r="H12" s="592"/>
      <c r="I12" s="611" t="e">
        <f ca="1">E12+G12</f>
        <v>#REF!</v>
      </c>
      <c r="J12" s="612"/>
      <c r="K12" s="235"/>
      <c r="L12" s="235"/>
      <c r="M12" s="235"/>
      <c r="N12" s="590" t="e">
        <f ca="1">AP48</f>
        <v>#REF!</v>
      </c>
      <c r="O12" s="591"/>
      <c r="P12" s="591" t="e">
        <f ca="1">BB48</f>
        <v>#REF!</v>
      </c>
      <c r="Q12" s="592"/>
      <c r="R12" s="611" t="e">
        <f ca="1">N12+P12</f>
        <v>#REF!</v>
      </c>
      <c r="S12" s="612"/>
      <c r="T12" s="235"/>
      <c r="U12" s="235"/>
      <c r="V12" s="235"/>
      <c r="W12" s="590" t="e">
        <f ca="1">AP84</f>
        <v>#REF!</v>
      </c>
      <c r="X12" s="591"/>
      <c r="Y12" s="591" t="e">
        <f ca="1">BB84</f>
        <v>#REF!</v>
      </c>
      <c r="Z12" s="592"/>
      <c r="AA12" s="611" t="e">
        <f ca="1">W12+Y12</f>
        <v>#REF!</v>
      </c>
      <c r="AB12" s="612"/>
      <c r="AC12" s="573"/>
      <c r="AD12" s="147" t="s">
        <v>24</v>
      </c>
      <c r="AE12" s="148"/>
      <c r="AF12" s="149" t="e">
        <f ca="1">AF36</f>
        <v>#REF!</v>
      </c>
      <c r="AG12" s="150" t="e">
        <f t="shared" ref="AG12:AO12" ca="1" si="9">AG36</f>
        <v>#REF!</v>
      </c>
      <c r="AH12" s="150" t="e">
        <f t="shared" ca="1" si="9"/>
        <v>#REF!</v>
      </c>
      <c r="AI12" s="150" t="e">
        <f t="shared" ca="1" si="9"/>
        <v>#REF!</v>
      </c>
      <c r="AJ12" s="150" t="e">
        <f t="shared" ca="1" si="9"/>
        <v>#REF!</v>
      </c>
      <c r="AK12" s="150" t="e">
        <f t="shared" ca="1" si="9"/>
        <v>#REF!</v>
      </c>
      <c r="AL12" s="150" t="e">
        <f t="shared" ca="1" si="9"/>
        <v>#REF!</v>
      </c>
      <c r="AM12" s="150" t="e">
        <f t="shared" ca="1" si="9"/>
        <v>#REF!</v>
      </c>
      <c r="AN12" s="150" t="e">
        <f t="shared" ca="1" si="9"/>
        <v>#REF!</v>
      </c>
      <c r="AO12" s="151" t="e">
        <f t="shared" ca="1" si="9"/>
        <v>#REF!</v>
      </c>
      <c r="AP12" s="152" t="e">
        <f ca="1">SUM(AF12:AO12)</f>
        <v>#REF!</v>
      </c>
      <c r="AQ12" s="148"/>
      <c r="AR12" s="149" t="e">
        <f ca="1">AR36</f>
        <v>#REF!</v>
      </c>
      <c r="AS12" s="150" t="e">
        <f t="shared" ref="AS12:BA12" ca="1" si="10">AS36</f>
        <v>#REF!</v>
      </c>
      <c r="AT12" s="150" t="e">
        <f t="shared" ca="1" si="10"/>
        <v>#REF!</v>
      </c>
      <c r="AU12" s="150" t="e">
        <f t="shared" ca="1" si="10"/>
        <v>#REF!</v>
      </c>
      <c r="AV12" s="150" t="e">
        <f t="shared" ca="1" si="10"/>
        <v>#REF!</v>
      </c>
      <c r="AW12" s="150" t="e">
        <f t="shared" ca="1" si="10"/>
        <v>#REF!</v>
      </c>
      <c r="AX12" s="150" t="e">
        <f t="shared" ca="1" si="10"/>
        <v>#REF!</v>
      </c>
      <c r="AY12" s="150" t="e">
        <f t="shared" ca="1" si="10"/>
        <v>#REF!</v>
      </c>
      <c r="AZ12" s="150" t="e">
        <f t="shared" ca="1" si="10"/>
        <v>#REF!</v>
      </c>
      <c r="BA12" s="151" t="e">
        <f t="shared" ca="1" si="10"/>
        <v>#REF!</v>
      </c>
      <c r="BB12" s="152" t="e">
        <f ca="1">SUM(AR12:BA12)</f>
        <v>#REF!</v>
      </c>
      <c r="BC12" s="148"/>
      <c r="BD12" s="152" t="e">
        <f ca="1">AP12+BB12</f>
        <v>#REF!</v>
      </c>
      <c r="BG12" s="153" t="e">
        <f t="shared" ref="BG12:CJ12" ca="1" si="11">BG36</f>
        <v>#REF!</v>
      </c>
      <c r="BH12" s="154" t="e">
        <f t="shared" ca="1" si="11"/>
        <v>#REF!</v>
      </c>
      <c r="BI12" s="154" t="e">
        <f t="shared" ca="1" si="11"/>
        <v>#REF!</v>
      </c>
      <c r="BJ12" s="155" t="e">
        <f t="shared" ca="1" si="11"/>
        <v>#REF!</v>
      </c>
      <c r="BK12" s="154" t="e">
        <f t="shared" ca="1" si="11"/>
        <v>#REF!</v>
      </c>
      <c r="BL12" s="156" t="e">
        <f t="shared" ca="1" si="11"/>
        <v>#REF!</v>
      </c>
      <c r="BM12" s="155" t="e">
        <f t="shared" ca="1" si="11"/>
        <v>#REF!</v>
      </c>
      <c r="BN12" s="154" t="e">
        <f t="shared" ca="1" si="11"/>
        <v>#REF!</v>
      </c>
      <c r="BO12" s="156" t="e">
        <f t="shared" ca="1" si="11"/>
        <v>#REF!</v>
      </c>
      <c r="BP12" s="155" t="e">
        <f t="shared" ca="1" si="11"/>
        <v>#REF!</v>
      </c>
      <c r="BQ12" s="154" t="e">
        <f t="shared" ca="1" si="11"/>
        <v>#REF!</v>
      </c>
      <c r="BR12" s="156" t="e">
        <f t="shared" ca="1" si="11"/>
        <v>#REF!</v>
      </c>
      <c r="BS12" s="155" t="e">
        <f t="shared" ca="1" si="11"/>
        <v>#REF!</v>
      </c>
      <c r="BT12" s="154" t="e">
        <f t="shared" ca="1" si="11"/>
        <v>#REF!</v>
      </c>
      <c r="BU12" s="156" t="e">
        <f t="shared" ca="1" si="11"/>
        <v>#REF!</v>
      </c>
      <c r="BV12" s="155" t="e">
        <f t="shared" ca="1" si="11"/>
        <v>#REF!</v>
      </c>
      <c r="BW12" s="154" t="e">
        <f t="shared" ca="1" si="11"/>
        <v>#REF!</v>
      </c>
      <c r="BX12" s="156" t="e">
        <f t="shared" ca="1" si="11"/>
        <v>#REF!</v>
      </c>
      <c r="BY12" s="155" t="e">
        <f t="shared" ca="1" si="11"/>
        <v>#REF!</v>
      </c>
      <c r="BZ12" s="154" t="e">
        <f t="shared" ca="1" si="11"/>
        <v>#REF!</v>
      </c>
      <c r="CA12" s="156" t="e">
        <f t="shared" ca="1" si="11"/>
        <v>#REF!</v>
      </c>
      <c r="CB12" s="155" t="e">
        <f t="shared" ca="1" si="11"/>
        <v>#REF!</v>
      </c>
      <c r="CC12" s="154" t="e">
        <f t="shared" ca="1" si="11"/>
        <v>#REF!</v>
      </c>
      <c r="CD12" s="156" t="e">
        <f t="shared" ca="1" si="11"/>
        <v>#REF!</v>
      </c>
      <c r="CE12" s="155" t="e">
        <f t="shared" ca="1" si="11"/>
        <v>#REF!</v>
      </c>
      <c r="CF12" s="154" t="e">
        <f t="shared" ca="1" si="11"/>
        <v>#REF!</v>
      </c>
      <c r="CG12" s="156" t="e">
        <f t="shared" ca="1" si="11"/>
        <v>#REF!</v>
      </c>
      <c r="CH12" s="154" t="e">
        <f t="shared" ca="1" si="11"/>
        <v>#REF!</v>
      </c>
      <c r="CI12" s="154" t="e">
        <f t="shared" ca="1" si="11"/>
        <v>#REF!</v>
      </c>
      <c r="CJ12" s="154" t="e">
        <f t="shared" ca="1" si="11"/>
        <v>#REF!</v>
      </c>
      <c r="CK12" s="157" t="e">
        <f ca="1">SUM(BG12,BJ12,BM12,BP12,BS12,BV12,BY12,CB12,CE12,CH12)</f>
        <v>#REF!</v>
      </c>
      <c r="CL12" s="158" t="e">
        <f ca="1">SUM(BH12,BK12,BN12,BQ12,BT12,BW12,BZ12,CC12,CF12,CI12)</f>
        <v>#REF!</v>
      </c>
      <c r="CM12" s="159" t="e">
        <f ca="1">SUM(BI12,BL12,BO12,BR12,BU12,BX12,CA12,CD12,CG12,CJ12)</f>
        <v>#REF!</v>
      </c>
      <c r="CN12" s="159" t="e">
        <f ca="1">SUM(CK12:CM12)</f>
        <v>#REF!</v>
      </c>
    </row>
    <row r="13" spans="2:92" ht="17.100000000000001" customHeight="1">
      <c r="B13" s="595" t="s">
        <v>25</v>
      </c>
      <c r="C13" s="596"/>
      <c r="D13" s="25"/>
      <c r="E13" s="590" t="e">
        <f t="shared" ref="E13:E35" ca="1" si="12">AP14</f>
        <v>#REF!</v>
      </c>
      <c r="F13" s="591"/>
      <c r="G13" s="591" t="e">
        <f t="shared" ref="G13:G35" ca="1" si="13">BB14</f>
        <v>#REF!</v>
      </c>
      <c r="H13" s="592"/>
      <c r="I13" s="597" t="e">
        <f t="shared" ref="I13:I36" ca="1" si="14">E13+G13</f>
        <v>#REF!</v>
      </c>
      <c r="J13" s="598"/>
      <c r="K13" s="235"/>
      <c r="L13" s="235"/>
      <c r="M13" s="235"/>
      <c r="N13" s="590" t="e">
        <f t="shared" ref="N13:N35" ca="1" si="15">AP49</f>
        <v>#REF!</v>
      </c>
      <c r="O13" s="591"/>
      <c r="P13" s="591" t="e">
        <f t="shared" ref="P13:P35" ca="1" si="16">BB49</f>
        <v>#REF!</v>
      </c>
      <c r="Q13" s="592"/>
      <c r="R13" s="597" t="e">
        <f t="shared" ref="R13:R36" ca="1" si="17">N13+P13</f>
        <v>#REF!</v>
      </c>
      <c r="S13" s="598"/>
      <c r="T13" s="235"/>
      <c r="U13" s="235"/>
      <c r="V13" s="235"/>
      <c r="W13" s="590" t="e">
        <f t="shared" ref="W13:W34" ca="1" si="18">AP85</f>
        <v>#REF!</v>
      </c>
      <c r="X13" s="591"/>
      <c r="Y13" s="591" t="e">
        <f t="shared" ref="Y13:Y34" ca="1" si="19">BB85</f>
        <v>#REF!</v>
      </c>
      <c r="Z13" s="592"/>
      <c r="AA13" s="597" t="e">
        <f t="shared" ref="AA13:AA36" ca="1" si="20">W13+Y13</f>
        <v>#REF!</v>
      </c>
      <c r="AB13" s="598"/>
      <c r="AC13" s="573"/>
      <c r="AD13" s="62" t="s">
        <v>23</v>
      </c>
      <c r="AE13" s="148"/>
      <c r="AF13" s="160" t="e">
        <f t="shared" ref="AF13:AF36" ca="1" si="21">IF(AF$10&lt;&gt;"",INDIRECT(ADDRESS(ROW()+$AF$6,47,,,AF$10)),"")</f>
        <v>#REF!</v>
      </c>
      <c r="AG13" s="161" t="e">
        <f t="shared" ref="AG13:AO28" ca="1" si="22">IF(AG$10&lt;&gt;"",INDIRECT(ADDRESS(ROW()+$AF$6,47,,,AG$10)),"")</f>
        <v>#REF!</v>
      </c>
      <c r="AH13" s="161" t="e">
        <f t="shared" ca="1" si="22"/>
        <v>#REF!</v>
      </c>
      <c r="AI13" s="161" t="e">
        <f t="shared" ca="1" si="22"/>
        <v>#REF!</v>
      </c>
      <c r="AJ13" s="161" t="e">
        <f t="shared" ca="1" si="22"/>
        <v>#REF!</v>
      </c>
      <c r="AK13" s="161" t="e">
        <f t="shared" ca="1" si="22"/>
        <v>#REF!</v>
      </c>
      <c r="AL13" s="161" t="e">
        <f t="shared" ca="1" si="22"/>
        <v>#REF!</v>
      </c>
      <c r="AM13" s="161" t="e">
        <f t="shared" ca="1" si="22"/>
        <v>#REF!</v>
      </c>
      <c r="AN13" s="161" t="e">
        <f t="shared" ca="1" si="22"/>
        <v>#REF!</v>
      </c>
      <c r="AO13" s="162" t="e">
        <f t="shared" ca="1" si="22"/>
        <v>#REF!</v>
      </c>
      <c r="AP13" s="163" t="e">
        <f t="shared" ref="AP13:AP36" ca="1" si="23">SUM(AF13:AO13)</f>
        <v>#REF!</v>
      </c>
      <c r="AQ13" s="148"/>
      <c r="AR13" s="160" t="e">
        <f t="shared" ref="AR13:AR36" ca="1" si="24">IF(AR$10&lt;&gt;"",INDIRECT(ADDRESS(ROW()+$AF$6,48,,,AF$45)),"")</f>
        <v>#REF!</v>
      </c>
      <c r="AS13" s="161" t="e">
        <f t="shared" ref="AS13:AS36" ca="1" si="25">IF(AS$10&lt;&gt;"",INDIRECT(ADDRESS(ROW()+$AF$6,48,,,AG$45)),"")</f>
        <v>#REF!</v>
      </c>
      <c r="AT13" s="161" t="e">
        <f t="shared" ref="AT13:AT36" ca="1" si="26">IF(AT$10&lt;&gt;"",INDIRECT(ADDRESS(ROW()+$AF$6,48,,,AH$45)),"")</f>
        <v>#REF!</v>
      </c>
      <c r="AU13" s="161" t="e">
        <f t="shared" ref="AU13:AU36" ca="1" si="27">IF(AU$10&lt;&gt;"",INDIRECT(ADDRESS(ROW()+$AF$6,48,,,AI$45)),"")</f>
        <v>#REF!</v>
      </c>
      <c r="AV13" s="161" t="e">
        <f t="shared" ref="AV13:AV36" ca="1" si="28">IF(AV$10&lt;&gt;"",INDIRECT(ADDRESS(ROW()+$AF$6,48,,,AJ$45)),"")</f>
        <v>#REF!</v>
      </c>
      <c r="AW13" s="161" t="e">
        <f t="shared" ref="AW13:AW36" ca="1" si="29">IF(AW$10&lt;&gt;"",INDIRECT(ADDRESS(ROW()+$AF$6,48,,,AK$45)),"")</f>
        <v>#REF!</v>
      </c>
      <c r="AX13" s="161" t="e">
        <f t="shared" ref="AX13:AX36" ca="1" si="30">IF(AX$10&lt;&gt;"",INDIRECT(ADDRESS(ROW()+$AF$6,48,,,AL$45)),"")</f>
        <v>#REF!</v>
      </c>
      <c r="AY13" s="161" t="e">
        <f t="shared" ref="AY13:AY36" ca="1" si="31">IF(AY$10&lt;&gt;"",INDIRECT(ADDRESS(ROW()+$AF$6,48,,,AM$45)),"")</f>
        <v>#REF!</v>
      </c>
      <c r="AZ13" s="161" t="e">
        <f t="shared" ref="AZ13:AZ36" ca="1" si="32">IF(AZ$10&lt;&gt;"",INDIRECT(ADDRESS(ROW()+$AF$6,48,,,AN$45)),"")</f>
        <v>#REF!</v>
      </c>
      <c r="BA13" s="162" t="e">
        <f t="shared" ref="BA13:BA36" ca="1" si="33">IF(BA$10&lt;&gt;"",INDIRECT(ADDRESS(ROW()+$AF$6,48,,,AO$45)),"")</f>
        <v>#REF!</v>
      </c>
      <c r="BB13" s="163" t="e">
        <f t="shared" ref="BB13:BB36" ca="1" si="34">SUM(AR13:BA13)</f>
        <v>#REF!</v>
      </c>
      <c r="BC13" s="148"/>
      <c r="BD13" s="163" t="e">
        <f t="shared" ref="BD13:BD37" ca="1" si="35">AP13+BB13</f>
        <v>#REF!</v>
      </c>
      <c r="BG13" s="164" t="e">
        <f ca="1">IF(BG$8&lt;&gt;"",INDIRECT(ADDRESS(ROW()+$AF$6,77,,,BG$8)),"")</f>
        <v>#REF!</v>
      </c>
      <c r="BH13" s="165" t="e">
        <f ca="1">IF(BG$8&lt;&gt;"",INDIRECT(ADDRESS(ROW()+$AF$6,78,,,BG$8)),"")</f>
        <v>#REF!</v>
      </c>
      <c r="BI13" s="165" t="e">
        <f ca="1">IF(BG$8&lt;&gt;"",INDIRECT(ADDRESS(ROW()+$AF$6,79,,,BG$8)),"")</f>
        <v>#REF!</v>
      </c>
      <c r="BJ13" s="166" t="e">
        <f ca="1">IF(BJ$8&lt;&gt;"",INDIRECT(ADDRESS(ROW()+$AF$6,77,,,BJ$8)),"")</f>
        <v>#REF!</v>
      </c>
      <c r="BK13" s="165" t="e">
        <f ca="1">IF(BJ$8&lt;&gt;"",INDIRECT(ADDRESS(ROW()+$AF$6,78,,,BJ$8)),"")</f>
        <v>#REF!</v>
      </c>
      <c r="BL13" s="167" t="e">
        <f ca="1">IF(BJ$8&lt;&gt;"",INDIRECT(ADDRESS(ROW()+$AF$6,79,,,BJ$8)),"")</f>
        <v>#REF!</v>
      </c>
      <c r="BM13" s="166" t="e">
        <f ca="1">IF(BM$8&lt;&gt;"",INDIRECT(ADDRESS(ROW()+$AF$6,77,,,BM$8)),"")</f>
        <v>#REF!</v>
      </c>
      <c r="BN13" s="165" t="e">
        <f ca="1">IF(BM$8&lt;&gt;"",INDIRECT(ADDRESS(ROW()+$AF$6,78,,,BM$8)),"")</f>
        <v>#REF!</v>
      </c>
      <c r="BO13" s="167" t="e">
        <f ca="1">IF(BM$8&lt;&gt;"",INDIRECT(ADDRESS(ROW()+$AF$6,79,,,BM$8)),"")</f>
        <v>#REF!</v>
      </c>
      <c r="BP13" s="166" t="e">
        <f ca="1">IF(BP$8&lt;&gt;"",INDIRECT(ADDRESS(ROW()+$AF$6,77,,,BP$8)),"")</f>
        <v>#REF!</v>
      </c>
      <c r="BQ13" s="165" t="e">
        <f ca="1">IF(BP$8&lt;&gt;"",INDIRECT(ADDRESS(ROW()+$AF$6,78,,,BP$8)),"")</f>
        <v>#REF!</v>
      </c>
      <c r="BR13" s="167" t="e">
        <f ca="1">IF(BP$8&lt;&gt;"",INDIRECT(ADDRESS(ROW()+$AF$6,79,,,BP$8)),"")</f>
        <v>#REF!</v>
      </c>
      <c r="BS13" s="166" t="e">
        <f ca="1">IF(BS$8&lt;&gt;"",INDIRECT(ADDRESS(ROW()+$AF$6,77,,,BS$8)),"")</f>
        <v>#REF!</v>
      </c>
      <c r="BT13" s="165" t="e">
        <f ca="1">IF(BS$8&lt;&gt;"",INDIRECT(ADDRESS(ROW()+$AF$6,78,,,BS$8)),"")</f>
        <v>#REF!</v>
      </c>
      <c r="BU13" s="167" t="e">
        <f ca="1">IF(BS$8&lt;&gt;"",INDIRECT(ADDRESS(ROW()+$AF$6,79,,,BS$8)),"")</f>
        <v>#REF!</v>
      </c>
      <c r="BV13" s="166" t="e">
        <f ca="1">IF(BV$8&lt;&gt;"",INDIRECT(ADDRESS(ROW()+$AF$6,77,,,BV$8)),"")</f>
        <v>#REF!</v>
      </c>
      <c r="BW13" s="165" t="e">
        <f ca="1">IF(BV$8&lt;&gt;"",INDIRECT(ADDRESS(ROW()+$AF$6,78,,,BV$8)),"")</f>
        <v>#REF!</v>
      </c>
      <c r="BX13" s="167" t="e">
        <f ca="1">IF(BV$8&lt;&gt;"",INDIRECT(ADDRESS(ROW()+$AF$6,79,,,BV$8)),"")</f>
        <v>#REF!</v>
      </c>
      <c r="BY13" s="166" t="e">
        <f ca="1">IF(BY$8&lt;&gt;"",INDIRECT(ADDRESS(ROW()+$AF$6,77,,,BY$8)),"")</f>
        <v>#REF!</v>
      </c>
      <c r="BZ13" s="165" t="e">
        <f ca="1">IF(BY$8&lt;&gt;"",INDIRECT(ADDRESS(ROW()+$AF$6,78,,,BY$8)),"")</f>
        <v>#REF!</v>
      </c>
      <c r="CA13" s="167" t="e">
        <f ca="1">IF(BY$8&lt;&gt;"",INDIRECT(ADDRESS(ROW()+$AF$6,79,,,BY$8)),"")</f>
        <v>#REF!</v>
      </c>
      <c r="CB13" s="166" t="e">
        <f ca="1">IF(CB$8&lt;&gt;"",INDIRECT(ADDRESS(ROW()+$AF$6,77,,,CB$8)),"")</f>
        <v>#REF!</v>
      </c>
      <c r="CC13" s="165" t="e">
        <f ca="1">IF(CB$8&lt;&gt;"",INDIRECT(ADDRESS(ROW()+$AF$6,78,,,CB$8)),"")</f>
        <v>#REF!</v>
      </c>
      <c r="CD13" s="167" t="e">
        <f ca="1">IF(CB$8&lt;&gt;"",INDIRECT(ADDRESS(ROW()+$AF$6,79,,,CB$8)),"")</f>
        <v>#REF!</v>
      </c>
      <c r="CE13" s="166" t="e">
        <f ca="1">IF(CE$8&lt;&gt;"",INDIRECT(ADDRESS(ROW()+$AF$6,77,,,CE$8)),"")</f>
        <v>#REF!</v>
      </c>
      <c r="CF13" s="165" t="e">
        <f ca="1">IF(CE$8&lt;&gt;"",INDIRECT(ADDRESS(ROW()+$AF$6,78,,,CE$8)),"")</f>
        <v>#REF!</v>
      </c>
      <c r="CG13" s="167" t="e">
        <f ca="1">IF(CE$8&lt;&gt;"",INDIRECT(ADDRESS(ROW()+$AF$6,79,,,CE$8)),"")</f>
        <v>#REF!</v>
      </c>
      <c r="CH13" s="165" t="e">
        <f ca="1">IF(CH$8&lt;&gt;"",INDIRECT(ADDRESS(ROW()+$AF$6,77,,,CH$8)),"")</f>
        <v>#REF!</v>
      </c>
      <c r="CI13" s="165" t="e">
        <f ca="1">IF(CH$8&lt;&gt;"",INDIRECT(ADDRESS(ROW()+$AF$6,78,,,CH$8)),"")</f>
        <v>#REF!</v>
      </c>
      <c r="CJ13" s="165" t="e">
        <f ca="1">IF(CH$8&lt;&gt;"",INDIRECT(ADDRESS(ROW()+$AF$6,79,,,CH$8)),"")</f>
        <v>#REF!</v>
      </c>
      <c r="CK13" s="168" t="e">
        <f t="shared" ref="CK13:CK37" ca="1" si="36">SUM(BG13,BJ13,BM13,BP13,BS13,BV13,BY13,CB13,CE13,CH13)</f>
        <v>#REF!</v>
      </c>
      <c r="CL13" s="169" t="e">
        <f t="shared" ref="CL13:CL37" ca="1" si="37">SUM(BH13,BK13,BN13,BQ13,BT13,BW13,BZ13,CC13,CF13,CI13)</f>
        <v>#REF!</v>
      </c>
      <c r="CM13" s="170" t="e">
        <f t="shared" ref="CM13:CN37" ca="1" si="38">SUM(BI13,BL13,BO13,BR13,BU13,BX13,CA13,CD13,CG13,CJ13)</f>
        <v>#REF!</v>
      </c>
      <c r="CN13" s="170" t="e">
        <f t="shared" ref="CN13:CN36" ca="1" si="39">SUM(CK13:CM13)</f>
        <v>#REF!</v>
      </c>
    </row>
    <row r="14" spans="2:92" ht="17.100000000000001" customHeight="1">
      <c r="B14" s="595" t="s">
        <v>26</v>
      </c>
      <c r="C14" s="596"/>
      <c r="D14" s="25"/>
      <c r="E14" s="590" t="e">
        <f t="shared" ca="1" si="12"/>
        <v>#REF!</v>
      </c>
      <c r="F14" s="591"/>
      <c r="G14" s="591" t="e">
        <f t="shared" ca="1" si="13"/>
        <v>#REF!</v>
      </c>
      <c r="H14" s="592"/>
      <c r="I14" s="597" t="e">
        <f t="shared" ca="1" si="14"/>
        <v>#REF!</v>
      </c>
      <c r="J14" s="598"/>
      <c r="K14" s="235"/>
      <c r="L14" s="235"/>
      <c r="M14" s="235"/>
      <c r="N14" s="590" t="e">
        <f t="shared" ca="1" si="15"/>
        <v>#REF!</v>
      </c>
      <c r="O14" s="591"/>
      <c r="P14" s="591" t="e">
        <f t="shared" ca="1" si="16"/>
        <v>#REF!</v>
      </c>
      <c r="Q14" s="592"/>
      <c r="R14" s="597" t="e">
        <f t="shared" ca="1" si="17"/>
        <v>#REF!</v>
      </c>
      <c r="S14" s="598"/>
      <c r="T14" s="235"/>
      <c r="U14" s="235"/>
      <c r="V14" s="235"/>
      <c r="W14" s="590" t="e">
        <f t="shared" ca="1" si="18"/>
        <v>#REF!</v>
      </c>
      <c r="X14" s="591"/>
      <c r="Y14" s="591" t="e">
        <f t="shared" ca="1" si="19"/>
        <v>#REF!</v>
      </c>
      <c r="Z14" s="592"/>
      <c r="AA14" s="597" t="e">
        <f t="shared" ca="1" si="20"/>
        <v>#REF!</v>
      </c>
      <c r="AB14" s="598"/>
      <c r="AC14" s="573"/>
      <c r="AD14" s="62" t="s">
        <v>25</v>
      </c>
      <c r="AE14" s="148"/>
      <c r="AF14" s="160" t="e">
        <f t="shared" ca="1" si="21"/>
        <v>#REF!</v>
      </c>
      <c r="AG14" s="161" t="e">
        <f t="shared" ca="1" si="22"/>
        <v>#REF!</v>
      </c>
      <c r="AH14" s="161" t="e">
        <f t="shared" ca="1" si="22"/>
        <v>#REF!</v>
      </c>
      <c r="AI14" s="161" t="e">
        <f t="shared" ca="1" si="22"/>
        <v>#REF!</v>
      </c>
      <c r="AJ14" s="161" t="e">
        <f t="shared" ca="1" si="22"/>
        <v>#REF!</v>
      </c>
      <c r="AK14" s="161" t="e">
        <f t="shared" ca="1" si="22"/>
        <v>#REF!</v>
      </c>
      <c r="AL14" s="161" t="e">
        <f t="shared" ca="1" si="22"/>
        <v>#REF!</v>
      </c>
      <c r="AM14" s="161" t="e">
        <f t="shared" ca="1" si="22"/>
        <v>#REF!</v>
      </c>
      <c r="AN14" s="161" t="e">
        <f t="shared" ca="1" si="22"/>
        <v>#REF!</v>
      </c>
      <c r="AO14" s="162" t="e">
        <f t="shared" ca="1" si="22"/>
        <v>#REF!</v>
      </c>
      <c r="AP14" s="163" t="e">
        <f t="shared" ca="1" si="23"/>
        <v>#REF!</v>
      </c>
      <c r="AQ14" s="148"/>
      <c r="AR14" s="160" t="e">
        <f t="shared" ca="1" si="24"/>
        <v>#REF!</v>
      </c>
      <c r="AS14" s="161" t="e">
        <f t="shared" ca="1" si="25"/>
        <v>#REF!</v>
      </c>
      <c r="AT14" s="161" t="e">
        <f t="shared" ca="1" si="26"/>
        <v>#REF!</v>
      </c>
      <c r="AU14" s="161" t="e">
        <f t="shared" ca="1" si="27"/>
        <v>#REF!</v>
      </c>
      <c r="AV14" s="161" t="e">
        <f t="shared" ca="1" si="28"/>
        <v>#REF!</v>
      </c>
      <c r="AW14" s="161" t="e">
        <f t="shared" ca="1" si="29"/>
        <v>#REF!</v>
      </c>
      <c r="AX14" s="161" t="e">
        <f t="shared" ca="1" si="30"/>
        <v>#REF!</v>
      </c>
      <c r="AY14" s="161" t="e">
        <f t="shared" ca="1" si="31"/>
        <v>#REF!</v>
      </c>
      <c r="AZ14" s="161" t="e">
        <f t="shared" ca="1" si="32"/>
        <v>#REF!</v>
      </c>
      <c r="BA14" s="162" t="e">
        <f t="shared" ca="1" si="33"/>
        <v>#REF!</v>
      </c>
      <c r="BB14" s="163" t="e">
        <f t="shared" ca="1" si="34"/>
        <v>#REF!</v>
      </c>
      <c r="BC14" s="148"/>
      <c r="BD14" s="163" t="e">
        <f t="shared" ca="1" si="35"/>
        <v>#REF!</v>
      </c>
      <c r="BG14" s="164" t="e">
        <f t="shared" ref="BG14:BG36" ca="1" si="40">IF(BG$8&lt;&gt;"",INDIRECT(ADDRESS(ROW()+$AF$6,77,,,BG$8)),"")</f>
        <v>#REF!</v>
      </c>
      <c r="BH14" s="165" t="e">
        <f t="shared" ref="BH14:BH36" ca="1" si="41">IF(BG$8&lt;&gt;"",INDIRECT(ADDRESS(ROW()+$AF$6,78,,,BG$8)),"")</f>
        <v>#REF!</v>
      </c>
      <c r="BI14" s="165" t="e">
        <f t="shared" ref="BI14:BI36" ca="1" si="42">IF(BG$8&lt;&gt;"",INDIRECT(ADDRESS(ROW()+$AF$6,79,,,BG$8)),"")</f>
        <v>#REF!</v>
      </c>
      <c r="BJ14" s="166" t="e">
        <f t="shared" ref="BJ14:BJ36" ca="1" si="43">IF(BJ$8&lt;&gt;"",INDIRECT(ADDRESS(ROW()+$AF$6,77,,,BJ$8)),"")</f>
        <v>#REF!</v>
      </c>
      <c r="BK14" s="165" t="e">
        <f t="shared" ref="BK14:BK36" ca="1" si="44">IF(BJ$8&lt;&gt;"",INDIRECT(ADDRESS(ROW()+$AF$6,78,,,BJ$8)),"")</f>
        <v>#REF!</v>
      </c>
      <c r="BL14" s="167" t="e">
        <f t="shared" ref="BL14:BL36" ca="1" si="45">IF(BJ$8&lt;&gt;"",INDIRECT(ADDRESS(ROW()+$AF$6,79,,,BJ$8)),"")</f>
        <v>#REF!</v>
      </c>
      <c r="BM14" s="166" t="e">
        <f t="shared" ref="BM14:BM36" ca="1" si="46">IF(BM$8&lt;&gt;"",INDIRECT(ADDRESS(ROW()+$AF$6,77,,,BM$8)),"")</f>
        <v>#REF!</v>
      </c>
      <c r="BN14" s="165" t="e">
        <f t="shared" ref="BN14:BN36" ca="1" si="47">IF(BM$8&lt;&gt;"",INDIRECT(ADDRESS(ROW()+$AF$6,78,,,BM$8)),"")</f>
        <v>#REF!</v>
      </c>
      <c r="BO14" s="167" t="e">
        <f t="shared" ref="BO14:BO36" ca="1" si="48">IF(BM$8&lt;&gt;"",INDIRECT(ADDRESS(ROW()+$AF$6,79,,,BM$8)),"")</f>
        <v>#REF!</v>
      </c>
      <c r="BP14" s="166" t="e">
        <f t="shared" ref="BP14:BP36" ca="1" si="49">IF(BP$8&lt;&gt;"",INDIRECT(ADDRESS(ROW()+$AF$6,77,,,BP$8)),"")</f>
        <v>#REF!</v>
      </c>
      <c r="BQ14" s="165" t="e">
        <f t="shared" ref="BQ14:BQ36" ca="1" si="50">IF(BP$8&lt;&gt;"",INDIRECT(ADDRESS(ROW()+$AF$6,78,,,BP$8)),"")</f>
        <v>#REF!</v>
      </c>
      <c r="BR14" s="167" t="e">
        <f t="shared" ref="BR14:BR36" ca="1" si="51">IF(BP$8&lt;&gt;"",INDIRECT(ADDRESS(ROW()+$AF$6,79,,,BP$8)),"")</f>
        <v>#REF!</v>
      </c>
      <c r="BS14" s="166" t="e">
        <f t="shared" ref="BS14:BS36" ca="1" si="52">IF(BS$8&lt;&gt;"",INDIRECT(ADDRESS(ROW()+$AF$6,77,,,BS$8)),"")</f>
        <v>#REF!</v>
      </c>
      <c r="BT14" s="165" t="e">
        <f t="shared" ref="BT14:BT36" ca="1" si="53">IF(BS$8&lt;&gt;"",INDIRECT(ADDRESS(ROW()+$AF$6,78,,,BS$8)),"")</f>
        <v>#REF!</v>
      </c>
      <c r="BU14" s="167" t="e">
        <f t="shared" ref="BU14:BU36" ca="1" si="54">IF(BS$8&lt;&gt;"",INDIRECT(ADDRESS(ROW()+$AF$6,79,,,BS$8)),"")</f>
        <v>#REF!</v>
      </c>
      <c r="BV14" s="166" t="e">
        <f t="shared" ref="BV14:BV36" ca="1" si="55">IF(BV$8&lt;&gt;"",INDIRECT(ADDRESS(ROW()+$AF$6,77,,,BV$8)),"")</f>
        <v>#REF!</v>
      </c>
      <c r="BW14" s="165" t="e">
        <f t="shared" ref="BW14:BW36" ca="1" si="56">IF(BV$8&lt;&gt;"",INDIRECT(ADDRESS(ROW()+$AF$6,78,,,BV$8)),"")</f>
        <v>#REF!</v>
      </c>
      <c r="BX14" s="167" t="e">
        <f t="shared" ref="BX14:BX36" ca="1" si="57">IF(BV$8&lt;&gt;"",INDIRECT(ADDRESS(ROW()+$AF$6,79,,,BV$8)),"")</f>
        <v>#REF!</v>
      </c>
      <c r="BY14" s="166" t="e">
        <f t="shared" ref="BY14:BY36" ca="1" si="58">IF(BY$8&lt;&gt;"",INDIRECT(ADDRESS(ROW()+$AF$6,77,,,BY$8)),"")</f>
        <v>#REF!</v>
      </c>
      <c r="BZ14" s="165" t="e">
        <f t="shared" ref="BZ14:BZ36" ca="1" si="59">IF(BY$8&lt;&gt;"",INDIRECT(ADDRESS(ROW()+$AF$6,78,,,BY$8)),"")</f>
        <v>#REF!</v>
      </c>
      <c r="CA14" s="167" t="e">
        <f t="shared" ref="CA14:CA36" ca="1" si="60">IF(BY$8&lt;&gt;"",INDIRECT(ADDRESS(ROW()+$AF$6,79,,,BY$8)),"")</f>
        <v>#REF!</v>
      </c>
      <c r="CB14" s="166" t="e">
        <f t="shared" ref="CB14:CB36" ca="1" si="61">IF(CB$8&lt;&gt;"",INDIRECT(ADDRESS(ROW()+$AF$6,77,,,CB$8)),"")</f>
        <v>#REF!</v>
      </c>
      <c r="CC14" s="165" t="e">
        <f t="shared" ref="CC14:CC36" ca="1" si="62">IF(CB$8&lt;&gt;"",INDIRECT(ADDRESS(ROW()+$AF$6,78,,,CB$8)),"")</f>
        <v>#REF!</v>
      </c>
      <c r="CD14" s="167" t="e">
        <f t="shared" ref="CD14:CD36" ca="1" si="63">IF(CB$8&lt;&gt;"",INDIRECT(ADDRESS(ROW()+$AF$6,79,,,CB$8)),"")</f>
        <v>#REF!</v>
      </c>
      <c r="CE14" s="166" t="e">
        <f t="shared" ref="CE14:CE36" ca="1" si="64">IF(CE$8&lt;&gt;"",INDIRECT(ADDRESS(ROW()+$AF$6,77,,,CE$8)),"")</f>
        <v>#REF!</v>
      </c>
      <c r="CF14" s="165" t="e">
        <f t="shared" ref="CF14:CF36" ca="1" si="65">IF(CE$8&lt;&gt;"",INDIRECT(ADDRESS(ROW()+$AF$6,78,,,CE$8)),"")</f>
        <v>#REF!</v>
      </c>
      <c r="CG14" s="167" t="e">
        <f t="shared" ref="CG14:CG36" ca="1" si="66">IF(CE$8&lt;&gt;"",INDIRECT(ADDRESS(ROW()+$AF$6,79,,,CE$8)),"")</f>
        <v>#REF!</v>
      </c>
      <c r="CH14" s="165" t="e">
        <f t="shared" ref="CH14:CH36" ca="1" si="67">IF(CH$8&lt;&gt;"",INDIRECT(ADDRESS(ROW()+$AF$6,77,,,CH$8)),"")</f>
        <v>#REF!</v>
      </c>
      <c r="CI14" s="165" t="e">
        <f t="shared" ref="CI14:CI36" ca="1" si="68">IF(CH$8&lt;&gt;"",INDIRECT(ADDRESS(ROW()+$AF$6,78,,,CH$8)),"")</f>
        <v>#REF!</v>
      </c>
      <c r="CJ14" s="165" t="e">
        <f t="shared" ref="CJ14:CJ36" ca="1" si="69">IF(CH$8&lt;&gt;"",INDIRECT(ADDRESS(ROW()+$AF$6,79,,,CH$8)),"")</f>
        <v>#REF!</v>
      </c>
      <c r="CK14" s="168" t="e">
        <f t="shared" ca="1" si="36"/>
        <v>#REF!</v>
      </c>
      <c r="CL14" s="169" t="e">
        <f t="shared" ca="1" si="37"/>
        <v>#REF!</v>
      </c>
      <c r="CM14" s="170" t="e">
        <f t="shared" ca="1" si="38"/>
        <v>#REF!</v>
      </c>
      <c r="CN14" s="170" t="e">
        <f t="shared" ca="1" si="39"/>
        <v>#REF!</v>
      </c>
    </row>
    <row r="15" spans="2:92" ht="17.100000000000001" customHeight="1">
      <c r="B15" s="595" t="s">
        <v>27</v>
      </c>
      <c r="C15" s="596"/>
      <c r="D15" s="25"/>
      <c r="E15" s="590" t="e">
        <f t="shared" ca="1" si="12"/>
        <v>#REF!</v>
      </c>
      <c r="F15" s="591"/>
      <c r="G15" s="591" t="e">
        <f t="shared" ca="1" si="13"/>
        <v>#REF!</v>
      </c>
      <c r="H15" s="592"/>
      <c r="I15" s="597" t="e">
        <f t="shared" ca="1" si="14"/>
        <v>#REF!</v>
      </c>
      <c r="J15" s="598"/>
      <c r="K15" s="235"/>
      <c r="L15" s="235"/>
      <c r="M15" s="235"/>
      <c r="N15" s="590" t="e">
        <f t="shared" ca="1" si="15"/>
        <v>#REF!</v>
      </c>
      <c r="O15" s="591"/>
      <c r="P15" s="591" t="e">
        <f t="shared" ca="1" si="16"/>
        <v>#REF!</v>
      </c>
      <c r="Q15" s="592"/>
      <c r="R15" s="597" t="e">
        <f t="shared" ca="1" si="17"/>
        <v>#REF!</v>
      </c>
      <c r="S15" s="598"/>
      <c r="T15" s="235"/>
      <c r="U15" s="235"/>
      <c r="V15" s="235"/>
      <c r="W15" s="590" t="e">
        <f t="shared" ca="1" si="18"/>
        <v>#REF!</v>
      </c>
      <c r="X15" s="591"/>
      <c r="Y15" s="591" t="e">
        <f t="shared" ca="1" si="19"/>
        <v>#REF!</v>
      </c>
      <c r="Z15" s="592"/>
      <c r="AA15" s="597" t="e">
        <f t="shared" ca="1" si="20"/>
        <v>#REF!</v>
      </c>
      <c r="AB15" s="598"/>
      <c r="AC15" s="573"/>
      <c r="AD15" s="62" t="s">
        <v>26</v>
      </c>
      <c r="AE15" s="148"/>
      <c r="AF15" s="160" t="e">
        <f t="shared" ca="1" si="21"/>
        <v>#REF!</v>
      </c>
      <c r="AG15" s="161" t="e">
        <f t="shared" ca="1" si="22"/>
        <v>#REF!</v>
      </c>
      <c r="AH15" s="161" t="e">
        <f t="shared" ca="1" si="22"/>
        <v>#REF!</v>
      </c>
      <c r="AI15" s="161" t="e">
        <f t="shared" ca="1" si="22"/>
        <v>#REF!</v>
      </c>
      <c r="AJ15" s="161" t="e">
        <f t="shared" ca="1" si="22"/>
        <v>#REF!</v>
      </c>
      <c r="AK15" s="161" t="e">
        <f t="shared" ca="1" si="22"/>
        <v>#REF!</v>
      </c>
      <c r="AL15" s="161" t="e">
        <f t="shared" ca="1" si="22"/>
        <v>#REF!</v>
      </c>
      <c r="AM15" s="161" t="e">
        <f t="shared" ca="1" si="22"/>
        <v>#REF!</v>
      </c>
      <c r="AN15" s="161" t="e">
        <f t="shared" ca="1" si="22"/>
        <v>#REF!</v>
      </c>
      <c r="AO15" s="162" t="e">
        <f t="shared" ca="1" si="22"/>
        <v>#REF!</v>
      </c>
      <c r="AP15" s="163" t="e">
        <f t="shared" ca="1" si="23"/>
        <v>#REF!</v>
      </c>
      <c r="AQ15" s="148"/>
      <c r="AR15" s="160" t="e">
        <f t="shared" ca="1" si="24"/>
        <v>#REF!</v>
      </c>
      <c r="AS15" s="161" t="e">
        <f t="shared" ca="1" si="25"/>
        <v>#REF!</v>
      </c>
      <c r="AT15" s="161" t="e">
        <f t="shared" ca="1" si="26"/>
        <v>#REF!</v>
      </c>
      <c r="AU15" s="161" t="e">
        <f t="shared" ca="1" si="27"/>
        <v>#REF!</v>
      </c>
      <c r="AV15" s="161" t="e">
        <f t="shared" ca="1" si="28"/>
        <v>#REF!</v>
      </c>
      <c r="AW15" s="161" t="e">
        <f t="shared" ca="1" si="29"/>
        <v>#REF!</v>
      </c>
      <c r="AX15" s="161" t="e">
        <f t="shared" ca="1" si="30"/>
        <v>#REF!</v>
      </c>
      <c r="AY15" s="161" t="e">
        <f t="shared" ca="1" si="31"/>
        <v>#REF!</v>
      </c>
      <c r="AZ15" s="161" t="e">
        <f t="shared" ca="1" si="32"/>
        <v>#REF!</v>
      </c>
      <c r="BA15" s="162" t="e">
        <f t="shared" ca="1" si="33"/>
        <v>#REF!</v>
      </c>
      <c r="BB15" s="163" t="e">
        <f t="shared" ca="1" si="34"/>
        <v>#REF!</v>
      </c>
      <c r="BC15" s="148"/>
      <c r="BD15" s="163" t="e">
        <f t="shared" ca="1" si="35"/>
        <v>#REF!</v>
      </c>
      <c r="BG15" s="164" t="e">
        <f t="shared" ca="1" si="40"/>
        <v>#REF!</v>
      </c>
      <c r="BH15" s="165" t="e">
        <f t="shared" ca="1" si="41"/>
        <v>#REF!</v>
      </c>
      <c r="BI15" s="165" t="e">
        <f t="shared" ca="1" si="42"/>
        <v>#REF!</v>
      </c>
      <c r="BJ15" s="166" t="e">
        <f t="shared" ca="1" si="43"/>
        <v>#REF!</v>
      </c>
      <c r="BK15" s="165" t="e">
        <f t="shared" ca="1" si="44"/>
        <v>#REF!</v>
      </c>
      <c r="BL15" s="167" t="e">
        <f t="shared" ca="1" si="45"/>
        <v>#REF!</v>
      </c>
      <c r="BM15" s="166" t="e">
        <f t="shared" ca="1" si="46"/>
        <v>#REF!</v>
      </c>
      <c r="BN15" s="165" t="e">
        <f t="shared" ca="1" si="47"/>
        <v>#REF!</v>
      </c>
      <c r="BO15" s="167" t="e">
        <f t="shared" ca="1" si="48"/>
        <v>#REF!</v>
      </c>
      <c r="BP15" s="166" t="e">
        <f t="shared" ca="1" si="49"/>
        <v>#REF!</v>
      </c>
      <c r="BQ15" s="165" t="e">
        <f t="shared" ca="1" si="50"/>
        <v>#REF!</v>
      </c>
      <c r="BR15" s="167" t="e">
        <f t="shared" ca="1" si="51"/>
        <v>#REF!</v>
      </c>
      <c r="BS15" s="166" t="e">
        <f t="shared" ca="1" si="52"/>
        <v>#REF!</v>
      </c>
      <c r="BT15" s="165" t="e">
        <f t="shared" ca="1" si="53"/>
        <v>#REF!</v>
      </c>
      <c r="BU15" s="167" t="e">
        <f t="shared" ca="1" si="54"/>
        <v>#REF!</v>
      </c>
      <c r="BV15" s="166" t="e">
        <f t="shared" ca="1" si="55"/>
        <v>#REF!</v>
      </c>
      <c r="BW15" s="165" t="e">
        <f t="shared" ca="1" si="56"/>
        <v>#REF!</v>
      </c>
      <c r="BX15" s="167" t="e">
        <f t="shared" ca="1" si="57"/>
        <v>#REF!</v>
      </c>
      <c r="BY15" s="166" t="e">
        <f t="shared" ca="1" si="58"/>
        <v>#REF!</v>
      </c>
      <c r="BZ15" s="165" t="e">
        <f t="shared" ca="1" si="59"/>
        <v>#REF!</v>
      </c>
      <c r="CA15" s="167" t="e">
        <f t="shared" ca="1" si="60"/>
        <v>#REF!</v>
      </c>
      <c r="CB15" s="166" t="e">
        <f t="shared" ca="1" si="61"/>
        <v>#REF!</v>
      </c>
      <c r="CC15" s="165" t="e">
        <f t="shared" ca="1" si="62"/>
        <v>#REF!</v>
      </c>
      <c r="CD15" s="167" t="e">
        <f t="shared" ca="1" si="63"/>
        <v>#REF!</v>
      </c>
      <c r="CE15" s="166" t="e">
        <f t="shared" ca="1" si="64"/>
        <v>#REF!</v>
      </c>
      <c r="CF15" s="165" t="e">
        <f t="shared" ca="1" si="65"/>
        <v>#REF!</v>
      </c>
      <c r="CG15" s="167" t="e">
        <f t="shared" ca="1" si="66"/>
        <v>#REF!</v>
      </c>
      <c r="CH15" s="165" t="e">
        <f t="shared" ca="1" si="67"/>
        <v>#REF!</v>
      </c>
      <c r="CI15" s="165" t="e">
        <f t="shared" ca="1" si="68"/>
        <v>#REF!</v>
      </c>
      <c r="CJ15" s="165" t="e">
        <f t="shared" ca="1" si="69"/>
        <v>#REF!</v>
      </c>
      <c r="CK15" s="168" t="e">
        <f t="shared" ca="1" si="36"/>
        <v>#REF!</v>
      </c>
      <c r="CL15" s="169" t="e">
        <f t="shared" ca="1" si="37"/>
        <v>#REF!</v>
      </c>
      <c r="CM15" s="170" t="e">
        <f t="shared" ca="1" si="38"/>
        <v>#REF!</v>
      </c>
      <c r="CN15" s="170" t="e">
        <f t="shared" ca="1" si="39"/>
        <v>#REF!</v>
      </c>
    </row>
    <row r="16" spans="2:92" ht="17.100000000000001" customHeight="1">
      <c r="B16" s="595" t="s">
        <v>28</v>
      </c>
      <c r="C16" s="596"/>
      <c r="D16" s="25"/>
      <c r="E16" s="590" t="e">
        <f t="shared" ca="1" si="12"/>
        <v>#REF!</v>
      </c>
      <c r="F16" s="591"/>
      <c r="G16" s="591" t="e">
        <f t="shared" ca="1" si="13"/>
        <v>#REF!</v>
      </c>
      <c r="H16" s="592"/>
      <c r="I16" s="597" t="e">
        <f t="shared" ca="1" si="14"/>
        <v>#REF!</v>
      </c>
      <c r="J16" s="598"/>
      <c r="K16" s="235"/>
      <c r="L16" s="235"/>
      <c r="M16" s="235"/>
      <c r="N16" s="590" t="e">
        <f t="shared" ca="1" si="15"/>
        <v>#REF!</v>
      </c>
      <c r="O16" s="591"/>
      <c r="P16" s="591" t="e">
        <f t="shared" ca="1" si="16"/>
        <v>#REF!</v>
      </c>
      <c r="Q16" s="592"/>
      <c r="R16" s="597" t="e">
        <f t="shared" ca="1" si="17"/>
        <v>#REF!</v>
      </c>
      <c r="S16" s="598"/>
      <c r="T16" s="235"/>
      <c r="U16" s="235"/>
      <c r="V16" s="235"/>
      <c r="W16" s="590" t="e">
        <f t="shared" ca="1" si="18"/>
        <v>#REF!</v>
      </c>
      <c r="X16" s="591"/>
      <c r="Y16" s="591" t="e">
        <f t="shared" ca="1" si="19"/>
        <v>#REF!</v>
      </c>
      <c r="Z16" s="592"/>
      <c r="AA16" s="597" t="e">
        <f t="shared" ca="1" si="20"/>
        <v>#REF!</v>
      </c>
      <c r="AB16" s="598"/>
      <c r="AC16" s="573"/>
      <c r="AD16" s="62" t="s">
        <v>27</v>
      </c>
      <c r="AE16" s="148"/>
      <c r="AF16" s="160" t="e">
        <f t="shared" ca="1" si="21"/>
        <v>#REF!</v>
      </c>
      <c r="AG16" s="161" t="e">
        <f t="shared" ca="1" si="22"/>
        <v>#REF!</v>
      </c>
      <c r="AH16" s="161" t="e">
        <f t="shared" ca="1" si="22"/>
        <v>#REF!</v>
      </c>
      <c r="AI16" s="161" t="e">
        <f t="shared" ca="1" si="22"/>
        <v>#REF!</v>
      </c>
      <c r="AJ16" s="161" t="e">
        <f t="shared" ca="1" si="22"/>
        <v>#REF!</v>
      </c>
      <c r="AK16" s="161" t="e">
        <f t="shared" ca="1" si="22"/>
        <v>#REF!</v>
      </c>
      <c r="AL16" s="161" t="e">
        <f t="shared" ca="1" si="22"/>
        <v>#REF!</v>
      </c>
      <c r="AM16" s="161" t="e">
        <f t="shared" ca="1" si="22"/>
        <v>#REF!</v>
      </c>
      <c r="AN16" s="161" t="e">
        <f t="shared" ca="1" si="22"/>
        <v>#REF!</v>
      </c>
      <c r="AO16" s="162" t="e">
        <f t="shared" ca="1" si="22"/>
        <v>#REF!</v>
      </c>
      <c r="AP16" s="163" t="e">
        <f t="shared" ca="1" si="23"/>
        <v>#REF!</v>
      </c>
      <c r="AQ16" s="148"/>
      <c r="AR16" s="160" t="e">
        <f t="shared" ca="1" si="24"/>
        <v>#REF!</v>
      </c>
      <c r="AS16" s="161" t="e">
        <f t="shared" ca="1" si="25"/>
        <v>#REF!</v>
      </c>
      <c r="AT16" s="161" t="e">
        <f t="shared" ca="1" si="26"/>
        <v>#REF!</v>
      </c>
      <c r="AU16" s="161" t="e">
        <f t="shared" ca="1" si="27"/>
        <v>#REF!</v>
      </c>
      <c r="AV16" s="161" t="e">
        <f t="shared" ca="1" si="28"/>
        <v>#REF!</v>
      </c>
      <c r="AW16" s="161" t="e">
        <f t="shared" ca="1" si="29"/>
        <v>#REF!</v>
      </c>
      <c r="AX16" s="161" t="e">
        <f t="shared" ca="1" si="30"/>
        <v>#REF!</v>
      </c>
      <c r="AY16" s="161" t="e">
        <f t="shared" ca="1" si="31"/>
        <v>#REF!</v>
      </c>
      <c r="AZ16" s="161" t="e">
        <f t="shared" ca="1" si="32"/>
        <v>#REF!</v>
      </c>
      <c r="BA16" s="162" t="e">
        <f t="shared" ca="1" si="33"/>
        <v>#REF!</v>
      </c>
      <c r="BB16" s="163" t="e">
        <f t="shared" ca="1" si="34"/>
        <v>#REF!</v>
      </c>
      <c r="BC16" s="148"/>
      <c r="BD16" s="163" t="e">
        <f t="shared" ca="1" si="35"/>
        <v>#REF!</v>
      </c>
      <c r="BG16" s="164" t="e">
        <f t="shared" ca="1" si="40"/>
        <v>#REF!</v>
      </c>
      <c r="BH16" s="165" t="e">
        <f t="shared" ca="1" si="41"/>
        <v>#REF!</v>
      </c>
      <c r="BI16" s="165" t="e">
        <f t="shared" ca="1" si="42"/>
        <v>#REF!</v>
      </c>
      <c r="BJ16" s="166" t="e">
        <f t="shared" ca="1" si="43"/>
        <v>#REF!</v>
      </c>
      <c r="BK16" s="165" t="e">
        <f t="shared" ca="1" si="44"/>
        <v>#REF!</v>
      </c>
      <c r="BL16" s="167" t="e">
        <f t="shared" ca="1" si="45"/>
        <v>#REF!</v>
      </c>
      <c r="BM16" s="166" t="e">
        <f t="shared" ca="1" si="46"/>
        <v>#REF!</v>
      </c>
      <c r="BN16" s="165" t="e">
        <f t="shared" ca="1" si="47"/>
        <v>#REF!</v>
      </c>
      <c r="BO16" s="167" t="e">
        <f t="shared" ca="1" si="48"/>
        <v>#REF!</v>
      </c>
      <c r="BP16" s="166" t="e">
        <f t="shared" ca="1" si="49"/>
        <v>#REF!</v>
      </c>
      <c r="BQ16" s="165" t="e">
        <f t="shared" ca="1" si="50"/>
        <v>#REF!</v>
      </c>
      <c r="BR16" s="167" t="e">
        <f t="shared" ca="1" si="51"/>
        <v>#REF!</v>
      </c>
      <c r="BS16" s="166" t="e">
        <f t="shared" ca="1" si="52"/>
        <v>#REF!</v>
      </c>
      <c r="BT16" s="165" t="e">
        <f t="shared" ca="1" si="53"/>
        <v>#REF!</v>
      </c>
      <c r="BU16" s="167" t="e">
        <f t="shared" ca="1" si="54"/>
        <v>#REF!</v>
      </c>
      <c r="BV16" s="166" t="e">
        <f t="shared" ca="1" si="55"/>
        <v>#REF!</v>
      </c>
      <c r="BW16" s="165" t="e">
        <f t="shared" ca="1" si="56"/>
        <v>#REF!</v>
      </c>
      <c r="BX16" s="167" t="e">
        <f t="shared" ca="1" si="57"/>
        <v>#REF!</v>
      </c>
      <c r="BY16" s="166" t="e">
        <f t="shared" ca="1" si="58"/>
        <v>#REF!</v>
      </c>
      <c r="BZ16" s="165" t="e">
        <f t="shared" ca="1" si="59"/>
        <v>#REF!</v>
      </c>
      <c r="CA16" s="167" t="e">
        <f t="shared" ca="1" si="60"/>
        <v>#REF!</v>
      </c>
      <c r="CB16" s="166" t="e">
        <f t="shared" ca="1" si="61"/>
        <v>#REF!</v>
      </c>
      <c r="CC16" s="165" t="e">
        <f t="shared" ca="1" si="62"/>
        <v>#REF!</v>
      </c>
      <c r="CD16" s="167" t="e">
        <f t="shared" ca="1" si="63"/>
        <v>#REF!</v>
      </c>
      <c r="CE16" s="166" t="e">
        <f t="shared" ca="1" si="64"/>
        <v>#REF!</v>
      </c>
      <c r="CF16" s="165" t="e">
        <f t="shared" ca="1" si="65"/>
        <v>#REF!</v>
      </c>
      <c r="CG16" s="167" t="e">
        <f t="shared" ca="1" si="66"/>
        <v>#REF!</v>
      </c>
      <c r="CH16" s="165" t="e">
        <f t="shared" ca="1" si="67"/>
        <v>#REF!</v>
      </c>
      <c r="CI16" s="165" t="e">
        <f t="shared" ca="1" si="68"/>
        <v>#REF!</v>
      </c>
      <c r="CJ16" s="165" t="e">
        <f t="shared" ca="1" si="69"/>
        <v>#REF!</v>
      </c>
      <c r="CK16" s="168" t="e">
        <f t="shared" ca="1" si="36"/>
        <v>#REF!</v>
      </c>
      <c r="CL16" s="169" t="e">
        <f t="shared" ca="1" si="37"/>
        <v>#REF!</v>
      </c>
      <c r="CM16" s="170" t="e">
        <f t="shared" ca="1" si="38"/>
        <v>#REF!</v>
      </c>
      <c r="CN16" s="170" t="e">
        <f t="shared" ca="1" si="39"/>
        <v>#REF!</v>
      </c>
    </row>
    <row r="17" spans="2:92" ht="17.100000000000001" customHeight="1">
      <c r="B17" s="595" t="s">
        <v>29</v>
      </c>
      <c r="C17" s="596"/>
      <c r="D17" s="25"/>
      <c r="E17" s="590" t="e">
        <f t="shared" ca="1" si="12"/>
        <v>#REF!</v>
      </c>
      <c r="F17" s="591"/>
      <c r="G17" s="591" t="e">
        <f t="shared" ca="1" si="13"/>
        <v>#REF!</v>
      </c>
      <c r="H17" s="592"/>
      <c r="I17" s="597" t="e">
        <f t="shared" ca="1" si="14"/>
        <v>#REF!</v>
      </c>
      <c r="J17" s="598"/>
      <c r="K17" s="235"/>
      <c r="L17" s="235"/>
      <c r="M17" s="235"/>
      <c r="N17" s="590" t="e">
        <f t="shared" ca="1" si="15"/>
        <v>#REF!</v>
      </c>
      <c r="O17" s="591"/>
      <c r="P17" s="591" t="e">
        <f t="shared" ca="1" si="16"/>
        <v>#REF!</v>
      </c>
      <c r="Q17" s="592"/>
      <c r="R17" s="597" t="e">
        <f t="shared" ca="1" si="17"/>
        <v>#REF!</v>
      </c>
      <c r="S17" s="598"/>
      <c r="T17" s="235"/>
      <c r="U17" s="235"/>
      <c r="V17" s="235"/>
      <c r="W17" s="590" t="e">
        <f t="shared" ca="1" si="18"/>
        <v>#REF!</v>
      </c>
      <c r="X17" s="591"/>
      <c r="Y17" s="591" t="e">
        <f t="shared" ca="1" si="19"/>
        <v>#REF!</v>
      </c>
      <c r="Z17" s="592"/>
      <c r="AA17" s="597" t="e">
        <f t="shared" ca="1" si="20"/>
        <v>#REF!</v>
      </c>
      <c r="AB17" s="598"/>
      <c r="AC17" s="573"/>
      <c r="AD17" s="62" t="s">
        <v>28</v>
      </c>
      <c r="AE17" s="148"/>
      <c r="AF17" s="160" t="e">
        <f t="shared" ca="1" si="21"/>
        <v>#REF!</v>
      </c>
      <c r="AG17" s="161" t="e">
        <f t="shared" ca="1" si="22"/>
        <v>#REF!</v>
      </c>
      <c r="AH17" s="161" t="e">
        <f t="shared" ca="1" si="22"/>
        <v>#REF!</v>
      </c>
      <c r="AI17" s="161" t="e">
        <f t="shared" ca="1" si="22"/>
        <v>#REF!</v>
      </c>
      <c r="AJ17" s="161" t="e">
        <f t="shared" ca="1" si="22"/>
        <v>#REF!</v>
      </c>
      <c r="AK17" s="161" t="e">
        <f t="shared" ca="1" si="22"/>
        <v>#REF!</v>
      </c>
      <c r="AL17" s="161" t="e">
        <f t="shared" ca="1" si="22"/>
        <v>#REF!</v>
      </c>
      <c r="AM17" s="161" t="e">
        <f t="shared" ca="1" si="22"/>
        <v>#REF!</v>
      </c>
      <c r="AN17" s="161" t="e">
        <f t="shared" ca="1" si="22"/>
        <v>#REF!</v>
      </c>
      <c r="AO17" s="162" t="e">
        <f t="shared" ca="1" si="22"/>
        <v>#REF!</v>
      </c>
      <c r="AP17" s="163" t="e">
        <f t="shared" ca="1" si="23"/>
        <v>#REF!</v>
      </c>
      <c r="AQ17" s="148"/>
      <c r="AR17" s="160" t="e">
        <f t="shared" ca="1" si="24"/>
        <v>#REF!</v>
      </c>
      <c r="AS17" s="161" t="e">
        <f t="shared" ca="1" si="25"/>
        <v>#REF!</v>
      </c>
      <c r="AT17" s="161" t="e">
        <f t="shared" ca="1" si="26"/>
        <v>#REF!</v>
      </c>
      <c r="AU17" s="161" t="e">
        <f t="shared" ca="1" si="27"/>
        <v>#REF!</v>
      </c>
      <c r="AV17" s="161" t="e">
        <f t="shared" ca="1" si="28"/>
        <v>#REF!</v>
      </c>
      <c r="AW17" s="161" t="e">
        <f t="shared" ca="1" si="29"/>
        <v>#REF!</v>
      </c>
      <c r="AX17" s="161" t="e">
        <f t="shared" ca="1" si="30"/>
        <v>#REF!</v>
      </c>
      <c r="AY17" s="161" t="e">
        <f t="shared" ca="1" si="31"/>
        <v>#REF!</v>
      </c>
      <c r="AZ17" s="161" t="e">
        <f t="shared" ca="1" si="32"/>
        <v>#REF!</v>
      </c>
      <c r="BA17" s="162" t="e">
        <f t="shared" ca="1" si="33"/>
        <v>#REF!</v>
      </c>
      <c r="BB17" s="163" t="e">
        <f t="shared" ca="1" si="34"/>
        <v>#REF!</v>
      </c>
      <c r="BC17" s="148"/>
      <c r="BD17" s="163" t="e">
        <f t="shared" ca="1" si="35"/>
        <v>#REF!</v>
      </c>
      <c r="BG17" s="164" t="e">
        <f t="shared" ca="1" si="40"/>
        <v>#REF!</v>
      </c>
      <c r="BH17" s="165" t="e">
        <f t="shared" ca="1" si="41"/>
        <v>#REF!</v>
      </c>
      <c r="BI17" s="165" t="e">
        <f t="shared" ca="1" si="42"/>
        <v>#REF!</v>
      </c>
      <c r="BJ17" s="166" t="e">
        <f t="shared" ca="1" si="43"/>
        <v>#REF!</v>
      </c>
      <c r="BK17" s="165" t="e">
        <f t="shared" ca="1" si="44"/>
        <v>#REF!</v>
      </c>
      <c r="BL17" s="167" t="e">
        <f t="shared" ca="1" si="45"/>
        <v>#REF!</v>
      </c>
      <c r="BM17" s="166" t="e">
        <f t="shared" ca="1" si="46"/>
        <v>#REF!</v>
      </c>
      <c r="BN17" s="165" t="e">
        <f t="shared" ca="1" si="47"/>
        <v>#REF!</v>
      </c>
      <c r="BO17" s="167" t="e">
        <f t="shared" ca="1" si="48"/>
        <v>#REF!</v>
      </c>
      <c r="BP17" s="166" t="e">
        <f t="shared" ca="1" si="49"/>
        <v>#REF!</v>
      </c>
      <c r="BQ17" s="165" t="e">
        <f t="shared" ca="1" si="50"/>
        <v>#REF!</v>
      </c>
      <c r="BR17" s="167" t="e">
        <f t="shared" ca="1" si="51"/>
        <v>#REF!</v>
      </c>
      <c r="BS17" s="166" t="e">
        <f t="shared" ca="1" si="52"/>
        <v>#REF!</v>
      </c>
      <c r="BT17" s="165" t="e">
        <f t="shared" ca="1" si="53"/>
        <v>#REF!</v>
      </c>
      <c r="BU17" s="167" t="e">
        <f t="shared" ca="1" si="54"/>
        <v>#REF!</v>
      </c>
      <c r="BV17" s="166" t="e">
        <f t="shared" ca="1" si="55"/>
        <v>#REF!</v>
      </c>
      <c r="BW17" s="165" t="e">
        <f t="shared" ca="1" si="56"/>
        <v>#REF!</v>
      </c>
      <c r="BX17" s="167" t="e">
        <f t="shared" ca="1" si="57"/>
        <v>#REF!</v>
      </c>
      <c r="BY17" s="166" t="e">
        <f t="shared" ca="1" si="58"/>
        <v>#REF!</v>
      </c>
      <c r="BZ17" s="165" t="e">
        <f t="shared" ca="1" si="59"/>
        <v>#REF!</v>
      </c>
      <c r="CA17" s="167" t="e">
        <f t="shared" ca="1" si="60"/>
        <v>#REF!</v>
      </c>
      <c r="CB17" s="166" t="e">
        <f t="shared" ca="1" si="61"/>
        <v>#REF!</v>
      </c>
      <c r="CC17" s="165" t="e">
        <f t="shared" ca="1" si="62"/>
        <v>#REF!</v>
      </c>
      <c r="CD17" s="167" t="e">
        <f t="shared" ca="1" si="63"/>
        <v>#REF!</v>
      </c>
      <c r="CE17" s="166" t="e">
        <f t="shared" ca="1" si="64"/>
        <v>#REF!</v>
      </c>
      <c r="CF17" s="165" t="e">
        <f t="shared" ca="1" si="65"/>
        <v>#REF!</v>
      </c>
      <c r="CG17" s="167" t="e">
        <f t="shared" ca="1" si="66"/>
        <v>#REF!</v>
      </c>
      <c r="CH17" s="165" t="e">
        <f t="shared" ca="1" si="67"/>
        <v>#REF!</v>
      </c>
      <c r="CI17" s="165" t="e">
        <f t="shared" ca="1" si="68"/>
        <v>#REF!</v>
      </c>
      <c r="CJ17" s="165" t="e">
        <f t="shared" ca="1" si="69"/>
        <v>#REF!</v>
      </c>
      <c r="CK17" s="168" t="e">
        <f t="shared" ca="1" si="36"/>
        <v>#REF!</v>
      </c>
      <c r="CL17" s="169" t="e">
        <f t="shared" ca="1" si="37"/>
        <v>#REF!</v>
      </c>
      <c r="CM17" s="170" t="e">
        <f t="shared" ca="1" si="38"/>
        <v>#REF!</v>
      </c>
      <c r="CN17" s="170" t="e">
        <f t="shared" ca="1" si="39"/>
        <v>#REF!</v>
      </c>
    </row>
    <row r="18" spans="2:92" ht="17.100000000000001" customHeight="1">
      <c r="B18" s="595" t="s">
        <v>30</v>
      </c>
      <c r="C18" s="596"/>
      <c r="D18" s="25"/>
      <c r="E18" s="590" t="e">
        <f t="shared" ca="1" si="12"/>
        <v>#REF!</v>
      </c>
      <c r="F18" s="591"/>
      <c r="G18" s="591" t="e">
        <f t="shared" ca="1" si="13"/>
        <v>#REF!</v>
      </c>
      <c r="H18" s="592"/>
      <c r="I18" s="597" t="e">
        <f t="shared" ca="1" si="14"/>
        <v>#REF!</v>
      </c>
      <c r="J18" s="598"/>
      <c r="K18" s="235"/>
      <c r="L18" s="235"/>
      <c r="M18" s="235"/>
      <c r="N18" s="590" t="e">
        <f t="shared" ca="1" si="15"/>
        <v>#REF!</v>
      </c>
      <c r="O18" s="591"/>
      <c r="P18" s="591" t="e">
        <f t="shared" ca="1" si="16"/>
        <v>#REF!</v>
      </c>
      <c r="Q18" s="592"/>
      <c r="R18" s="597" t="e">
        <f t="shared" ca="1" si="17"/>
        <v>#REF!</v>
      </c>
      <c r="S18" s="598"/>
      <c r="T18" s="235"/>
      <c r="U18" s="235"/>
      <c r="V18" s="235"/>
      <c r="W18" s="590" t="e">
        <f t="shared" ca="1" si="18"/>
        <v>#REF!</v>
      </c>
      <c r="X18" s="591"/>
      <c r="Y18" s="591" t="e">
        <f t="shared" ca="1" si="19"/>
        <v>#REF!</v>
      </c>
      <c r="Z18" s="592"/>
      <c r="AA18" s="597" t="e">
        <f t="shared" ca="1" si="20"/>
        <v>#REF!</v>
      </c>
      <c r="AB18" s="598"/>
      <c r="AC18" s="573"/>
      <c r="AD18" s="62" t="s">
        <v>29</v>
      </c>
      <c r="AE18" s="148"/>
      <c r="AF18" s="160" t="e">
        <f t="shared" ca="1" si="21"/>
        <v>#REF!</v>
      </c>
      <c r="AG18" s="161" t="e">
        <f t="shared" ca="1" si="22"/>
        <v>#REF!</v>
      </c>
      <c r="AH18" s="161" t="e">
        <f t="shared" ca="1" si="22"/>
        <v>#REF!</v>
      </c>
      <c r="AI18" s="161" t="e">
        <f t="shared" ca="1" si="22"/>
        <v>#REF!</v>
      </c>
      <c r="AJ18" s="161" t="e">
        <f t="shared" ca="1" si="22"/>
        <v>#REF!</v>
      </c>
      <c r="AK18" s="161" t="e">
        <f t="shared" ca="1" si="22"/>
        <v>#REF!</v>
      </c>
      <c r="AL18" s="161" t="e">
        <f t="shared" ca="1" si="22"/>
        <v>#REF!</v>
      </c>
      <c r="AM18" s="161" t="e">
        <f t="shared" ca="1" si="22"/>
        <v>#REF!</v>
      </c>
      <c r="AN18" s="161" t="e">
        <f t="shared" ca="1" si="22"/>
        <v>#REF!</v>
      </c>
      <c r="AO18" s="162" t="e">
        <f t="shared" ca="1" si="22"/>
        <v>#REF!</v>
      </c>
      <c r="AP18" s="163" t="e">
        <f t="shared" ca="1" si="23"/>
        <v>#REF!</v>
      </c>
      <c r="AQ18" s="148"/>
      <c r="AR18" s="160" t="e">
        <f t="shared" ca="1" si="24"/>
        <v>#REF!</v>
      </c>
      <c r="AS18" s="161" t="e">
        <f t="shared" ca="1" si="25"/>
        <v>#REF!</v>
      </c>
      <c r="AT18" s="161" t="e">
        <f t="shared" ca="1" si="26"/>
        <v>#REF!</v>
      </c>
      <c r="AU18" s="161" t="e">
        <f t="shared" ca="1" si="27"/>
        <v>#REF!</v>
      </c>
      <c r="AV18" s="161" t="e">
        <f t="shared" ca="1" si="28"/>
        <v>#REF!</v>
      </c>
      <c r="AW18" s="161" t="e">
        <f t="shared" ca="1" si="29"/>
        <v>#REF!</v>
      </c>
      <c r="AX18" s="161" t="e">
        <f t="shared" ca="1" si="30"/>
        <v>#REF!</v>
      </c>
      <c r="AY18" s="161" t="e">
        <f t="shared" ca="1" si="31"/>
        <v>#REF!</v>
      </c>
      <c r="AZ18" s="161" t="e">
        <f t="shared" ca="1" si="32"/>
        <v>#REF!</v>
      </c>
      <c r="BA18" s="162" t="e">
        <f t="shared" ca="1" si="33"/>
        <v>#REF!</v>
      </c>
      <c r="BB18" s="163" t="e">
        <f t="shared" ca="1" si="34"/>
        <v>#REF!</v>
      </c>
      <c r="BC18" s="148"/>
      <c r="BD18" s="163" t="e">
        <f t="shared" ca="1" si="35"/>
        <v>#REF!</v>
      </c>
      <c r="BG18" s="164" t="e">
        <f t="shared" ca="1" si="40"/>
        <v>#REF!</v>
      </c>
      <c r="BH18" s="165" t="e">
        <f t="shared" ca="1" si="41"/>
        <v>#REF!</v>
      </c>
      <c r="BI18" s="165" t="e">
        <f t="shared" ca="1" si="42"/>
        <v>#REF!</v>
      </c>
      <c r="BJ18" s="166" t="e">
        <f t="shared" ca="1" si="43"/>
        <v>#REF!</v>
      </c>
      <c r="BK18" s="165" t="e">
        <f t="shared" ca="1" si="44"/>
        <v>#REF!</v>
      </c>
      <c r="BL18" s="167" t="e">
        <f t="shared" ca="1" si="45"/>
        <v>#REF!</v>
      </c>
      <c r="BM18" s="166" t="e">
        <f t="shared" ca="1" si="46"/>
        <v>#REF!</v>
      </c>
      <c r="BN18" s="165" t="e">
        <f t="shared" ca="1" si="47"/>
        <v>#REF!</v>
      </c>
      <c r="BO18" s="167" t="e">
        <f t="shared" ca="1" si="48"/>
        <v>#REF!</v>
      </c>
      <c r="BP18" s="166" t="e">
        <f t="shared" ca="1" si="49"/>
        <v>#REF!</v>
      </c>
      <c r="BQ18" s="165" t="e">
        <f t="shared" ca="1" si="50"/>
        <v>#REF!</v>
      </c>
      <c r="BR18" s="167" t="e">
        <f t="shared" ca="1" si="51"/>
        <v>#REF!</v>
      </c>
      <c r="BS18" s="166" t="e">
        <f t="shared" ca="1" si="52"/>
        <v>#REF!</v>
      </c>
      <c r="BT18" s="165" t="e">
        <f t="shared" ca="1" si="53"/>
        <v>#REF!</v>
      </c>
      <c r="BU18" s="167" t="e">
        <f t="shared" ca="1" si="54"/>
        <v>#REF!</v>
      </c>
      <c r="BV18" s="166" t="e">
        <f t="shared" ca="1" si="55"/>
        <v>#REF!</v>
      </c>
      <c r="BW18" s="165" t="e">
        <f t="shared" ca="1" si="56"/>
        <v>#REF!</v>
      </c>
      <c r="BX18" s="167" t="e">
        <f t="shared" ca="1" si="57"/>
        <v>#REF!</v>
      </c>
      <c r="BY18" s="166" t="e">
        <f t="shared" ca="1" si="58"/>
        <v>#REF!</v>
      </c>
      <c r="BZ18" s="165" t="e">
        <f t="shared" ca="1" si="59"/>
        <v>#REF!</v>
      </c>
      <c r="CA18" s="167" t="e">
        <f t="shared" ca="1" si="60"/>
        <v>#REF!</v>
      </c>
      <c r="CB18" s="166" t="e">
        <f t="shared" ca="1" si="61"/>
        <v>#REF!</v>
      </c>
      <c r="CC18" s="165" t="e">
        <f t="shared" ca="1" si="62"/>
        <v>#REF!</v>
      </c>
      <c r="CD18" s="167" t="e">
        <f t="shared" ca="1" si="63"/>
        <v>#REF!</v>
      </c>
      <c r="CE18" s="166" t="e">
        <f t="shared" ca="1" si="64"/>
        <v>#REF!</v>
      </c>
      <c r="CF18" s="165" t="e">
        <f t="shared" ca="1" si="65"/>
        <v>#REF!</v>
      </c>
      <c r="CG18" s="167" t="e">
        <f t="shared" ca="1" si="66"/>
        <v>#REF!</v>
      </c>
      <c r="CH18" s="165" t="e">
        <f t="shared" ca="1" si="67"/>
        <v>#REF!</v>
      </c>
      <c r="CI18" s="165" t="e">
        <f t="shared" ca="1" si="68"/>
        <v>#REF!</v>
      </c>
      <c r="CJ18" s="165" t="e">
        <f t="shared" ca="1" si="69"/>
        <v>#REF!</v>
      </c>
      <c r="CK18" s="168" t="e">
        <f t="shared" ca="1" si="36"/>
        <v>#REF!</v>
      </c>
      <c r="CL18" s="169" t="e">
        <f t="shared" ca="1" si="37"/>
        <v>#REF!</v>
      </c>
      <c r="CM18" s="170" t="e">
        <f t="shared" ca="1" si="38"/>
        <v>#REF!</v>
      </c>
      <c r="CN18" s="170" t="e">
        <f t="shared" ca="1" si="39"/>
        <v>#REF!</v>
      </c>
    </row>
    <row r="19" spans="2:92" ht="17.100000000000001" customHeight="1">
      <c r="B19" s="595" t="s">
        <v>31</v>
      </c>
      <c r="C19" s="596"/>
      <c r="D19" s="25"/>
      <c r="E19" s="590" t="e">
        <f t="shared" ca="1" si="12"/>
        <v>#REF!</v>
      </c>
      <c r="F19" s="591"/>
      <c r="G19" s="591" t="e">
        <f t="shared" ca="1" si="13"/>
        <v>#REF!</v>
      </c>
      <c r="H19" s="592"/>
      <c r="I19" s="597" t="e">
        <f t="shared" ca="1" si="14"/>
        <v>#REF!</v>
      </c>
      <c r="J19" s="598"/>
      <c r="K19" s="235"/>
      <c r="L19" s="235"/>
      <c r="M19" s="235"/>
      <c r="N19" s="590" t="e">
        <f t="shared" ca="1" si="15"/>
        <v>#REF!</v>
      </c>
      <c r="O19" s="591"/>
      <c r="P19" s="591" t="e">
        <f t="shared" ca="1" si="16"/>
        <v>#REF!</v>
      </c>
      <c r="Q19" s="592"/>
      <c r="R19" s="597" t="e">
        <f t="shared" ca="1" si="17"/>
        <v>#REF!</v>
      </c>
      <c r="S19" s="598"/>
      <c r="T19" s="235"/>
      <c r="U19" s="235"/>
      <c r="V19" s="235"/>
      <c r="W19" s="590" t="e">
        <f t="shared" ca="1" si="18"/>
        <v>#REF!</v>
      </c>
      <c r="X19" s="591"/>
      <c r="Y19" s="591" t="e">
        <f t="shared" ca="1" si="19"/>
        <v>#REF!</v>
      </c>
      <c r="Z19" s="592"/>
      <c r="AA19" s="597" t="e">
        <f t="shared" ca="1" si="20"/>
        <v>#REF!</v>
      </c>
      <c r="AB19" s="598"/>
      <c r="AC19" s="573"/>
      <c r="AD19" s="62" t="s">
        <v>30</v>
      </c>
      <c r="AE19" s="148"/>
      <c r="AF19" s="160" t="e">
        <f t="shared" ca="1" si="21"/>
        <v>#REF!</v>
      </c>
      <c r="AG19" s="161" t="e">
        <f t="shared" ca="1" si="22"/>
        <v>#REF!</v>
      </c>
      <c r="AH19" s="161" t="e">
        <f t="shared" ca="1" si="22"/>
        <v>#REF!</v>
      </c>
      <c r="AI19" s="161" t="e">
        <f t="shared" ca="1" si="22"/>
        <v>#REF!</v>
      </c>
      <c r="AJ19" s="161" t="e">
        <f t="shared" ca="1" si="22"/>
        <v>#REF!</v>
      </c>
      <c r="AK19" s="161" t="e">
        <f t="shared" ca="1" si="22"/>
        <v>#REF!</v>
      </c>
      <c r="AL19" s="161" t="e">
        <f t="shared" ca="1" si="22"/>
        <v>#REF!</v>
      </c>
      <c r="AM19" s="161" t="e">
        <f t="shared" ca="1" si="22"/>
        <v>#REF!</v>
      </c>
      <c r="AN19" s="161" t="e">
        <f t="shared" ca="1" si="22"/>
        <v>#REF!</v>
      </c>
      <c r="AO19" s="162" t="e">
        <f t="shared" ca="1" si="22"/>
        <v>#REF!</v>
      </c>
      <c r="AP19" s="163" t="e">
        <f t="shared" ca="1" si="23"/>
        <v>#REF!</v>
      </c>
      <c r="AQ19" s="148"/>
      <c r="AR19" s="160" t="e">
        <f t="shared" ca="1" si="24"/>
        <v>#REF!</v>
      </c>
      <c r="AS19" s="161" t="e">
        <f t="shared" ca="1" si="25"/>
        <v>#REF!</v>
      </c>
      <c r="AT19" s="161" t="e">
        <f t="shared" ca="1" si="26"/>
        <v>#REF!</v>
      </c>
      <c r="AU19" s="161" t="e">
        <f t="shared" ca="1" si="27"/>
        <v>#REF!</v>
      </c>
      <c r="AV19" s="161" t="e">
        <f t="shared" ca="1" si="28"/>
        <v>#REF!</v>
      </c>
      <c r="AW19" s="161" t="e">
        <f t="shared" ca="1" si="29"/>
        <v>#REF!</v>
      </c>
      <c r="AX19" s="161" t="e">
        <f t="shared" ca="1" si="30"/>
        <v>#REF!</v>
      </c>
      <c r="AY19" s="161" t="e">
        <f t="shared" ca="1" si="31"/>
        <v>#REF!</v>
      </c>
      <c r="AZ19" s="161" t="e">
        <f t="shared" ca="1" si="32"/>
        <v>#REF!</v>
      </c>
      <c r="BA19" s="162" t="e">
        <f t="shared" ca="1" si="33"/>
        <v>#REF!</v>
      </c>
      <c r="BB19" s="163" t="e">
        <f t="shared" ca="1" si="34"/>
        <v>#REF!</v>
      </c>
      <c r="BC19" s="148"/>
      <c r="BD19" s="163" t="e">
        <f t="shared" ca="1" si="35"/>
        <v>#REF!</v>
      </c>
      <c r="BG19" s="164" t="e">
        <f t="shared" ca="1" si="40"/>
        <v>#REF!</v>
      </c>
      <c r="BH19" s="165" t="e">
        <f t="shared" ca="1" si="41"/>
        <v>#REF!</v>
      </c>
      <c r="BI19" s="165" t="e">
        <f t="shared" ca="1" si="42"/>
        <v>#REF!</v>
      </c>
      <c r="BJ19" s="166" t="e">
        <f t="shared" ca="1" si="43"/>
        <v>#REF!</v>
      </c>
      <c r="BK19" s="165" t="e">
        <f t="shared" ca="1" si="44"/>
        <v>#REF!</v>
      </c>
      <c r="BL19" s="167" t="e">
        <f t="shared" ca="1" si="45"/>
        <v>#REF!</v>
      </c>
      <c r="BM19" s="166" t="e">
        <f t="shared" ca="1" si="46"/>
        <v>#REF!</v>
      </c>
      <c r="BN19" s="165" t="e">
        <f t="shared" ca="1" si="47"/>
        <v>#REF!</v>
      </c>
      <c r="BO19" s="167" t="e">
        <f t="shared" ca="1" si="48"/>
        <v>#REF!</v>
      </c>
      <c r="BP19" s="166" t="e">
        <f t="shared" ca="1" si="49"/>
        <v>#REF!</v>
      </c>
      <c r="BQ19" s="165" t="e">
        <f t="shared" ca="1" si="50"/>
        <v>#REF!</v>
      </c>
      <c r="BR19" s="167" t="e">
        <f t="shared" ca="1" si="51"/>
        <v>#REF!</v>
      </c>
      <c r="BS19" s="166" t="e">
        <f t="shared" ca="1" si="52"/>
        <v>#REF!</v>
      </c>
      <c r="BT19" s="165" t="e">
        <f t="shared" ca="1" si="53"/>
        <v>#REF!</v>
      </c>
      <c r="BU19" s="167" t="e">
        <f t="shared" ca="1" si="54"/>
        <v>#REF!</v>
      </c>
      <c r="BV19" s="166" t="e">
        <f t="shared" ca="1" si="55"/>
        <v>#REF!</v>
      </c>
      <c r="BW19" s="165" t="e">
        <f t="shared" ca="1" si="56"/>
        <v>#REF!</v>
      </c>
      <c r="BX19" s="167" t="e">
        <f t="shared" ca="1" si="57"/>
        <v>#REF!</v>
      </c>
      <c r="BY19" s="166" t="e">
        <f t="shared" ca="1" si="58"/>
        <v>#REF!</v>
      </c>
      <c r="BZ19" s="165" t="e">
        <f t="shared" ca="1" si="59"/>
        <v>#REF!</v>
      </c>
      <c r="CA19" s="167" t="e">
        <f t="shared" ca="1" si="60"/>
        <v>#REF!</v>
      </c>
      <c r="CB19" s="166" t="e">
        <f t="shared" ca="1" si="61"/>
        <v>#REF!</v>
      </c>
      <c r="CC19" s="165" t="e">
        <f t="shared" ca="1" si="62"/>
        <v>#REF!</v>
      </c>
      <c r="CD19" s="167" t="e">
        <f t="shared" ca="1" si="63"/>
        <v>#REF!</v>
      </c>
      <c r="CE19" s="166" t="e">
        <f t="shared" ca="1" si="64"/>
        <v>#REF!</v>
      </c>
      <c r="CF19" s="165" t="e">
        <f t="shared" ca="1" si="65"/>
        <v>#REF!</v>
      </c>
      <c r="CG19" s="167" t="e">
        <f t="shared" ca="1" si="66"/>
        <v>#REF!</v>
      </c>
      <c r="CH19" s="165" t="e">
        <f t="shared" ca="1" si="67"/>
        <v>#REF!</v>
      </c>
      <c r="CI19" s="165" t="e">
        <f t="shared" ca="1" si="68"/>
        <v>#REF!</v>
      </c>
      <c r="CJ19" s="165" t="e">
        <f t="shared" ca="1" si="69"/>
        <v>#REF!</v>
      </c>
      <c r="CK19" s="168" t="e">
        <f t="shared" ca="1" si="36"/>
        <v>#REF!</v>
      </c>
      <c r="CL19" s="169" t="e">
        <f t="shared" ca="1" si="37"/>
        <v>#REF!</v>
      </c>
      <c r="CM19" s="170" t="e">
        <f t="shared" ca="1" si="38"/>
        <v>#REF!</v>
      </c>
      <c r="CN19" s="170" t="e">
        <f t="shared" ca="1" si="39"/>
        <v>#REF!</v>
      </c>
    </row>
    <row r="20" spans="2:92" ht="17.100000000000001" customHeight="1">
      <c r="B20" s="595" t="s">
        <v>32</v>
      </c>
      <c r="C20" s="596"/>
      <c r="D20" s="25"/>
      <c r="E20" s="590" t="e">
        <f t="shared" ca="1" si="12"/>
        <v>#REF!</v>
      </c>
      <c r="F20" s="591"/>
      <c r="G20" s="591" t="e">
        <f t="shared" ca="1" si="13"/>
        <v>#REF!</v>
      </c>
      <c r="H20" s="592"/>
      <c r="I20" s="597" t="e">
        <f t="shared" ca="1" si="14"/>
        <v>#REF!</v>
      </c>
      <c r="J20" s="598"/>
      <c r="K20" s="235"/>
      <c r="L20" s="235"/>
      <c r="M20" s="235"/>
      <c r="N20" s="590" t="e">
        <f t="shared" ca="1" si="15"/>
        <v>#REF!</v>
      </c>
      <c r="O20" s="591"/>
      <c r="P20" s="591" t="e">
        <f t="shared" ca="1" si="16"/>
        <v>#REF!</v>
      </c>
      <c r="Q20" s="592"/>
      <c r="R20" s="597" t="e">
        <f t="shared" ca="1" si="17"/>
        <v>#REF!</v>
      </c>
      <c r="S20" s="598"/>
      <c r="T20" s="235"/>
      <c r="U20" s="235"/>
      <c r="V20" s="235"/>
      <c r="W20" s="590" t="e">
        <f t="shared" ca="1" si="18"/>
        <v>#REF!</v>
      </c>
      <c r="X20" s="591"/>
      <c r="Y20" s="591" t="e">
        <f t="shared" ca="1" si="19"/>
        <v>#REF!</v>
      </c>
      <c r="Z20" s="592"/>
      <c r="AA20" s="597" t="e">
        <f t="shared" ca="1" si="20"/>
        <v>#REF!</v>
      </c>
      <c r="AB20" s="598"/>
      <c r="AC20" s="573"/>
      <c r="AD20" s="62" t="s">
        <v>31</v>
      </c>
      <c r="AE20" s="148"/>
      <c r="AF20" s="160" t="e">
        <f t="shared" ca="1" si="21"/>
        <v>#REF!</v>
      </c>
      <c r="AG20" s="161" t="e">
        <f t="shared" ca="1" si="22"/>
        <v>#REF!</v>
      </c>
      <c r="AH20" s="161" t="e">
        <f t="shared" ca="1" si="22"/>
        <v>#REF!</v>
      </c>
      <c r="AI20" s="161" t="e">
        <f t="shared" ca="1" si="22"/>
        <v>#REF!</v>
      </c>
      <c r="AJ20" s="161" t="e">
        <f t="shared" ca="1" si="22"/>
        <v>#REF!</v>
      </c>
      <c r="AK20" s="161" t="e">
        <f t="shared" ca="1" si="22"/>
        <v>#REF!</v>
      </c>
      <c r="AL20" s="161" t="e">
        <f t="shared" ca="1" si="22"/>
        <v>#REF!</v>
      </c>
      <c r="AM20" s="161" t="e">
        <f t="shared" ca="1" si="22"/>
        <v>#REF!</v>
      </c>
      <c r="AN20" s="161" t="e">
        <f t="shared" ca="1" si="22"/>
        <v>#REF!</v>
      </c>
      <c r="AO20" s="162" t="e">
        <f t="shared" ca="1" si="22"/>
        <v>#REF!</v>
      </c>
      <c r="AP20" s="163" t="e">
        <f t="shared" ca="1" si="23"/>
        <v>#REF!</v>
      </c>
      <c r="AQ20" s="148"/>
      <c r="AR20" s="160" t="e">
        <f t="shared" ca="1" si="24"/>
        <v>#REF!</v>
      </c>
      <c r="AS20" s="161" t="e">
        <f t="shared" ca="1" si="25"/>
        <v>#REF!</v>
      </c>
      <c r="AT20" s="161" t="e">
        <f t="shared" ca="1" si="26"/>
        <v>#REF!</v>
      </c>
      <c r="AU20" s="161" t="e">
        <f t="shared" ca="1" si="27"/>
        <v>#REF!</v>
      </c>
      <c r="AV20" s="161" t="e">
        <f t="shared" ca="1" si="28"/>
        <v>#REF!</v>
      </c>
      <c r="AW20" s="161" t="e">
        <f t="shared" ca="1" si="29"/>
        <v>#REF!</v>
      </c>
      <c r="AX20" s="161" t="e">
        <f t="shared" ca="1" si="30"/>
        <v>#REF!</v>
      </c>
      <c r="AY20" s="161" t="e">
        <f t="shared" ca="1" si="31"/>
        <v>#REF!</v>
      </c>
      <c r="AZ20" s="161" t="e">
        <f t="shared" ca="1" si="32"/>
        <v>#REF!</v>
      </c>
      <c r="BA20" s="162" t="e">
        <f t="shared" ca="1" si="33"/>
        <v>#REF!</v>
      </c>
      <c r="BB20" s="163" t="e">
        <f t="shared" ca="1" si="34"/>
        <v>#REF!</v>
      </c>
      <c r="BC20" s="148"/>
      <c r="BD20" s="163" t="e">
        <f t="shared" ca="1" si="35"/>
        <v>#REF!</v>
      </c>
      <c r="BG20" s="164" t="e">
        <f t="shared" ca="1" si="40"/>
        <v>#REF!</v>
      </c>
      <c r="BH20" s="165" t="e">
        <f t="shared" ca="1" si="41"/>
        <v>#REF!</v>
      </c>
      <c r="BI20" s="165" t="e">
        <f t="shared" ca="1" si="42"/>
        <v>#REF!</v>
      </c>
      <c r="BJ20" s="166" t="e">
        <f t="shared" ca="1" si="43"/>
        <v>#REF!</v>
      </c>
      <c r="BK20" s="165" t="e">
        <f t="shared" ca="1" si="44"/>
        <v>#REF!</v>
      </c>
      <c r="BL20" s="167" t="e">
        <f t="shared" ca="1" si="45"/>
        <v>#REF!</v>
      </c>
      <c r="BM20" s="166" t="e">
        <f t="shared" ca="1" si="46"/>
        <v>#REF!</v>
      </c>
      <c r="BN20" s="165" t="e">
        <f t="shared" ca="1" si="47"/>
        <v>#REF!</v>
      </c>
      <c r="BO20" s="167" t="e">
        <f t="shared" ca="1" si="48"/>
        <v>#REF!</v>
      </c>
      <c r="BP20" s="166" t="e">
        <f t="shared" ca="1" si="49"/>
        <v>#REF!</v>
      </c>
      <c r="BQ20" s="165" t="e">
        <f t="shared" ca="1" si="50"/>
        <v>#REF!</v>
      </c>
      <c r="BR20" s="167" t="e">
        <f t="shared" ca="1" si="51"/>
        <v>#REF!</v>
      </c>
      <c r="BS20" s="166" t="e">
        <f t="shared" ca="1" si="52"/>
        <v>#REF!</v>
      </c>
      <c r="BT20" s="165" t="e">
        <f t="shared" ca="1" si="53"/>
        <v>#REF!</v>
      </c>
      <c r="BU20" s="167" t="e">
        <f t="shared" ca="1" si="54"/>
        <v>#REF!</v>
      </c>
      <c r="BV20" s="166" t="e">
        <f t="shared" ca="1" si="55"/>
        <v>#REF!</v>
      </c>
      <c r="BW20" s="165" t="e">
        <f t="shared" ca="1" si="56"/>
        <v>#REF!</v>
      </c>
      <c r="BX20" s="167" t="e">
        <f t="shared" ca="1" si="57"/>
        <v>#REF!</v>
      </c>
      <c r="BY20" s="166" t="e">
        <f t="shared" ca="1" si="58"/>
        <v>#REF!</v>
      </c>
      <c r="BZ20" s="165" t="e">
        <f t="shared" ca="1" si="59"/>
        <v>#REF!</v>
      </c>
      <c r="CA20" s="167" t="e">
        <f t="shared" ca="1" si="60"/>
        <v>#REF!</v>
      </c>
      <c r="CB20" s="166" t="e">
        <f t="shared" ca="1" si="61"/>
        <v>#REF!</v>
      </c>
      <c r="CC20" s="165" t="e">
        <f t="shared" ca="1" si="62"/>
        <v>#REF!</v>
      </c>
      <c r="CD20" s="167" t="e">
        <f t="shared" ca="1" si="63"/>
        <v>#REF!</v>
      </c>
      <c r="CE20" s="166" t="e">
        <f t="shared" ca="1" si="64"/>
        <v>#REF!</v>
      </c>
      <c r="CF20" s="165" t="e">
        <f t="shared" ca="1" si="65"/>
        <v>#REF!</v>
      </c>
      <c r="CG20" s="167" t="e">
        <f t="shared" ca="1" si="66"/>
        <v>#REF!</v>
      </c>
      <c r="CH20" s="165" t="e">
        <f t="shared" ca="1" si="67"/>
        <v>#REF!</v>
      </c>
      <c r="CI20" s="165" t="e">
        <f t="shared" ca="1" si="68"/>
        <v>#REF!</v>
      </c>
      <c r="CJ20" s="165" t="e">
        <f t="shared" ca="1" si="69"/>
        <v>#REF!</v>
      </c>
      <c r="CK20" s="168" t="e">
        <f t="shared" ca="1" si="36"/>
        <v>#REF!</v>
      </c>
      <c r="CL20" s="169" t="e">
        <f t="shared" ca="1" si="37"/>
        <v>#REF!</v>
      </c>
      <c r="CM20" s="170" t="e">
        <f t="shared" ca="1" si="38"/>
        <v>#REF!</v>
      </c>
      <c r="CN20" s="170" t="e">
        <f t="shared" ca="1" si="39"/>
        <v>#REF!</v>
      </c>
    </row>
    <row r="21" spans="2:92" ht="17.100000000000001" customHeight="1">
      <c r="B21" s="595" t="s">
        <v>33</v>
      </c>
      <c r="C21" s="596"/>
      <c r="D21" s="25"/>
      <c r="E21" s="590" t="e">
        <f t="shared" ca="1" si="12"/>
        <v>#REF!</v>
      </c>
      <c r="F21" s="591"/>
      <c r="G21" s="591" t="e">
        <f t="shared" ca="1" si="13"/>
        <v>#REF!</v>
      </c>
      <c r="H21" s="592"/>
      <c r="I21" s="597" t="e">
        <f t="shared" ca="1" si="14"/>
        <v>#REF!</v>
      </c>
      <c r="J21" s="598"/>
      <c r="K21" s="235"/>
      <c r="L21" s="235"/>
      <c r="M21" s="235"/>
      <c r="N21" s="590" t="e">
        <f t="shared" ca="1" si="15"/>
        <v>#REF!</v>
      </c>
      <c r="O21" s="591"/>
      <c r="P21" s="591" t="e">
        <f t="shared" ca="1" si="16"/>
        <v>#REF!</v>
      </c>
      <c r="Q21" s="592"/>
      <c r="R21" s="597" t="e">
        <f t="shared" ca="1" si="17"/>
        <v>#REF!</v>
      </c>
      <c r="S21" s="598"/>
      <c r="T21" s="235"/>
      <c r="U21" s="235"/>
      <c r="V21" s="235"/>
      <c r="W21" s="590" t="e">
        <f t="shared" ca="1" si="18"/>
        <v>#REF!</v>
      </c>
      <c r="X21" s="591"/>
      <c r="Y21" s="591" t="e">
        <f t="shared" ca="1" si="19"/>
        <v>#REF!</v>
      </c>
      <c r="Z21" s="592"/>
      <c r="AA21" s="597" t="e">
        <f t="shared" ca="1" si="20"/>
        <v>#REF!</v>
      </c>
      <c r="AB21" s="598"/>
      <c r="AC21" s="573"/>
      <c r="AD21" s="62" t="s">
        <v>32</v>
      </c>
      <c r="AE21" s="148"/>
      <c r="AF21" s="160" t="e">
        <f t="shared" ca="1" si="21"/>
        <v>#REF!</v>
      </c>
      <c r="AG21" s="161" t="e">
        <f t="shared" ca="1" si="22"/>
        <v>#REF!</v>
      </c>
      <c r="AH21" s="161" t="e">
        <f t="shared" ca="1" si="22"/>
        <v>#REF!</v>
      </c>
      <c r="AI21" s="161" t="e">
        <f t="shared" ca="1" si="22"/>
        <v>#REF!</v>
      </c>
      <c r="AJ21" s="161" t="e">
        <f t="shared" ca="1" si="22"/>
        <v>#REF!</v>
      </c>
      <c r="AK21" s="161" t="e">
        <f t="shared" ca="1" si="22"/>
        <v>#REF!</v>
      </c>
      <c r="AL21" s="161" t="e">
        <f t="shared" ca="1" si="22"/>
        <v>#REF!</v>
      </c>
      <c r="AM21" s="161" t="e">
        <f t="shared" ca="1" si="22"/>
        <v>#REF!</v>
      </c>
      <c r="AN21" s="161" t="e">
        <f t="shared" ca="1" si="22"/>
        <v>#REF!</v>
      </c>
      <c r="AO21" s="162" t="e">
        <f t="shared" ca="1" si="22"/>
        <v>#REF!</v>
      </c>
      <c r="AP21" s="163" t="e">
        <f t="shared" ca="1" si="23"/>
        <v>#REF!</v>
      </c>
      <c r="AQ21" s="148"/>
      <c r="AR21" s="160" t="e">
        <f t="shared" ca="1" si="24"/>
        <v>#REF!</v>
      </c>
      <c r="AS21" s="161" t="e">
        <f t="shared" ca="1" si="25"/>
        <v>#REF!</v>
      </c>
      <c r="AT21" s="161" t="e">
        <f t="shared" ca="1" si="26"/>
        <v>#REF!</v>
      </c>
      <c r="AU21" s="161" t="e">
        <f t="shared" ca="1" si="27"/>
        <v>#REF!</v>
      </c>
      <c r="AV21" s="161" t="e">
        <f t="shared" ca="1" si="28"/>
        <v>#REF!</v>
      </c>
      <c r="AW21" s="161" t="e">
        <f t="shared" ca="1" si="29"/>
        <v>#REF!</v>
      </c>
      <c r="AX21" s="161" t="e">
        <f t="shared" ca="1" si="30"/>
        <v>#REF!</v>
      </c>
      <c r="AY21" s="161" t="e">
        <f t="shared" ca="1" si="31"/>
        <v>#REF!</v>
      </c>
      <c r="AZ21" s="161" t="e">
        <f t="shared" ca="1" si="32"/>
        <v>#REF!</v>
      </c>
      <c r="BA21" s="162" t="e">
        <f t="shared" ca="1" si="33"/>
        <v>#REF!</v>
      </c>
      <c r="BB21" s="163" t="e">
        <f t="shared" ca="1" si="34"/>
        <v>#REF!</v>
      </c>
      <c r="BC21" s="148"/>
      <c r="BD21" s="163" t="e">
        <f t="shared" ca="1" si="35"/>
        <v>#REF!</v>
      </c>
      <c r="BG21" s="164" t="e">
        <f t="shared" ca="1" si="40"/>
        <v>#REF!</v>
      </c>
      <c r="BH21" s="165" t="e">
        <f t="shared" ca="1" si="41"/>
        <v>#REF!</v>
      </c>
      <c r="BI21" s="165" t="e">
        <f t="shared" ca="1" si="42"/>
        <v>#REF!</v>
      </c>
      <c r="BJ21" s="166" t="e">
        <f t="shared" ca="1" si="43"/>
        <v>#REF!</v>
      </c>
      <c r="BK21" s="165" t="e">
        <f t="shared" ca="1" si="44"/>
        <v>#REF!</v>
      </c>
      <c r="BL21" s="167" t="e">
        <f t="shared" ca="1" si="45"/>
        <v>#REF!</v>
      </c>
      <c r="BM21" s="166" t="e">
        <f t="shared" ca="1" si="46"/>
        <v>#REF!</v>
      </c>
      <c r="BN21" s="165" t="e">
        <f t="shared" ca="1" si="47"/>
        <v>#REF!</v>
      </c>
      <c r="BO21" s="167" t="e">
        <f t="shared" ca="1" si="48"/>
        <v>#REF!</v>
      </c>
      <c r="BP21" s="166" t="e">
        <f t="shared" ca="1" si="49"/>
        <v>#REF!</v>
      </c>
      <c r="BQ21" s="165" t="e">
        <f t="shared" ca="1" si="50"/>
        <v>#REF!</v>
      </c>
      <c r="BR21" s="167" t="e">
        <f t="shared" ca="1" si="51"/>
        <v>#REF!</v>
      </c>
      <c r="BS21" s="166" t="e">
        <f t="shared" ca="1" si="52"/>
        <v>#REF!</v>
      </c>
      <c r="BT21" s="165" t="e">
        <f t="shared" ca="1" si="53"/>
        <v>#REF!</v>
      </c>
      <c r="BU21" s="167" t="e">
        <f t="shared" ca="1" si="54"/>
        <v>#REF!</v>
      </c>
      <c r="BV21" s="166" t="e">
        <f t="shared" ca="1" si="55"/>
        <v>#REF!</v>
      </c>
      <c r="BW21" s="165" t="e">
        <f t="shared" ca="1" si="56"/>
        <v>#REF!</v>
      </c>
      <c r="BX21" s="167" t="e">
        <f t="shared" ca="1" si="57"/>
        <v>#REF!</v>
      </c>
      <c r="BY21" s="166" t="e">
        <f t="shared" ca="1" si="58"/>
        <v>#REF!</v>
      </c>
      <c r="BZ21" s="165" t="e">
        <f t="shared" ca="1" si="59"/>
        <v>#REF!</v>
      </c>
      <c r="CA21" s="167" t="e">
        <f t="shared" ca="1" si="60"/>
        <v>#REF!</v>
      </c>
      <c r="CB21" s="166" t="e">
        <f t="shared" ca="1" si="61"/>
        <v>#REF!</v>
      </c>
      <c r="CC21" s="165" t="e">
        <f t="shared" ca="1" si="62"/>
        <v>#REF!</v>
      </c>
      <c r="CD21" s="167" t="e">
        <f t="shared" ca="1" si="63"/>
        <v>#REF!</v>
      </c>
      <c r="CE21" s="166" t="e">
        <f t="shared" ca="1" si="64"/>
        <v>#REF!</v>
      </c>
      <c r="CF21" s="165" t="e">
        <f t="shared" ca="1" si="65"/>
        <v>#REF!</v>
      </c>
      <c r="CG21" s="167" t="e">
        <f t="shared" ca="1" si="66"/>
        <v>#REF!</v>
      </c>
      <c r="CH21" s="165" t="e">
        <f t="shared" ca="1" si="67"/>
        <v>#REF!</v>
      </c>
      <c r="CI21" s="165" t="e">
        <f t="shared" ca="1" si="68"/>
        <v>#REF!</v>
      </c>
      <c r="CJ21" s="165" t="e">
        <f t="shared" ca="1" si="69"/>
        <v>#REF!</v>
      </c>
      <c r="CK21" s="168" t="e">
        <f t="shared" ca="1" si="36"/>
        <v>#REF!</v>
      </c>
      <c r="CL21" s="169" t="e">
        <f t="shared" ca="1" si="37"/>
        <v>#REF!</v>
      </c>
      <c r="CM21" s="170" t="e">
        <f t="shared" ca="1" si="38"/>
        <v>#REF!</v>
      </c>
      <c r="CN21" s="170" t="e">
        <f t="shared" ca="1" si="39"/>
        <v>#REF!</v>
      </c>
    </row>
    <row r="22" spans="2:92" ht="17.100000000000001" customHeight="1">
      <c r="B22" s="595" t="s">
        <v>34</v>
      </c>
      <c r="C22" s="596"/>
      <c r="D22" s="25"/>
      <c r="E22" s="590" t="e">
        <f t="shared" ca="1" si="12"/>
        <v>#REF!</v>
      </c>
      <c r="F22" s="591"/>
      <c r="G22" s="591" t="e">
        <f t="shared" ca="1" si="13"/>
        <v>#REF!</v>
      </c>
      <c r="H22" s="592"/>
      <c r="I22" s="597" t="e">
        <f t="shared" ca="1" si="14"/>
        <v>#REF!</v>
      </c>
      <c r="J22" s="598"/>
      <c r="K22" s="235"/>
      <c r="L22" s="235"/>
      <c r="M22" s="235"/>
      <c r="N22" s="590" t="e">
        <f t="shared" ca="1" si="15"/>
        <v>#REF!</v>
      </c>
      <c r="O22" s="591"/>
      <c r="P22" s="591" t="e">
        <f t="shared" ca="1" si="16"/>
        <v>#REF!</v>
      </c>
      <c r="Q22" s="592"/>
      <c r="R22" s="597" t="e">
        <f t="shared" ca="1" si="17"/>
        <v>#REF!</v>
      </c>
      <c r="S22" s="598"/>
      <c r="T22" s="235"/>
      <c r="U22" s="235"/>
      <c r="V22" s="235"/>
      <c r="W22" s="590" t="e">
        <f t="shared" ca="1" si="18"/>
        <v>#REF!</v>
      </c>
      <c r="X22" s="591"/>
      <c r="Y22" s="591" t="e">
        <f t="shared" ca="1" si="19"/>
        <v>#REF!</v>
      </c>
      <c r="Z22" s="592"/>
      <c r="AA22" s="597" t="e">
        <f t="shared" ca="1" si="20"/>
        <v>#REF!</v>
      </c>
      <c r="AB22" s="598"/>
      <c r="AC22" s="573"/>
      <c r="AD22" s="62" t="s">
        <v>33</v>
      </c>
      <c r="AE22" s="148"/>
      <c r="AF22" s="160" t="e">
        <f t="shared" ca="1" si="21"/>
        <v>#REF!</v>
      </c>
      <c r="AG22" s="161" t="e">
        <f t="shared" ca="1" si="22"/>
        <v>#REF!</v>
      </c>
      <c r="AH22" s="161" t="e">
        <f t="shared" ca="1" si="22"/>
        <v>#REF!</v>
      </c>
      <c r="AI22" s="161" t="e">
        <f t="shared" ca="1" si="22"/>
        <v>#REF!</v>
      </c>
      <c r="AJ22" s="161" t="e">
        <f t="shared" ca="1" si="22"/>
        <v>#REF!</v>
      </c>
      <c r="AK22" s="161" t="e">
        <f t="shared" ca="1" si="22"/>
        <v>#REF!</v>
      </c>
      <c r="AL22" s="161" t="e">
        <f t="shared" ca="1" si="22"/>
        <v>#REF!</v>
      </c>
      <c r="AM22" s="161" t="e">
        <f t="shared" ca="1" si="22"/>
        <v>#REF!</v>
      </c>
      <c r="AN22" s="161" t="e">
        <f t="shared" ca="1" si="22"/>
        <v>#REF!</v>
      </c>
      <c r="AO22" s="162" t="e">
        <f t="shared" ca="1" si="22"/>
        <v>#REF!</v>
      </c>
      <c r="AP22" s="163" t="e">
        <f t="shared" ca="1" si="23"/>
        <v>#REF!</v>
      </c>
      <c r="AQ22" s="148"/>
      <c r="AR22" s="160" t="e">
        <f t="shared" ca="1" si="24"/>
        <v>#REF!</v>
      </c>
      <c r="AS22" s="161" t="e">
        <f t="shared" ca="1" si="25"/>
        <v>#REF!</v>
      </c>
      <c r="AT22" s="161" t="e">
        <f t="shared" ca="1" si="26"/>
        <v>#REF!</v>
      </c>
      <c r="AU22" s="161" t="e">
        <f t="shared" ca="1" si="27"/>
        <v>#REF!</v>
      </c>
      <c r="AV22" s="161" t="e">
        <f t="shared" ca="1" si="28"/>
        <v>#REF!</v>
      </c>
      <c r="AW22" s="161" t="e">
        <f t="shared" ca="1" si="29"/>
        <v>#REF!</v>
      </c>
      <c r="AX22" s="161" t="e">
        <f t="shared" ca="1" si="30"/>
        <v>#REF!</v>
      </c>
      <c r="AY22" s="161" t="e">
        <f t="shared" ca="1" si="31"/>
        <v>#REF!</v>
      </c>
      <c r="AZ22" s="161" t="e">
        <f t="shared" ca="1" si="32"/>
        <v>#REF!</v>
      </c>
      <c r="BA22" s="162" t="e">
        <f t="shared" ca="1" si="33"/>
        <v>#REF!</v>
      </c>
      <c r="BB22" s="163" t="e">
        <f t="shared" ca="1" si="34"/>
        <v>#REF!</v>
      </c>
      <c r="BC22" s="148"/>
      <c r="BD22" s="163" t="e">
        <f t="shared" ca="1" si="35"/>
        <v>#REF!</v>
      </c>
      <c r="BG22" s="164" t="e">
        <f t="shared" ca="1" si="40"/>
        <v>#REF!</v>
      </c>
      <c r="BH22" s="165" t="e">
        <f t="shared" ca="1" si="41"/>
        <v>#REF!</v>
      </c>
      <c r="BI22" s="165" t="e">
        <f t="shared" ca="1" si="42"/>
        <v>#REF!</v>
      </c>
      <c r="BJ22" s="166" t="e">
        <f t="shared" ca="1" si="43"/>
        <v>#REF!</v>
      </c>
      <c r="BK22" s="165" t="e">
        <f t="shared" ca="1" si="44"/>
        <v>#REF!</v>
      </c>
      <c r="BL22" s="167" t="e">
        <f t="shared" ca="1" si="45"/>
        <v>#REF!</v>
      </c>
      <c r="BM22" s="166" t="e">
        <f t="shared" ca="1" si="46"/>
        <v>#REF!</v>
      </c>
      <c r="BN22" s="165" t="e">
        <f t="shared" ca="1" si="47"/>
        <v>#REF!</v>
      </c>
      <c r="BO22" s="167" t="e">
        <f t="shared" ca="1" si="48"/>
        <v>#REF!</v>
      </c>
      <c r="BP22" s="166" t="e">
        <f t="shared" ca="1" si="49"/>
        <v>#REF!</v>
      </c>
      <c r="BQ22" s="165" t="e">
        <f t="shared" ca="1" si="50"/>
        <v>#REF!</v>
      </c>
      <c r="BR22" s="167" t="e">
        <f t="shared" ca="1" si="51"/>
        <v>#REF!</v>
      </c>
      <c r="BS22" s="166" t="e">
        <f t="shared" ca="1" si="52"/>
        <v>#REF!</v>
      </c>
      <c r="BT22" s="165" t="e">
        <f t="shared" ca="1" si="53"/>
        <v>#REF!</v>
      </c>
      <c r="BU22" s="167" t="e">
        <f t="shared" ca="1" si="54"/>
        <v>#REF!</v>
      </c>
      <c r="BV22" s="166" t="e">
        <f t="shared" ca="1" si="55"/>
        <v>#REF!</v>
      </c>
      <c r="BW22" s="165" t="e">
        <f t="shared" ca="1" si="56"/>
        <v>#REF!</v>
      </c>
      <c r="BX22" s="167" t="e">
        <f t="shared" ca="1" si="57"/>
        <v>#REF!</v>
      </c>
      <c r="BY22" s="166" t="e">
        <f t="shared" ca="1" si="58"/>
        <v>#REF!</v>
      </c>
      <c r="BZ22" s="165" t="e">
        <f t="shared" ca="1" si="59"/>
        <v>#REF!</v>
      </c>
      <c r="CA22" s="167" t="e">
        <f t="shared" ca="1" si="60"/>
        <v>#REF!</v>
      </c>
      <c r="CB22" s="166" t="e">
        <f t="shared" ca="1" si="61"/>
        <v>#REF!</v>
      </c>
      <c r="CC22" s="165" t="e">
        <f t="shared" ca="1" si="62"/>
        <v>#REF!</v>
      </c>
      <c r="CD22" s="167" t="e">
        <f t="shared" ca="1" si="63"/>
        <v>#REF!</v>
      </c>
      <c r="CE22" s="166" t="e">
        <f t="shared" ca="1" si="64"/>
        <v>#REF!</v>
      </c>
      <c r="CF22" s="165" t="e">
        <f t="shared" ca="1" si="65"/>
        <v>#REF!</v>
      </c>
      <c r="CG22" s="167" t="e">
        <f t="shared" ca="1" si="66"/>
        <v>#REF!</v>
      </c>
      <c r="CH22" s="165" t="e">
        <f t="shared" ca="1" si="67"/>
        <v>#REF!</v>
      </c>
      <c r="CI22" s="165" t="e">
        <f t="shared" ca="1" si="68"/>
        <v>#REF!</v>
      </c>
      <c r="CJ22" s="165" t="e">
        <f t="shared" ca="1" si="69"/>
        <v>#REF!</v>
      </c>
      <c r="CK22" s="168" t="e">
        <f t="shared" ca="1" si="36"/>
        <v>#REF!</v>
      </c>
      <c r="CL22" s="169" t="e">
        <f t="shared" ca="1" si="37"/>
        <v>#REF!</v>
      </c>
      <c r="CM22" s="170" t="e">
        <f t="shared" ca="1" si="38"/>
        <v>#REF!</v>
      </c>
      <c r="CN22" s="170" t="e">
        <f t="shared" ca="1" si="39"/>
        <v>#REF!</v>
      </c>
    </row>
    <row r="23" spans="2:92" ht="17.100000000000001" customHeight="1">
      <c r="B23" s="595" t="s">
        <v>35</v>
      </c>
      <c r="C23" s="596"/>
      <c r="D23" s="25"/>
      <c r="E23" s="590" t="e">
        <f t="shared" ca="1" si="12"/>
        <v>#REF!</v>
      </c>
      <c r="F23" s="591"/>
      <c r="G23" s="591" t="e">
        <f t="shared" ca="1" si="13"/>
        <v>#REF!</v>
      </c>
      <c r="H23" s="592"/>
      <c r="I23" s="597" t="e">
        <f t="shared" ca="1" si="14"/>
        <v>#REF!</v>
      </c>
      <c r="J23" s="598"/>
      <c r="K23" s="235"/>
      <c r="L23" s="235"/>
      <c r="M23" s="235"/>
      <c r="N23" s="590" t="e">
        <f t="shared" ca="1" si="15"/>
        <v>#REF!</v>
      </c>
      <c r="O23" s="591"/>
      <c r="P23" s="591" t="e">
        <f t="shared" ca="1" si="16"/>
        <v>#REF!</v>
      </c>
      <c r="Q23" s="592"/>
      <c r="R23" s="597" t="e">
        <f t="shared" ca="1" si="17"/>
        <v>#REF!</v>
      </c>
      <c r="S23" s="598"/>
      <c r="T23" s="235"/>
      <c r="U23" s="235"/>
      <c r="V23" s="235"/>
      <c r="W23" s="590" t="e">
        <f t="shared" ca="1" si="18"/>
        <v>#REF!</v>
      </c>
      <c r="X23" s="591"/>
      <c r="Y23" s="591" t="e">
        <f t="shared" ca="1" si="19"/>
        <v>#REF!</v>
      </c>
      <c r="Z23" s="592"/>
      <c r="AA23" s="597" t="e">
        <f t="shared" ca="1" si="20"/>
        <v>#REF!</v>
      </c>
      <c r="AB23" s="598"/>
      <c r="AC23" s="573"/>
      <c r="AD23" s="62" t="s">
        <v>34</v>
      </c>
      <c r="AE23" s="148"/>
      <c r="AF23" s="160" t="e">
        <f t="shared" ca="1" si="21"/>
        <v>#REF!</v>
      </c>
      <c r="AG23" s="161" t="e">
        <f t="shared" ca="1" si="22"/>
        <v>#REF!</v>
      </c>
      <c r="AH23" s="161" t="e">
        <f t="shared" ca="1" si="22"/>
        <v>#REF!</v>
      </c>
      <c r="AI23" s="161" t="e">
        <f t="shared" ca="1" si="22"/>
        <v>#REF!</v>
      </c>
      <c r="AJ23" s="161" t="e">
        <f t="shared" ca="1" si="22"/>
        <v>#REF!</v>
      </c>
      <c r="AK23" s="161" t="e">
        <f t="shared" ca="1" si="22"/>
        <v>#REF!</v>
      </c>
      <c r="AL23" s="161" t="e">
        <f t="shared" ca="1" si="22"/>
        <v>#REF!</v>
      </c>
      <c r="AM23" s="161" t="e">
        <f t="shared" ca="1" si="22"/>
        <v>#REF!</v>
      </c>
      <c r="AN23" s="161" t="e">
        <f t="shared" ca="1" si="22"/>
        <v>#REF!</v>
      </c>
      <c r="AO23" s="162" t="e">
        <f t="shared" ca="1" si="22"/>
        <v>#REF!</v>
      </c>
      <c r="AP23" s="163" t="e">
        <f t="shared" ca="1" si="23"/>
        <v>#REF!</v>
      </c>
      <c r="AQ23" s="148"/>
      <c r="AR23" s="160" t="e">
        <f t="shared" ca="1" si="24"/>
        <v>#REF!</v>
      </c>
      <c r="AS23" s="161" t="e">
        <f t="shared" ca="1" si="25"/>
        <v>#REF!</v>
      </c>
      <c r="AT23" s="161" t="e">
        <f t="shared" ca="1" si="26"/>
        <v>#REF!</v>
      </c>
      <c r="AU23" s="161" t="e">
        <f t="shared" ca="1" si="27"/>
        <v>#REF!</v>
      </c>
      <c r="AV23" s="161" t="e">
        <f t="shared" ca="1" si="28"/>
        <v>#REF!</v>
      </c>
      <c r="AW23" s="161" t="e">
        <f t="shared" ca="1" si="29"/>
        <v>#REF!</v>
      </c>
      <c r="AX23" s="161" t="e">
        <f t="shared" ca="1" si="30"/>
        <v>#REF!</v>
      </c>
      <c r="AY23" s="161" t="e">
        <f t="shared" ca="1" si="31"/>
        <v>#REF!</v>
      </c>
      <c r="AZ23" s="161" t="e">
        <f t="shared" ca="1" si="32"/>
        <v>#REF!</v>
      </c>
      <c r="BA23" s="162" t="e">
        <f t="shared" ca="1" si="33"/>
        <v>#REF!</v>
      </c>
      <c r="BB23" s="163" t="e">
        <f t="shared" ca="1" si="34"/>
        <v>#REF!</v>
      </c>
      <c r="BC23" s="148"/>
      <c r="BD23" s="163" t="e">
        <f t="shared" ca="1" si="35"/>
        <v>#REF!</v>
      </c>
      <c r="BG23" s="164" t="e">
        <f t="shared" ca="1" si="40"/>
        <v>#REF!</v>
      </c>
      <c r="BH23" s="165" t="e">
        <f t="shared" ca="1" si="41"/>
        <v>#REF!</v>
      </c>
      <c r="BI23" s="165" t="e">
        <f t="shared" ca="1" si="42"/>
        <v>#REF!</v>
      </c>
      <c r="BJ23" s="166" t="e">
        <f t="shared" ca="1" si="43"/>
        <v>#REF!</v>
      </c>
      <c r="BK23" s="165" t="e">
        <f t="shared" ca="1" si="44"/>
        <v>#REF!</v>
      </c>
      <c r="BL23" s="167" t="e">
        <f t="shared" ca="1" si="45"/>
        <v>#REF!</v>
      </c>
      <c r="BM23" s="166" t="e">
        <f t="shared" ca="1" si="46"/>
        <v>#REF!</v>
      </c>
      <c r="BN23" s="165" t="e">
        <f t="shared" ca="1" si="47"/>
        <v>#REF!</v>
      </c>
      <c r="BO23" s="167" t="e">
        <f t="shared" ca="1" si="48"/>
        <v>#REF!</v>
      </c>
      <c r="BP23" s="166" t="e">
        <f t="shared" ca="1" si="49"/>
        <v>#REF!</v>
      </c>
      <c r="BQ23" s="165" t="e">
        <f t="shared" ca="1" si="50"/>
        <v>#REF!</v>
      </c>
      <c r="BR23" s="167" t="e">
        <f t="shared" ca="1" si="51"/>
        <v>#REF!</v>
      </c>
      <c r="BS23" s="166" t="e">
        <f t="shared" ca="1" si="52"/>
        <v>#REF!</v>
      </c>
      <c r="BT23" s="165" t="e">
        <f t="shared" ca="1" si="53"/>
        <v>#REF!</v>
      </c>
      <c r="BU23" s="167" t="e">
        <f t="shared" ca="1" si="54"/>
        <v>#REF!</v>
      </c>
      <c r="BV23" s="166" t="e">
        <f t="shared" ca="1" si="55"/>
        <v>#REF!</v>
      </c>
      <c r="BW23" s="165" t="e">
        <f t="shared" ca="1" si="56"/>
        <v>#REF!</v>
      </c>
      <c r="BX23" s="167" t="e">
        <f t="shared" ca="1" si="57"/>
        <v>#REF!</v>
      </c>
      <c r="BY23" s="166" t="e">
        <f t="shared" ca="1" si="58"/>
        <v>#REF!</v>
      </c>
      <c r="BZ23" s="165" t="e">
        <f t="shared" ca="1" si="59"/>
        <v>#REF!</v>
      </c>
      <c r="CA23" s="167" t="e">
        <f t="shared" ca="1" si="60"/>
        <v>#REF!</v>
      </c>
      <c r="CB23" s="166" t="e">
        <f t="shared" ca="1" si="61"/>
        <v>#REF!</v>
      </c>
      <c r="CC23" s="165" t="e">
        <f t="shared" ca="1" si="62"/>
        <v>#REF!</v>
      </c>
      <c r="CD23" s="167" t="e">
        <f t="shared" ca="1" si="63"/>
        <v>#REF!</v>
      </c>
      <c r="CE23" s="166" t="e">
        <f t="shared" ca="1" si="64"/>
        <v>#REF!</v>
      </c>
      <c r="CF23" s="165" t="e">
        <f t="shared" ca="1" si="65"/>
        <v>#REF!</v>
      </c>
      <c r="CG23" s="167" t="e">
        <f t="shared" ca="1" si="66"/>
        <v>#REF!</v>
      </c>
      <c r="CH23" s="165" t="e">
        <f t="shared" ca="1" si="67"/>
        <v>#REF!</v>
      </c>
      <c r="CI23" s="165" t="e">
        <f t="shared" ca="1" si="68"/>
        <v>#REF!</v>
      </c>
      <c r="CJ23" s="165" t="e">
        <f t="shared" ca="1" si="69"/>
        <v>#REF!</v>
      </c>
      <c r="CK23" s="168" t="e">
        <f t="shared" ca="1" si="36"/>
        <v>#REF!</v>
      </c>
      <c r="CL23" s="169" t="e">
        <f t="shared" ca="1" si="37"/>
        <v>#REF!</v>
      </c>
      <c r="CM23" s="170" t="e">
        <f t="shared" ca="1" si="38"/>
        <v>#REF!</v>
      </c>
      <c r="CN23" s="170" t="e">
        <f t="shared" ca="1" si="39"/>
        <v>#REF!</v>
      </c>
    </row>
    <row r="24" spans="2:92" ht="17.100000000000001" customHeight="1">
      <c r="B24" s="595" t="s">
        <v>36</v>
      </c>
      <c r="C24" s="596"/>
      <c r="D24" s="25"/>
      <c r="E24" s="590" t="e">
        <f t="shared" ca="1" si="12"/>
        <v>#REF!</v>
      </c>
      <c r="F24" s="591"/>
      <c r="G24" s="591" t="e">
        <f t="shared" ca="1" si="13"/>
        <v>#REF!</v>
      </c>
      <c r="H24" s="592"/>
      <c r="I24" s="597" t="e">
        <f t="shared" ca="1" si="14"/>
        <v>#REF!</v>
      </c>
      <c r="J24" s="598"/>
      <c r="K24" s="235"/>
      <c r="L24" s="235"/>
      <c r="M24" s="235"/>
      <c r="N24" s="590" t="e">
        <f t="shared" ca="1" si="15"/>
        <v>#REF!</v>
      </c>
      <c r="O24" s="591"/>
      <c r="P24" s="591" t="e">
        <f t="shared" ca="1" si="16"/>
        <v>#REF!</v>
      </c>
      <c r="Q24" s="592"/>
      <c r="R24" s="597" t="e">
        <f t="shared" ca="1" si="17"/>
        <v>#REF!</v>
      </c>
      <c r="S24" s="598"/>
      <c r="T24" s="235"/>
      <c r="U24" s="235"/>
      <c r="V24" s="235"/>
      <c r="W24" s="590" t="e">
        <f t="shared" ca="1" si="18"/>
        <v>#REF!</v>
      </c>
      <c r="X24" s="591"/>
      <c r="Y24" s="591" t="e">
        <f t="shared" ca="1" si="19"/>
        <v>#REF!</v>
      </c>
      <c r="Z24" s="592"/>
      <c r="AA24" s="597" t="e">
        <f t="shared" ca="1" si="20"/>
        <v>#REF!</v>
      </c>
      <c r="AB24" s="598"/>
      <c r="AC24" s="573"/>
      <c r="AD24" s="62" t="s">
        <v>35</v>
      </c>
      <c r="AE24" s="148"/>
      <c r="AF24" s="160" t="e">
        <f t="shared" ca="1" si="21"/>
        <v>#REF!</v>
      </c>
      <c r="AG24" s="161" t="e">
        <f t="shared" ca="1" si="22"/>
        <v>#REF!</v>
      </c>
      <c r="AH24" s="161" t="e">
        <f t="shared" ca="1" si="22"/>
        <v>#REF!</v>
      </c>
      <c r="AI24" s="161" t="e">
        <f t="shared" ca="1" si="22"/>
        <v>#REF!</v>
      </c>
      <c r="AJ24" s="161" t="e">
        <f t="shared" ca="1" si="22"/>
        <v>#REF!</v>
      </c>
      <c r="AK24" s="161" t="e">
        <f t="shared" ca="1" si="22"/>
        <v>#REF!</v>
      </c>
      <c r="AL24" s="161" t="e">
        <f t="shared" ca="1" si="22"/>
        <v>#REF!</v>
      </c>
      <c r="AM24" s="161" t="e">
        <f t="shared" ca="1" si="22"/>
        <v>#REF!</v>
      </c>
      <c r="AN24" s="161" t="e">
        <f t="shared" ca="1" si="22"/>
        <v>#REF!</v>
      </c>
      <c r="AO24" s="162" t="e">
        <f t="shared" ca="1" si="22"/>
        <v>#REF!</v>
      </c>
      <c r="AP24" s="163" t="e">
        <f t="shared" ca="1" si="23"/>
        <v>#REF!</v>
      </c>
      <c r="AQ24" s="148"/>
      <c r="AR24" s="160" t="e">
        <f t="shared" ca="1" si="24"/>
        <v>#REF!</v>
      </c>
      <c r="AS24" s="161" t="e">
        <f t="shared" ca="1" si="25"/>
        <v>#REF!</v>
      </c>
      <c r="AT24" s="161" t="e">
        <f t="shared" ca="1" si="26"/>
        <v>#REF!</v>
      </c>
      <c r="AU24" s="161" t="e">
        <f t="shared" ca="1" si="27"/>
        <v>#REF!</v>
      </c>
      <c r="AV24" s="161" t="e">
        <f t="shared" ca="1" si="28"/>
        <v>#REF!</v>
      </c>
      <c r="AW24" s="161" t="e">
        <f t="shared" ca="1" si="29"/>
        <v>#REF!</v>
      </c>
      <c r="AX24" s="161" t="e">
        <f t="shared" ca="1" si="30"/>
        <v>#REF!</v>
      </c>
      <c r="AY24" s="161" t="e">
        <f t="shared" ca="1" si="31"/>
        <v>#REF!</v>
      </c>
      <c r="AZ24" s="161" t="e">
        <f t="shared" ca="1" si="32"/>
        <v>#REF!</v>
      </c>
      <c r="BA24" s="162" t="e">
        <f t="shared" ca="1" si="33"/>
        <v>#REF!</v>
      </c>
      <c r="BB24" s="163" t="e">
        <f t="shared" ca="1" si="34"/>
        <v>#REF!</v>
      </c>
      <c r="BC24" s="148"/>
      <c r="BD24" s="163" t="e">
        <f t="shared" ca="1" si="35"/>
        <v>#REF!</v>
      </c>
      <c r="BG24" s="164" t="e">
        <f t="shared" ca="1" si="40"/>
        <v>#REF!</v>
      </c>
      <c r="BH24" s="165" t="e">
        <f t="shared" ca="1" si="41"/>
        <v>#REF!</v>
      </c>
      <c r="BI24" s="165" t="e">
        <f t="shared" ca="1" si="42"/>
        <v>#REF!</v>
      </c>
      <c r="BJ24" s="166" t="e">
        <f t="shared" ca="1" si="43"/>
        <v>#REF!</v>
      </c>
      <c r="BK24" s="165" t="e">
        <f t="shared" ca="1" si="44"/>
        <v>#REF!</v>
      </c>
      <c r="BL24" s="167" t="e">
        <f t="shared" ca="1" si="45"/>
        <v>#REF!</v>
      </c>
      <c r="BM24" s="166" t="e">
        <f t="shared" ca="1" si="46"/>
        <v>#REF!</v>
      </c>
      <c r="BN24" s="165" t="e">
        <f t="shared" ca="1" si="47"/>
        <v>#REF!</v>
      </c>
      <c r="BO24" s="167" t="e">
        <f t="shared" ca="1" si="48"/>
        <v>#REF!</v>
      </c>
      <c r="BP24" s="166" t="e">
        <f t="shared" ca="1" si="49"/>
        <v>#REF!</v>
      </c>
      <c r="BQ24" s="165" t="e">
        <f t="shared" ca="1" si="50"/>
        <v>#REF!</v>
      </c>
      <c r="BR24" s="167" t="e">
        <f t="shared" ca="1" si="51"/>
        <v>#REF!</v>
      </c>
      <c r="BS24" s="166" t="e">
        <f t="shared" ca="1" si="52"/>
        <v>#REF!</v>
      </c>
      <c r="BT24" s="165" t="e">
        <f t="shared" ca="1" si="53"/>
        <v>#REF!</v>
      </c>
      <c r="BU24" s="167" t="e">
        <f t="shared" ca="1" si="54"/>
        <v>#REF!</v>
      </c>
      <c r="BV24" s="166" t="e">
        <f t="shared" ca="1" si="55"/>
        <v>#REF!</v>
      </c>
      <c r="BW24" s="165" t="e">
        <f t="shared" ca="1" si="56"/>
        <v>#REF!</v>
      </c>
      <c r="BX24" s="167" t="e">
        <f t="shared" ca="1" si="57"/>
        <v>#REF!</v>
      </c>
      <c r="BY24" s="166" t="e">
        <f t="shared" ca="1" si="58"/>
        <v>#REF!</v>
      </c>
      <c r="BZ24" s="165" t="e">
        <f t="shared" ca="1" si="59"/>
        <v>#REF!</v>
      </c>
      <c r="CA24" s="167" t="e">
        <f t="shared" ca="1" si="60"/>
        <v>#REF!</v>
      </c>
      <c r="CB24" s="166" t="e">
        <f t="shared" ca="1" si="61"/>
        <v>#REF!</v>
      </c>
      <c r="CC24" s="165" t="e">
        <f t="shared" ca="1" si="62"/>
        <v>#REF!</v>
      </c>
      <c r="CD24" s="167" t="e">
        <f t="shared" ca="1" si="63"/>
        <v>#REF!</v>
      </c>
      <c r="CE24" s="166" t="e">
        <f t="shared" ca="1" si="64"/>
        <v>#REF!</v>
      </c>
      <c r="CF24" s="165" t="e">
        <f t="shared" ca="1" si="65"/>
        <v>#REF!</v>
      </c>
      <c r="CG24" s="167" t="e">
        <f t="shared" ca="1" si="66"/>
        <v>#REF!</v>
      </c>
      <c r="CH24" s="165" t="e">
        <f t="shared" ca="1" si="67"/>
        <v>#REF!</v>
      </c>
      <c r="CI24" s="165" t="e">
        <f t="shared" ca="1" si="68"/>
        <v>#REF!</v>
      </c>
      <c r="CJ24" s="165" t="e">
        <f t="shared" ca="1" si="69"/>
        <v>#REF!</v>
      </c>
      <c r="CK24" s="168" t="e">
        <f t="shared" ca="1" si="36"/>
        <v>#REF!</v>
      </c>
      <c r="CL24" s="169" t="e">
        <f t="shared" ca="1" si="37"/>
        <v>#REF!</v>
      </c>
      <c r="CM24" s="170" t="e">
        <f t="shared" ca="1" si="38"/>
        <v>#REF!</v>
      </c>
      <c r="CN24" s="170" t="e">
        <f t="shared" ca="1" si="39"/>
        <v>#REF!</v>
      </c>
    </row>
    <row r="25" spans="2:92" ht="17.100000000000001" customHeight="1">
      <c r="B25" s="595" t="s">
        <v>37</v>
      </c>
      <c r="C25" s="596"/>
      <c r="D25" s="25"/>
      <c r="E25" s="590" t="e">
        <f t="shared" ca="1" si="12"/>
        <v>#REF!</v>
      </c>
      <c r="F25" s="591"/>
      <c r="G25" s="591" t="e">
        <f t="shared" ca="1" si="13"/>
        <v>#REF!</v>
      </c>
      <c r="H25" s="592"/>
      <c r="I25" s="597" t="e">
        <f t="shared" ca="1" si="14"/>
        <v>#REF!</v>
      </c>
      <c r="J25" s="598"/>
      <c r="K25" s="235"/>
      <c r="L25" s="235"/>
      <c r="M25" s="235"/>
      <c r="N25" s="590" t="e">
        <f t="shared" ca="1" si="15"/>
        <v>#REF!</v>
      </c>
      <c r="O25" s="591"/>
      <c r="P25" s="591" t="e">
        <f t="shared" ca="1" si="16"/>
        <v>#REF!</v>
      </c>
      <c r="Q25" s="592"/>
      <c r="R25" s="597" t="e">
        <f t="shared" ca="1" si="17"/>
        <v>#REF!</v>
      </c>
      <c r="S25" s="598"/>
      <c r="T25" s="235"/>
      <c r="U25" s="235"/>
      <c r="V25" s="235"/>
      <c r="W25" s="590" t="e">
        <f t="shared" ca="1" si="18"/>
        <v>#REF!</v>
      </c>
      <c r="X25" s="591"/>
      <c r="Y25" s="591" t="e">
        <f t="shared" ca="1" si="19"/>
        <v>#REF!</v>
      </c>
      <c r="Z25" s="592"/>
      <c r="AA25" s="597" t="e">
        <f t="shared" ca="1" si="20"/>
        <v>#REF!</v>
      </c>
      <c r="AB25" s="598"/>
      <c r="AC25" s="573"/>
      <c r="AD25" s="62" t="s">
        <v>36</v>
      </c>
      <c r="AE25" s="148"/>
      <c r="AF25" s="160" t="e">
        <f t="shared" ca="1" si="21"/>
        <v>#REF!</v>
      </c>
      <c r="AG25" s="161" t="e">
        <f t="shared" ca="1" si="22"/>
        <v>#REF!</v>
      </c>
      <c r="AH25" s="161" t="e">
        <f t="shared" ca="1" si="22"/>
        <v>#REF!</v>
      </c>
      <c r="AI25" s="161" t="e">
        <f t="shared" ca="1" si="22"/>
        <v>#REF!</v>
      </c>
      <c r="AJ25" s="161" t="e">
        <f t="shared" ca="1" si="22"/>
        <v>#REF!</v>
      </c>
      <c r="AK25" s="161" t="e">
        <f t="shared" ca="1" si="22"/>
        <v>#REF!</v>
      </c>
      <c r="AL25" s="161" t="e">
        <f t="shared" ca="1" si="22"/>
        <v>#REF!</v>
      </c>
      <c r="AM25" s="161" t="e">
        <f t="shared" ca="1" si="22"/>
        <v>#REF!</v>
      </c>
      <c r="AN25" s="161" t="e">
        <f t="shared" ca="1" si="22"/>
        <v>#REF!</v>
      </c>
      <c r="AO25" s="162" t="e">
        <f t="shared" ca="1" si="22"/>
        <v>#REF!</v>
      </c>
      <c r="AP25" s="163" t="e">
        <f t="shared" ca="1" si="23"/>
        <v>#REF!</v>
      </c>
      <c r="AQ25" s="148"/>
      <c r="AR25" s="160" t="e">
        <f t="shared" ca="1" si="24"/>
        <v>#REF!</v>
      </c>
      <c r="AS25" s="161" t="e">
        <f t="shared" ca="1" si="25"/>
        <v>#REF!</v>
      </c>
      <c r="AT25" s="161" t="e">
        <f t="shared" ca="1" si="26"/>
        <v>#REF!</v>
      </c>
      <c r="AU25" s="161" t="e">
        <f t="shared" ca="1" si="27"/>
        <v>#REF!</v>
      </c>
      <c r="AV25" s="161" t="e">
        <f t="shared" ca="1" si="28"/>
        <v>#REF!</v>
      </c>
      <c r="AW25" s="161" t="e">
        <f t="shared" ca="1" si="29"/>
        <v>#REF!</v>
      </c>
      <c r="AX25" s="161" t="e">
        <f t="shared" ca="1" si="30"/>
        <v>#REF!</v>
      </c>
      <c r="AY25" s="161" t="e">
        <f t="shared" ca="1" si="31"/>
        <v>#REF!</v>
      </c>
      <c r="AZ25" s="161" t="e">
        <f t="shared" ca="1" si="32"/>
        <v>#REF!</v>
      </c>
      <c r="BA25" s="162" t="e">
        <f t="shared" ca="1" si="33"/>
        <v>#REF!</v>
      </c>
      <c r="BB25" s="163" t="e">
        <f t="shared" ca="1" si="34"/>
        <v>#REF!</v>
      </c>
      <c r="BC25" s="148"/>
      <c r="BD25" s="163" t="e">
        <f t="shared" ca="1" si="35"/>
        <v>#REF!</v>
      </c>
      <c r="BG25" s="164" t="e">
        <f t="shared" ca="1" si="40"/>
        <v>#REF!</v>
      </c>
      <c r="BH25" s="165" t="e">
        <f t="shared" ca="1" si="41"/>
        <v>#REF!</v>
      </c>
      <c r="BI25" s="165" t="e">
        <f t="shared" ca="1" si="42"/>
        <v>#REF!</v>
      </c>
      <c r="BJ25" s="166" t="e">
        <f t="shared" ca="1" si="43"/>
        <v>#REF!</v>
      </c>
      <c r="BK25" s="165" t="e">
        <f t="shared" ca="1" si="44"/>
        <v>#REF!</v>
      </c>
      <c r="BL25" s="167" t="e">
        <f t="shared" ca="1" si="45"/>
        <v>#REF!</v>
      </c>
      <c r="BM25" s="166" t="e">
        <f t="shared" ca="1" si="46"/>
        <v>#REF!</v>
      </c>
      <c r="BN25" s="165" t="e">
        <f t="shared" ca="1" si="47"/>
        <v>#REF!</v>
      </c>
      <c r="BO25" s="167" t="e">
        <f t="shared" ca="1" si="48"/>
        <v>#REF!</v>
      </c>
      <c r="BP25" s="166" t="e">
        <f t="shared" ca="1" si="49"/>
        <v>#REF!</v>
      </c>
      <c r="BQ25" s="165" t="e">
        <f t="shared" ca="1" si="50"/>
        <v>#REF!</v>
      </c>
      <c r="BR25" s="167" t="e">
        <f t="shared" ca="1" si="51"/>
        <v>#REF!</v>
      </c>
      <c r="BS25" s="166" t="e">
        <f t="shared" ca="1" si="52"/>
        <v>#REF!</v>
      </c>
      <c r="BT25" s="165" t="e">
        <f t="shared" ca="1" si="53"/>
        <v>#REF!</v>
      </c>
      <c r="BU25" s="167" t="e">
        <f t="shared" ca="1" si="54"/>
        <v>#REF!</v>
      </c>
      <c r="BV25" s="166" t="e">
        <f t="shared" ca="1" si="55"/>
        <v>#REF!</v>
      </c>
      <c r="BW25" s="165" t="e">
        <f t="shared" ca="1" si="56"/>
        <v>#REF!</v>
      </c>
      <c r="BX25" s="167" t="e">
        <f t="shared" ca="1" si="57"/>
        <v>#REF!</v>
      </c>
      <c r="BY25" s="166" t="e">
        <f t="shared" ca="1" si="58"/>
        <v>#REF!</v>
      </c>
      <c r="BZ25" s="165" t="e">
        <f t="shared" ca="1" si="59"/>
        <v>#REF!</v>
      </c>
      <c r="CA25" s="167" t="e">
        <f t="shared" ca="1" si="60"/>
        <v>#REF!</v>
      </c>
      <c r="CB25" s="166" t="e">
        <f t="shared" ca="1" si="61"/>
        <v>#REF!</v>
      </c>
      <c r="CC25" s="165" t="e">
        <f t="shared" ca="1" si="62"/>
        <v>#REF!</v>
      </c>
      <c r="CD25" s="167" t="e">
        <f t="shared" ca="1" si="63"/>
        <v>#REF!</v>
      </c>
      <c r="CE25" s="166" t="e">
        <f t="shared" ca="1" si="64"/>
        <v>#REF!</v>
      </c>
      <c r="CF25" s="165" t="e">
        <f t="shared" ca="1" si="65"/>
        <v>#REF!</v>
      </c>
      <c r="CG25" s="167" t="e">
        <f t="shared" ca="1" si="66"/>
        <v>#REF!</v>
      </c>
      <c r="CH25" s="165" t="e">
        <f t="shared" ca="1" si="67"/>
        <v>#REF!</v>
      </c>
      <c r="CI25" s="165" t="e">
        <f t="shared" ca="1" si="68"/>
        <v>#REF!</v>
      </c>
      <c r="CJ25" s="165" t="e">
        <f t="shared" ca="1" si="69"/>
        <v>#REF!</v>
      </c>
      <c r="CK25" s="168" t="e">
        <f t="shared" ca="1" si="36"/>
        <v>#REF!</v>
      </c>
      <c r="CL25" s="169" t="e">
        <f t="shared" ca="1" si="37"/>
        <v>#REF!</v>
      </c>
      <c r="CM25" s="170" t="e">
        <f t="shared" ca="1" si="38"/>
        <v>#REF!</v>
      </c>
      <c r="CN25" s="170" t="e">
        <f t="shared" ca="1" si="39"/>
        <v>#REF!</v>
      </c>
    </row>
    <row r="26" spans="2:92" ht="17.100000000000001" customHeight="1">
      <c r="B26" s="595" t="s">
        <v>38</v>
      </c>
      <c r="C26" s="596"/>
      <c r="D26" s="25"/>
      <c r="E26" s="590" t="e">
        <f t="shared" ca="1" si="12"/>
        <v>#REF!</v>
      </c>
      <c r="F26" s="591"/>
      <c r="G26" s="591" t="e">
        <f t="shared" ca="1" si="13"/>
        <v>#REF!</v>
      </c>
      <c r="H26" s="592"/>
      <c r="I26" s="597" t="e">
        <f t="shared" ca="1" si="14"/>
        <v>#REF!</v>
      </c>
      <c r="J26" s="598"/>
      <c r="K26" s="235"/>
      <c r="L26" s="235"/>
      <c r="M26" s="235"/>
      <c r="N26" s="590" t="e">
        <f t="shared" ca="1" si="15"/>
        <v>#REF!</v>
      </c>
      <c r="O26" s="591"/>
      <c r="P26" s="591" t="e">
        <f t="shared" ca="1" si="16"/>
        <v>#REF!</v>
      </c>
      <c r="Q26" s="592"/>
      <c r="R26" s="597" t="e">
        <f t="shared" ca="1" si="17"/>
        <v>#REF!</v>
      </c>
      <c r="S26" s="598"/>
      <c r="T26" s="235"/>
      <c r="U26" s="235"/>
      <c r="V26" s="235"/>
      <c r="W26" s="590" t="e">
        <f t="shared" ca="1" si="18"/>
        <v>#REF!</v>
      </c>
      <c r="X26" s="591"/>
      <c r="Y26" s="591" t="e">
        <f t="shared" ca="1" si="19"/>
        <v>#REF!</v>
      </c>
      <c r="Z26" s="592"/>
      <c r="AA26" s="597" t="e">
        <f t="shared" ca="1" si="20"/>
        <v>#REF!</v>
      </c>
      <c r="AB26" s="598"/>
      <c r="AC26" s="573"/>
      <c r="AD26" s="62" t="s">
        <v>37</v>
      </c>
      <c r="AE26" s="148"/>
      <c r="AF26" s="160" t="e">
        <f t="shared" ca="1" si="21"/>
        <v>#REF!</v>
      </c>
      <c r="AG26" s="161" t="e">
        <f t="shared" ca="1" si="22"/>
        <v>#REF!</v>
      </c>
      <c r="AH26" s="161" t="e">
        <f t="shared" ca="1" si="22"/>
        <v>#REF!</v>
      </c>
      <c r="AI26" s="161" t="e">
        <f t="shared" ca="1" si="22"/>
        <v>#REF!</v>
      </c>
      <c r="AJ26" s="161" t="e">
        <f t="shared" ca="1" si="22"/>
        <v>#REF!</v>
      </c>
      <c r="AK26" s="161" t="e">
        <f t="shared" ca="1" si="22"/>
        <v>#REF!</v>
      </c>
      <c r="AL26" s="161" t="e">
        <f t="shared" ca="1" si="22"/>
        <v>#REF!</v>
      </c>
      <c r="AM26" s="161" t="e">
        <f t="shared" ca="1" si="22"/>
        <v>#REF!</v>
      </c>
      <c r="AN26" s="161" t="e">
        <f t="shared" ca="1" si="22"/>
        <v>#REF!</v>
      </c>
      <c r="AO26" s="162" t="e">
        <f t="shared" ca="1" si="22"/>
        <v>#REF!</v>
      </c>
      <c r="AP26" s="163" t="e">
        <f t="shared" ca="1" si="23"/>
        <v>#REF!</v>
      </c>
      <c r="AQ26" s="148"/>
      <c r="AR26" s="160" t="e">
        <f t="shared" ca="1" si="24"/>
        <v>#REF!</v>
      </c>
      <c r="AS26" s="161" t="e">
        <f t="shared" ca="1" si="25"/>
        <v>#REF!</v>
      </c>
      <c r="AT26" s="161" t="e">
        <f t="shared" ca="1" si="26"/>
        <v>#REF!</v>
      </c>
      <c r="AU26" s="161" t="e">
        <f t="shared" ca="1" si="27"/>
        <v>#REF!</v>
      </c>
      <c r="AV26" s="161" t="e">
        <f t="shared" ca="1" si="28"/>
        <v>#REF!</v>
      </c>
      <c r="AW26" s="161" t="e">
        <f t="shared" ca="1" si="29"/>
        <v>#REF!</v>
      </c>
      <c r="AX26" s="161" t="e">
        <f t="shared" ca="1" si="30"/>
        <v>#REF!</v>
      </c>
      <c r="AY26" s="161" t="e">
        <f t="shared" ca="1" si="31"/>
        <v>#REF!</v>
      </c>
      <c r="AZ26" s="161" t="e">
        <f t="shared" ca="1" si="32"/>
        <v>#REF!</v>
      </c>
      <c r="BA26" s="162" t="e">
        <f t="shared" ca="1" si="33"/>
        <v>#REF!</v>
      </c>
      <c r="BB26" s="163" t="e">
        <f t="shared" ca="1" si="34"/>
        <v>#REF!</v>
      </c>
      <c r="BC26" s="148"/>
      <c r="BD26" s="163" t="e">
        <f t="shared" ca="1" si="35"/>
        <v>#REF!</v>
      </c>
      <c r="BG26" s="164" t="e">
        <f t="shared" ca="1" si="40"/>
        <v>#REF!</v>
      </c>
      <c r="BH26" s="165" t="e">
        <f t="shared" ca="1" si="41"/>
        <v>#REF!</v>
      </c>
      <c r="BI26" s="165" t="e">
        <f t="shared" ca="1" si="42"/>
        <v>#REF!</v>
      </c>
      <c r="BJ26" s="166" t="e">
        <f t="shared" ca="1" si="43"/>
        <v>#REF!</v>
      </c>
      <c r="BK26" s="165" t="e">
        <f t="shared" ca="1" si="44"/>
        <v>#REF!</v>
      </c>
      <c r="BL26" s="167" t="e">
        <f t="shared" ca="1" si="45"/>
        <v>#REF!</v>
      </c>
      <c r="BM26" s="166" t="e">
        <f t="shared" ca="1" si="46"/>
        <v>#REF!</v>
      </c>
      <c r="BN26" s="165" t="e">
        <f t="shared" ca="1" si="47"/>
        <v>#REF!</v>
      </c>
      <c r="BO26" s="167" t="e">
        <f t="shared" ca="1" si="48"/>
        <v>#REF!</v>
      </c>
      <c r="BP26" s="166" t="e">
        <f t="shared" ca="1" si="49"/>
        <v>#REF!</v>
      </c>
      <c r="BQ26" s="165" t="e">
        <f t="shared" ca="1" si="50"/>
        <v>#REF!</v>
      </c>
      <c r="BR26" s="167" t="e">
        <f t="shared" ca="1" si="51"/>
        <v>#REF!</v>
      </c>
      <c r="BS26" s="166" t="e">
        <f t="shared" ca="1" si="52"/>
        <v>#REF!</v>
      </c>
      <c r="BT26" s="165" t="e">
        <f t="shared" ca="1" si="53"/>
        <v>#REF!</v>
      </c>
      <c r="BU26" s="167" t="e">
        <f t="shared" ca="1" si="54"/>
        <v>#REF!</v>
      </c>
      <c r="BV26" s="166" t="e">
        <f t="shared" ca="1" si="55"/>
        <v>#REF!</v>
      </c>
      <c r="BW26" s="165" t="e">
        <f t="shared" ca="1" si="56"/>
        <v>#REF!</v>
      </c>
      <c r="BX26" s="167" t="e">
        <f t="shared" ca="1" si="57"/>
        <v>#REF!</v>
      </c>
      <c r="BY26" s="166" t="e">
        <f t="shared" ca="1" si="58"/>
        <v>#REF!</v>
      </c>
      <c r="BZ26" s="165" t="e">
        <f t="shared" ca="1" si="59"/>
        <v>#REF!</v>
      </c>
      <c r="CA26" s="167" t="e">
        <f t="shared" ca="1" si="60"/>
        <v>#REF!</v>
      </c>
      <c r="CB26" s="166" t="e">
        <f t="shared" ca="1" si="61"/>
        <v>#REF!</v>
      </c>
      <c r="CC26" s="165" t="e">
        <f t="shared" ca="1" si="62"/>
        <v>#REF!</v>
      </c>
      <c r="CD26" s="167" t="e">
        <f t="shared" ca="1" si="63"/>
        <v>#REF!</v>
      </c>
      <c r="CE26" s="166" t="e">
        <f t="shared" ca="1" si="64"/>
        <v>#REF!</v>
      </c>
      <c r="CF26" s="165" t="e">
        <f t="shared" ca="1" si="65"/>
        <v>#REF!</v>
      </c>
      <c r="CG26" s="167" t="e">
        <f t="shared" ca="1" si="66"/>
        <v>#REF!</v>
      </c>
      <c r="CH26" s="165" t="e">
        <f t="shared" ca="1" si="67"/>
        <v>#REF!</v>
      </c>
      <c r="CI26" s="165" t="e">
        <f t="shared" ca="1" si="68"/>
        <v>#REF!</v>
      </c>
      <c r="CJ26" s="165" t="e">
        <f t="shared" ca="1" si="69"/>
        <v>#REF!</v>
      </c>
      <c r="CK26" s="168" t="e">
        <f t="shared" ca="1" si="36"/>
        <v>#REF!</v>
      </c>
      <c r="CL26" s="169" t="e">
        <f t="shared" ca="1" si="37"/>
        <v>#REF!</v>
      </c>
      <c r="CM26" s="170" t="e">
        <f t="shared" ca="1" si="38"/>
        <v>#REF!</v>
      </c>
      <c r="CN26" s="170" t="e">
        <f t="shared" ca="1" si="39"/>
        <v>#REF!</v>
      </c>
    </row>
    <row r="27" spans="2:92" ht="17.100000000000001" customHeight="1">
      <c r="B27" s="595" t="s">
        <v>39</v>
      </c>
      <c r="C27" s="596"/>
      <c r="D27" s="25"/>
      <c r="E27" s="590" t="e">
        <f t="shared" ca="1" si="12"/>
        <v>#REF!</v>
      </c>
      <c r="F27" s="591"/>
      <c r="G27" s="591" t="e">
        <f t="shared" ca="1" si="13"/>
        <v>#REF!</v>
      </c>
      <c r="H27" s="592"/>
      <c r="I27" s="597" t="e">
        <f t="shared" ca="1" si="14"/>
        <v>#REF!</v>
      </c>
      <c r="J27" s="598"/>
      <c r="K27" s="235"/>
      <c r="L27" s="235"/>
      <c r="M27" s="235"/>
      <c r="N27" s="590" t="e">
        <f t="shared" ca="1" si="15"/>
        <v>#REF!</v>
      </c>
      <c r="O27" s="591"/>
      <c r="P27" s="591" t="e">
        <f t="shared" ca="1" si="16"/>
        <v>#REF!</v>
      </c>
      <c r="Q27" s="592"/>
      <c r="R27" s="597" t="e">
        <f t="shared" ca="1" si="17"/>
        <v>#REF!</v>
      </c>
      <c r="S27" s="598"/>
      <c r="T27" s="235"/>
      <c r="U27" s="235"/>
      <c r="V27" s="235"/>
      <c r="W27" s="590" t="e">
        <f t="shared" ca="1" si="18"/>
        <v>#REF!</v>
      </c>
      <c r="X27" s="591"/>
      <c r="Y27" s="591" t="e">
        <f t="shared" ca="1" si="19"/>
        <v>#REF!</v>
      </c>
      <c r="Z27" s="592"/>
      <c r="AA27" s="597" t="e">
        <f t="shared" ca="1" si="20"/>
        <v>#REF!</v>
      </c>
      <c r="AB27" s="598"/>
      <c r="AC27" s="573"/>
      <c r="AD27" s="62" t="s">
        <v>38</v>
      </c>
      <c r="AE27" s="148"/>
      <c r="AF27" s="160" t="e">
        <f t="shared" ca="1" si="21"/>
        <v>#REF!</v>
      </c>
      <c r="AG27" s="161" t="e">
        <f t="shared" ca="1" si="22"/>
        <v>#REF!</v>
      </c>
      <c r="AH27" s="161" t="e">
        <f t="shared" ca="1" si="22"/>
        <v>#REF!</v>
      </c>
      <c r="AI27" s="161" t="e">
        <f t="shared" ca="1" si="22"/>
        <v>#REF!</v>
      </c>
      <c r="AJ27" s="161" t="e">
        <f t="shared" ca="1" si="22"/>
        <v>#REF!</v>
      </c>
      <c r="AK27" s="161" t="e">
        <f t="shared" ca="1" si="22"/>
        <v>#REF!</v>
      </c>
      <c r="AL27" s="161" t="e">
        <f t="shared" ca="1" si="22"/>
        <v>#REF!</v>
      </c>
      <c r="AM27" s="161" t="e">
        <f t="shared" ca="1" si="22"/>
        <v>#REF!</v>
      </c>
      <c r="AN27" s="161" t="e">
        <f t="shared" ca="1" si="22"/>
        <v>#REF!</v>
      </c>
      <c r="AO27" s="162" t="e">
        <f t="shared" ca="1" si="22"/>
        <v>#REF!</v>
      </c>
      <c r="AP27" s="163" t="e">
        <f t="shared" ca="1" si="23"/>
        <v>#REF!</v>
      </c>
      <c r="AQ27" s="148"/>
      <c r="AR27" s="160" t="e">
        <f t="shared" ca="1" si="24"/>
        <v>#REF!</v>
      </c>
      <c r="AS27" s="161" t="e">
        <f t="shared" ca="1" si="25"/>
        <v>#REF!</v>
      </c>
      <c r="AT27" s="161" t="e">
        <f t="shared" ca="1" si="26"/>
        <v>#REF!</v>
      </c>
      <c r="AU27" s="161" t="e">
        <f t="shared" ca="1" si="27"/>
        <v>#REF!</v>
      </c>
      <c r="AV27" s="161" t="e">
        <f t="shared" ca="1" si="28"/>
        <v>#REF!</v>
      </c>
      <c r="AW27" s="161" t="e">
        <f t="shared" ca="1" si="29"/>
        <v>#REF!</v>
      </c>
      <c r="AX27" s="161" t="e">
        <f t="shared" ca="1" si="30"/>
        <v>#REF!</v>
      </c>
      <c r="AY27" s="161" t="e">
        <f t="shared" ca="1" si="31"/>
        <v>#REF!</v>
      </c>
      <c r="AZ27" s="161" t="e">
        <f t="shared" ca="1" si="32"/>
        <v>#REF!</v>
      </c>
      <c r="BA27" s="162" t="e">
        <f t="shared" ca="1" si="33"/>
        <v>#REF!</v>
      </c>
      <c r="BB27" s="163" t="e">
        <f t="shared" ca="1" si="34"/>
        <v>#REF!</v>
      </c>
      <c r="BC27" s="148"/>
      <c r="BD27" s="163" t="e">
        <f t="shared" ca="1" si="35"/>
        <v>#REF!</v>
      </c>
      <c r="BG27" s="164" t="e">
        <f t="shared" ca="1" si="40"/>
        <v>#REF!</v>
      </c>
      <c r="BH27" s="165" t="e">
        <f t="shared" ca="1" si="41"/>
        <v>#REF!</v>
      </c>
      <c r="BI27" s="165" t="e">
        <f t="shared" ca="1" si="42"/>
        <v>#REF!</v>
      </c>
      <c r="BJ27" s="166" t="e">
        <f t="shared" ca="1" si="43"/>
        <v>#REF!</v>
      </c>
      <c r="BK27" s="165" t="e">
        <f t="shared" ca="1" si="44"/>
        <v>#REF!</v>
      </c>
      <c r="BL27" s="167" t="e">
        <f t="shared" ca="1" si="45"/>
        <v>#REF!</v>
      </c>
      <c r="BM27" s="166" t="e">
        <f t="shared" ca="1" si="46"/>
        <v>#REF!</v>
      </c>
      <c r="BN27" s="165" t="e">
        <f t="shared" ca="1" si="47"/>
        <v>#REF!</v>
      </c>
      <c r="BO27" s="167" t="e">
        <f t="shared" ca="1" si="48"/>
        <v>#REF!</v>
      </c>
      <c r="BP27" s="166" t="e">
        <f t="shared" ca="1" si="49"/>
        <v>#REF!</v>
      </c>
      <c r="BQ27" s="165" t="e">
        <f t="shared" ca="1" si="50"/>
        <v>#REF!</v>
      </c>
      <c r="BR27" s="167" t="e">
        <f t="shared" ca="1" si="51"/>
        <v>#REF!</v>
      </c>
      <c r="BS27" s="166" t="e">
        <f t="shared" ca="1" si="52"/>
        <v>#REF!</v>
      </c>
      <c r="BT27" s="165" t="e">
        <f t="shared" ca="1" si="53"/>
        <v>#REF!</v>
      </c>
      <c r="BU27" s="167" t="e">
        <f t="shared" ca="1" si="54"/>
        <v>#REF!</v>
      </c>
      <c r="BV27" s="166" t="e">
        <f t="shared" ca="1" si="55"/>
        <v>#REF!</v>
      </c>
      <c r="BW27" s="165" t="e">
        <f t="shared" ca="1" si="56"/>
        <v>#REF!</v>
      </c>
      <c r="BX27" s="167" t="e">
        <f t="shared" ca="1" si="57"/>
        <v>#REF!</v>
      </c>
      <c r="BY27" s="166" t="e">
        <f t="shared" ca="1" si="58"/>
        <v>#REF!</v>
      </c>
      <c r="BZ27" s="165" t="e">
        <f t="shared" ca="1" si="59"/>
        <v>#REF!</v>
      </c>
      <c r="CA27" s="167" t="e">
        <f t="shared" ca="1" si="60"/>
        <v>#REF!</v>
      </c>
      <c r="CB27" s="166" t="e">
        <f t="shared" ca="1" si="61"/>
        <v>#REF!</v>
      </c>
      <c r="CC27" s="165" t="e">
        <f t="shared" ca="1" si="62"/>
        <v>#REF!</v>
      </c>
      <c r="CD27" s="167" t="e">
        <f t="shared" ca="1" si="63"/>
        <v>#REF!</v>
      </c>
      <c r="CE27" s="166" t="e">
        <f t="shared" ca="1" si="64"/>
        <v>#REF!</v>
      </c>
      <c r="CF27" s="165" t="e">
        <f t="shared" ca="1" si="65"/>
        <v>#REF!</v>
      </c>
      <c r="CG27" s="167" t="e">
        <f t="shared" ca="1" si="66"/>
        <v>#REF!</v>
      </c>
      <c r="CH27" s="165" t="e">
        <f t="shared" ca="1" si="67"/>
        <v>#REF!</v>
      </c>
      <c r="CI27" s="165" t="e">
        <f t="shared" ca="1" si="68"/>
        <v>#REF!</v>
      </c>
      <c r="CJ27" s="165" t="e">
        <f t="shared" ca="1" si="69"/>
        <v>#REF!</v>
      </c>
      <c r="CK27" s="168" t="e">
        <f t="shared" ca="1" si="36"/>
        <v>#REF!</v>
      </c>
      <c r="CL27" s="169" t="e">
        <f t="shared" ca="1" si="37"/>
        <v>#REF!</v>
      </c>
      <c r="CM27" s="170" t="e">
        <f t="shared" ca="1" si="38"/>
        <v>#REF!</v>
      </c>
      <c r="CN27" s="170" t="e">
        <f t="shared" ca="1" si="39"/>
        <v>#REF!</v>
      </c>
    </row>
    <row r="28" spans="2:92" ht="17.100000000000001" customHeight="1">
      <c r="B28" s="595" t="s">
        <v>40</v>
      </c>
      <c r="C28" s="596"/>
      <c r="D28" s="25"/>
      <c r="E28" s="590" t="e">
        <f t="shared" ca="1" si="12"/>
        <v>#REF!</v>
      </c>
      <c r="F28" s="591"/>
      <c r="G28" s="591" t="e">
        <f t="shared" ca="1" si="13"/>
        <v>#REF!</v>
      </c>
      <c r="H28" s="592"/>
      <c r="I28" s="597" t="e">
        <f t="shared" ca="1" si="14"/>
        <v>#REF!</v>
      </c>
      <c r="J28" s="598"/>
      <c r="K28" s="235"/>
      <c r="L28" s="235"/>
      <c r="M28" s="235"/>
      <c r="N28" s="590" t="e">
        <f t="shared" ca="1" si="15"/>
        <v>#REF!</v>
      </c>
      <c r="O28" s="591"/>
      <c r="P28" s="591" t="e">
        <f t="shared" ca="1" si="16"/>
        <v>#REF!</v>
      </c>
      <c r="Q28" s="592"/>
      <c r="R28" s="597" t="e">
        <f t="shared" ca="1" si="17"/>
        <v>#REF!</v>
      </c>
      <c r="S28" s="598"/>
      <c r="T28" s="235"/>
      <c r="U28" s="235"/>
      <c r="V28" s="235"/>
      <c r="W28" s="590" t="e">
        <f t="shared" ca="1" si="18"/>
        <v>#REF!</v>
      </c>
      <c r="X28" s="591"/>
      <c r="Y28" s="591" t="e">
        <f t="shared" ca="1" si="19"/>
        <v>#REF!</v>
      </c>
      <c r="Z28" s="592"/>
      <c r="AA28" s="597" t="e">
        <f t="shared" ca="1" si="20"/>
        <v>#REF!</v>
      </c>
      <c r="AB28" s="598"/>
      <c r="AC28" s="573"/>
      <c r="AD28" s="62" t="s">
        <v>39</v>
      </c>
      <c r="AE28" s="148"/>
      <c r="AF28" s="160" t="e">
        <f t="shared" ca="1" si="21"/>
        <v>#REF!</v>
      </c>
      <c r="AG28" s="161" t="e">
        <f t="shared" ca="1" si="22"/>
        <v>#REF!</v>
      </c>
      <c r="AH28" s="161" t="e">
        <f t="shared" ca="1" si="22"/>
        <v>#REF!</v>
      </c>
      <c r="AI28" s="161" t="e">
        <f t="shared" ca="1" si="22"/>
        <v>#REF!</v>
      </c>
      <c r="AJ28" s="161" t="e">
        <f t="shared" ca="1" si="22"/>
        <v>#REF!</v>
      </c>
      <c r="AK28" s="161" t="e">
        <f t="shared" ca="1" si="22"/>
        <v>#REF!</v>
      </c>
      <c r="AL28" s="161" t="e">
        <f t="shared" ca="1" si="22"/>
        <v>#REF!</v>
      </c>
      <c r="AM28" s="161" t="e">
        <f t="shared" ca="1" si="22"/>
        <v>#REF!</v>
      </c>
      <c r="AN28" s="161" t="e">
        <f t="shared" ca="1" si="22"/>
        <v>#REF!</v>
      </c>
      <c r="AO28" s="162" t="e">
        <f t="shared" ca="1" si="22"/>
        <v>#REF!</v>
      </c>
      <c r="AP28" s="163" t="e">
        <f t="shared" ca="1" si="23"/>
        <v>#REF!</v>
      </c>
      <c r="AQ28" s="148"/>
      <c r="AR28" s="160" t="e">
        <f t="shared" ca="1" si="24"/>
        <v>#REF!</v>
      </c>
      <c r="AS28" s="161" t="e">
        <f t="shared" ca="1" si="25"/>
        <v>#REF!</v>
      </c>
      <c r="AT28" s="161" t="e">
        <f t="shared" ca="1" si="26"/>
        <v>#REF!</v>
      </c>
      <c r="AU28" s="161" t="e">
        <f t="shared" ca="1" si="27"/>
        <v>#REF!</v>
      </c>
      <c r="AV28" s="161" t="e">
        <f t="shared" ca="1" si="28"/>
        <v>#REF!</v>
      </c>
      <c r="AW28" s="161" t="e">
        <f t="shared" ca="1" si="29"/>
        <v>#REF!</v>
      </c>
      <c r="AX28" s="161" t="e">
        <f t="shared" ca="1" si="30"/>
        <v>#REF!</v>
      </c>
      <c r="AY28" s="161" t="e">
        <f t="shared" ca="1" si="31"/>
        <v>#REF!</v>
      </c>
      <c r="AZ28" s="161" t="e">
        <f t="shared" ca="1" si="32"/>
        <v>#REF!</v>
      </c>
      <c r="BA28" s="162" t="e">
        <f t="shared" ca="1" si="33"/>
        <v>#REF!</v>
      </c>
      <c r="BB28" s="163" t="e">
        <f t="shared" ca="1" si="34"/>
        <v>#REF!</v>
      </c>
      <c r="BC28" s="148"/>
      <c r="BD28" s="163" t="e">
        <f t="shared" ca="1" si="35"/>
        <v>#REF!</v>
      </c>
      <c r="BG28" s="164" t="e">
        <f t="shared" ca="1" si="40"/>
        <v>#REF!</v>
      </c>
      <c r="BH28" s="165" t="e">
        <f t="shared" ca="1" si="41"/>
        <v>#REF!</v>
      </c>
      <c r="BI28" s="165" t="e">
        <f t="shared" ca="1" si="42"/>
        <v>#REF!</v>
      </c>
      <c r="BJ28" s="166" t="e">
        <f t="shared" ca="1" si="43"/>
        <v>#REF!</v>
      </c>
      <c r="BK28" s="165" t="e">
        <f t="shared" ca="1" si="44"/>
        <v>#REF!</v>
      </c>
      <c r="BL28" s="167" t="e">
        <f t="shared" ca="1" si="45"/>
        <v>#REF!</v>
      </c>
      <c r="BM28" s="166" t="e">
        <f t="shared" ca="1" si="46"/>
        <v>#REF!</v>
      </c>
      <c r="BN28" s="165" t="e">
        <f t="shared" ca="1" si="47"/>
        <v>#REF!</v>
      </c>
      <c r="BO28" s="167" t="e">
        <f t="shared" ca="1" si="48"/>
        <v>#REF!</v>
      </c>
      <c r="BP28" s="166" t="e">
        <f t="shared" ca="1" si="49"/>
        <v>#REF!</v>
      </c>
      <c r="BQ28" s="165" t="e">
        <f t="shared" ca="1" si="50"/>
        <v>#REF!</v>
      </c>
      <c r="BR28" s="167" t="e">
        <f t="shared" ca="1" si="51"/>
        <v>#REF!</v>
      </c>
      <c r="BS28" s="166" t="e">
        <f t="shared" ca="1" si="52"/>
        <v>#REF!</v>
      </c>
      <c r="BT28" s="165" t="e">
        <f t="shared" ca="1" si="53"/>
        <v>#REF!</v>
      </c>
      <c r="BU28" s="167" t="e">
        <f t="shared" ca="1" si="54"/>
        <v>#REF!</v>
      </c>
      <c r="BV28" s="166" t="e">
        <f t="shared" ca="1" si="55"/>
        <v>#REF!</v>
      </c>
      <c r="BW28" s="165" t="e">
        <f t="shared" ca="1" si="56"/>
        <v>#REF!</v>
      </c>
      <c r="BX28" s="167" t="e">
        <f t="shared" ca="1" si="57"/>
        <v>#REF!</v>
      </c>
      <c r="BY28" s="166" t="e">
        <f t="shared" ca="1" si="58"/>
        <v>#REF!</v>
      </c>
      <c r="BZ28" s="165" t="e">
        <f t="shared" ca="1" si="59"/>
        <v>#REF!</v>
      </c>
      <c r="CA28" s="167" t="e">
        <f t="shared" ca="1" si="60"/>
        <v>#REF!</v>
      </c>
      <c r="CB28" s="166" t="e">
        <f t="shared" ca="1" si="61"/>
        <v>#REF!</v>
      </c>
      <c r="CC28" s="165" t="e">
        <f t="shared" ca="1" si="62"/>
        <v>#REF!</v>
      </c>
      <c r="CD28" s="167" t="e">
        <f t="shared" ca="1" si="63"/>
        <v>#REF!</v>
      </c>
      <c r="CE28" s="166" t="e">
        <f t="shared" ca="1" si="64"/>
        <v>#REF!</v>
      </c>
      <c r="CF28" s="165" t="e">
        <f t="shared" ca="1" si="65"/>
        <v>#REF!</v>
      </c>
      <c r="CG28" s="167" t="e">
        <f t="shared" ca="1" si="66"/>
        <v>#REF!</v>
      </c>
      <c r="CH28" s="165" t="e">
        <f t="shared" ca="1" si="67"/>
        <v>#REF!</v>
      </c>
      <c r="CI28" s="165" t="e">
        <f t="shared" ca="1" si="68"/>
        <v>#REF!</v>
      </c>
      <c r="CJ28" s="165" t="e">
        <f t="shared" ca="1" si="69"/>
        <v>#REF!</v>
      </c>
      <c r="CK28" s="168" t="e">
        <f t="shared" ca="1" si="36"/>
        <v>#REF!</v>
      </c>
      <c r="CL28" s="169" t="e">
        <f t="shared" ca="1" si="37"/>
        <v>#REF!</v>
      </c>
      <c r="CM28" s="170" t="e">
        <f t="shared" ca="1" si="38"/>
        <v>#REF!</v>
      </c>
      <c r="CN28" s="170" t="e">
        <f t="shared" ca="1" si="39"/>
        <v>#REF!</v>
      </c>
    </row>
    <row r="29" spans="2:92" ht="17.100000000000001" customHeight="1">
      <c r="B29" s="595" t="s">
        <v>41</v>
      </c>
      <c r="C29" s="596"/>
      <c r="D29" s="25"/>
      <c r="E29" s="590" t="e">
        <f t="shared" ca="1" si="12"/>
        <v>#REF!</v>
      </c>
      <c r="F29" s="591"/>
      <c r="G29" s="591" t="e">
        <f t="shared" ca="1" si="13"/>
        <v>#REF!</v>
      </c>
      <c r="H29" s="592"/>
      <c r="I29" s="597" t="e">
        <f t="shared" ca="1" si="14"/>
        <v>#REF!</v>
      </c>
      <c r="J29" s="598"/>
      <c r="K29" s="235"/>
      <c r="L29" s="235"/>
      <c r="M29" s="235"/>
      <c r="N29" s="590" t="e">
        <f t="shared" ca="1" si="15"/>
        <v>#REF!</v>
      </c>
      <c r="O29" s="591"/>
      <c r="P29" s="591" t="e">
        <f t="shared" ca="1" si="16"/>
        <v>#REF!</v>
      </c>
      <c r="Q29" s="592"/>
      <c r="R29" s="597" t="e">
        <f t="shared" ca="1" si="17"/>
        <v>#REF!</v>
      </c>
      <c r="S29" s="598"/>
      <c r="T29" s="235"/>
      <c r="U29" s="235"/>
      <c r="V29" s="235"/>
      <c r="W29" s="590" t="e">
        <f t="shared" ca="1" si="18"/>
        <v>#REF!</v>
      </c>
      <c r="X29" s="591"/>
      <c r="Y29" s="591" t="e">
        <f t="shared" ca="1" si="19"/>
        <v>#REF!</v>
      </c>
      <c r="Z29" s="592"/>
      <c r="AA29" s="597" t="e">
        <f t="shared" ca="1" si="20"/>
        <v>#REF!</v>
      </c>
      <c r="AB29" s="598"/>
      <c r="AC29" s="573"/>
      <c r="AD29" s="62" t="s">
        <v>40</v>
      </c>
      <c r="AE29" s="148"/>
      <c r="AF29" s="160" t="e">
        <f t="shared" ca="1" si="21"/>
        <v>#REF!</v>
      </c>
      <c r="AG29" s="161" t="e">
        <f t="shared" ref="AG29:AO36" ca="1" si="70">IF(AG$10&lt;&gt;"",INDIRECT(ADDRESS(ROW()+$AF$6,47,,,AG$10)),"")</f>
        <v>#REF!</v>
      </c>
      <c r="AH29" s="161" t="e">
        <f t="shared" ca="1" si="70"/>
        <v>#REF!</v>
      </c>
      <c r="AI29" s="161" t="e">
        <f t="shared" ca="1" si="70"/>
        <v>#REF!</v>
      </c>
      <c r="AJ29" s="161" t="e">
        <f t="shared" ca="1" si="70"/>
        <v>#REF!</v>
      </c>
      <c r="AK29" s="161" t="e">
        <f t="shared" ca="1" si="70"/>
        <v>#REF!</v>
      </c>
      <c r="AL29" s="161" t="e">
        <f t="shared" ca="1" si="70"/>
        <v>#REF!</v>
      </c>
      <c r="AM29" s="161" t="e">
        <f t="shared" ca="1" si="70"/>
        <v>#REF!</v>
      </c>
      <c r="AN29" s="161" t="e">
        <f t="shared" ca="1" si="70"/>
        <v>#REF!</v>
      </c>
      <c r="AO29" s="162" t="e">
        <f t="shared" ca="1" si="70"/>
        <v>#REF!</v>
      </c>
      <c r="AP29" s="163" t="e">
        <f t="shared" ca="1" si="23"/>
        <v>#REF!</v>
      </c>
      <c r="AQ29" s="148"/>
      <c r="AR29" s="160" t="e">
        <f t="shared" ca="1" si="24"/>
        <v>#REF!</v>
      </c>
      <c r="AS29" s="161" t="e">
        <f t="shared" ca="1" si="25"/>
        <v>#REF!</v>
      </c>
      <c r="AT29" s="161" t="e">
        <f t="shared" ca="1" si="26"/>
        <v>#REF!</v>
      </c>
      <c r="AU29" s="161" t="e">
        <f t="shared" ca="1" si="27"/>
        <v>#REF!</v>
      </c>
      <c r="AV29" s="161" t="e">
        <f t="shared" ca="1" si="28"/>
        <v>#REF!</v>
      </c>
      <c r="AW29" s="161" t="e">
        <f t="shared" ca="1" si="29"/>
        <v>#REF!</v>
      </c>
      <c r="AX29" s="161" t="e">
        <f t="shared" ca="1" si="30"/>
        <v>#REF!</v>
      </c>
      <c r="AY29" s="161" t="e">
        <f t="shared" ca="1" si="31"/>
        <v>#REF!</v>
      </c>
      <c r="AZ29" s="161" t="e">
        <f t="shared" ca="1" si="32"/>
        <v>#REF!</v>
      </c>
      <c r="BA29" s="162" t="e">
        <f t="shared" ca="1" si="33"/>
        <v>#REF!</v>
      </c>
      <c r="BB29" s="163" t="e">
        <f t="shared" ca="1" si="34"/>
        <v>#REF!</v>
      </c>
      <c r="BC29" s="148"/>
      <c r="BD29" s="163" t="e">
        <f t="shared" ca="1" si="35"/>
        <v>#REF!</v>
      </c>
      <c r="BG29" s="164" t="e">
        <f t="shared" ca="1" si="40"/>
        <v>#REF!</v>
      </c>
      <c r="BH29" s="165" t="e">
        <f t="shared" ca="1" si="41"/>
        <v>#REF!</v>
      </c>
      <c r="BI29" s="165" t="e">
        <f t="shared" ca="1" si="42"/>
        <v>#REF!</v>
      </c>
      <c r="BJ29" s="166" t="e">
        <f t="shared" ca="1" si="43"/>
        <v>#REF!</v>
      </c>
      <c r="BK29" s="165" t="e">
        <f t="shared" ca="1" si="44"/>
        <v>#REF!</v>
      </c>
      <c r="BL29" s="167" t="e">
        <f t="shared" ca="1" si="45"/>
        <v>#REF!</v>
      </c>
      <c r="BM29" s="166" t="e">
        <f t="shared" ca="1" si="46"/>
        <v>#REF!</v>
      </c>
      <c r="BN29" s="165" t="e">
        <f t="shared" ca="1" si="47"/>
        <v>#REF!</v>
      </c>
      <c r="BO29" s="167" t="e">
        <f t="shared" ca="1" si="48"/>
        <v>#REF!</v>
      </c>
      <c r="BP29" s="166" t="e">
        <f t="shared" ca="1" si="49"/>
        <v>#REF!</v>
      </c>
      <c r="BQ29" s="165" t="e">
        <f t="shared" ca="1" si="50"/>
        <v>#REF!</v>
      </c>
      <c r="BR29" s="167" t="e">
        <f t="shared" ca="1" si="51"/>
        <v>#REF!</v>
      </c>
      <c r="BS29" s="166" t="e">
        <f t="shared" ca="1" si="52"/>
        <v>#REF!</v>
      </c>
      <c r="BT29" s="165" t="e">
        <f t="shared" ca="1" si="53"/>
        <v>#REF!</v>
      </c>
      <c r="BU29" s="167" t="e">
        <f t="shared" ca="1" si="54"/>
        <v>#REF!</v>
      </c>
      <c r="BV29" s="166" t="e">
        <f t="shared" ca="1" si="55"/>
        <v>#REF!</v>
      </c>
      <c r="BW29" s="165" t="e">
        <f t="shared" ca="1" si="56"/>
        <v>#REF!</v>
      </c>
      <c r="BX29" s="167" t="e">
        <f t="shared" ca="1" si="57"/>
        <v>#REF!</v>
      </c>
      <c r="BY29" s="166" t="e">
        <f t="shared" ca="1" si="58"/>
        <v>#REF!</v>
      </c>
      <c r="BZ29" s="165" t="e">
        <f t="shared" ca="1" si="59"/>
        <v>#REF!</v>
      </c>
      <c r="CA29" s="167" t="e">
        <f t="shared" ca="1" si="60"/>
        <v>#REF!</v>
      </c>
      <c r="CB29" s="166" t="e">
        <f t="shared" ca="1" si="61"/>
        <v>#REF!</v>
      </c>
      <c r="CC29" s="165" t="e">
        <f t="shared" ca="1" si="62"/>
        <v>#REF!</v>
      </c>
      <c r="CD29" s="167" t="e">
        <f t="shared" ca="1" si="63"/>
        <v>#REF!</v>
      </c>
      <c r="CE29" s="166" t="e">
        <f t="shared" ca="1" si="64"/>
        <v>#REF!</v>
      </c>
      <c r="CF29" s="165" t="e">
        <f t="shared" ca="1" si="65"/>
        <v>#REF!</v>
      </c>
      <c r="CG29" s="167" t="e">
        <f t="shared" ca="1" si="66"/>
        <v>#REF!</v>
      </c>
      <c r="CH29" s="165" t="e">
        <f t="shared" ca="1" si="67"/>
        <v>#REF!</v>
      </c>
      <c r="CI29" s="165" t="e">
        <f t="shared" ca="1" si="68"/>
        <v>#REF!</v>
      </c>
      <c r="CJ29" s="165" t="e">
        <f t="shared" ca="1" si="69"/>
        <v>#REF!</v>
      </c>
      <c r="CK29" s="168" t="e">
        <f t="shared" ca="1" si="36"/>
        <v>#REF!</v>
      </c>
      <c r="CL29" s="169" t="e">
        <f t="shared" ca="1" si="37"/>
        <v>#REF!</v>
      </c>
      <c r="CM29" s="170" t="e">
        <f t="shared" ca="1" si="38"/>
        <v>#REF!</v>
      </c>
      <c r="CN29" s="170" t="e">
        <f t="shared" ca="1" si="39"/>
        <v>#REF!</v>
      </c>
    </row>
    <row r="30" spans="2:92" ht="17.100000000000001" customHeight="1">
      <c r="B30" s="595" t="s">
        <v>42</v>
      </c>
      <c r="C30" s="596"/>
      <c r="D30" s="25"/>
      <c r="E30" s="590" t="e">
        <f t="shared" ca="1" si="12"/>
        <v>#REF!</v>
      </c>
      <c r="F30" s="591"/>
      <c r="G30" s="591" t="e">
        <f t="shared" ca="1" si="13"/>
        <v>#REF!</v>
      </c>
      <c r="H30" s="592"/>
      <c r="I30" s="597" t="e">
        <f t="shared" ca="1" si="14"/>
        <v>#REF!</v>
      </c>
      <c r="J30" s="598"/>
      <c r="K30" s="235"/>
      <c r="L30" s="235"/>
      <c r="M30" s="235"/>
      <c r="N30" s="590" t="e">
        <f t="shared" ca="1" si="15"/>
        <v>#REF!</v>
      </c>
      <c r="O30" s="591"/>
      <c r="P30" s="591" t="e">
        <f t="shared" ca="1" si="16"/>
        <v>#REF!</v>
      </c>
      <c r="Q30" s="592"/>
      <c r="R30" s="597" t="e">
        <f t="shared" ca="1" si="17"/>
        <v>#REF!</v>
      </c>
      <c r="S30" s="598"/>
      <c r="T30" s="235"/>
      <c r="U30" s="235"/>
      <c r="V30" s="235"/>
      <c r="W30" s="590" t="e">
        <f t="shared" ca="1" si="18"/>
        <v>#REF!</v>
      </c>
      <c r="X30" s="591"/>
      <c r="Y30" s="591" t="e">
        <f t="shared" ca="1" si="19"/>
        <v>#REF!</v>
      </c>
      <c r="Z30" s="592"/>
      <c r="AA30" s="597" t="e">
        <f t="shared" ca="1" si="20"/>
        <v>#REF!</v>
      </c>
      <c r="AB30" s="598"/>
      <c r="AC30" s="573"/>
      <c r="AD30" s="62" t="s">
        <v>41</v>
      </c>
      <c r="AE30" s="148"/>
      <c r="AF30" s="160" t="e">
        <f t="shared" ca="1" si="21"/>
        <v>#REF!</v>
      </c>
      <c r="AG30" s="161" t="e">
        <f t="shared" ca="1" si="70"/>
        <v>#REF!</v>
      </c>
      <c r="AH30" s="161" t="e">
        <f t="shared" ca="1" si="70"/>
        <v>#REF!</v>
      </c>
      <c r="AI30" s="161" t="e">
        <f t="shared" ca="1" si="70"/>
        <v>#REF!</v>
      </c>
      <c r="AJ30" s="161" t="e">
        <f t="shared" ca="1" si="70"/>
        <v>#REF!</v>
      </c>
      <c r="AK30" s="161" t="e">
        <f t="shared" ca="1" si="70"/>
        <v>#REF!</v>
      </c>
      <c r="AL30" s="161" t="e">
        <f t="shared" ca="1" si="70"/>
        <v>#REF!</v>
      </c>
      <c r="AM30" s="161" t="e">
        <f t="shared" ca="1" si="70"/>
        <v>#REF!</v>
      </c>
      <c r="AN30" s="161" t="e">
        <f t="shared" ca="1" si="70"/>
        <v>#REF!</v>
      </c>
      <c r="AO30" s="162" t="e">
        <f t="shared" ca="1" si="70"/>
        <v>#REF!</v>
      </c>
      <c r="AP30" s="163" t="e">
        <f t="shared" ca="1" si="23"/>
        <v>#REF!</v>
      </c>
      <c r="AQ30" s="148"/>
      <c r="AR30" s="160" t="e">
        <f t="shared" ca="1" si="24"/>
        <v>#REF!</v>
      </c>
      <c r="AS30" s="161" t="e">
        <f t="shared" ca="1" si="25"/>
        <v>#REF!</v>
      </c>
      <c r="AT30" s="161" t="e">
        <f t="shared" ca="1" si="26"/>
        <v>#REF!</v>
      </c>
      <c r="AU30" s="161" t="e">
        <f t="shared" ca="1" si="27"/>
        <v>#REF!</v>
      </c>
      <c r="AV30" s="161" t="e">
        <f t="shared" ca="1" si="28"/>
        <v>#REF!</v>
      </c>
      <c r="AW30" s="161" t="e">
        <f t="shared" ca="1" si="29"/>
        <v>#REF!</v>
      </c>
      <c r="AX30" s="161" t="e">
        <f t="shared" ca="1" si="30"/>
        <v>#REF!</v>
      </c>
      <c r="AY30" s="161" t="e">
        <f t="shared" ca="1" si="31"/>
        <v>#REF!</v>
      </c>
      <c r="AZ30" s="161" t="e">
        <f t="shared" ca="1" si="32"/>
        <v>#REF!</v>
      </c>
      <c r="BA30" s="162" t="e">
        <f t="shared" ca="1" si="33"/>
        <v>#REF!</v>
      </c>
      <c r="BB30" s="163" t="e">
        <f t="shared" ca="1" si="34"/>
        <v>#REF!</v>
      </c>
      <c r="BC30" s="148"/>
      <c r="BD30" s="163" t="e">
        <f t="shared" ca="1" si="35"/>
        <v>#REF!</v>
      </c>
      <c r="BG30" s="164" t="e">
        <f t="shared" ca="1" si="40"/>
        <v>#REF!</v>
      </c>
      <c r="BH30" s="165" t="e">
        <f t="shared" ca="1" si="41"/>
        <v>#REF!</v>
      </c>
      <c r="BI30" s="165" t="e">
        <f t="shared" ca="1" si="42"/>
        <v>#REF!</v>
      </c>
      <c r="BJ30" s="166" t="e">
        <f t="shared" ca="1" si="43"/>
        <v>#REF!</v>
      </c>
      <c r="BK30" s="165" t="e">
        <f t="shared" ca="1" si="44"/>
        <v>#REF!</v>
      </c>
      <c r="BL30" s="167" t="e">
        <f t="shared" ca="1" si="45"/>
        <v>#REF!</v>
      </c>
      <c r="BM30" s="166" t="e">
        <f t="shared" ca="1" si="46"/>
        <v>#REF!</v>
      </c>
      <c r="BN30" s="165" t="e">
        <f t="shared" ca="1" si="47"/>
        <v>#REF!</v>
      </c>
      <c r="BO30" s="167" t="e">
        <f t="shared" ca="1" si="48"/>
        <v>#REF!</v>
      </c>
      <c r="BP30" s="166" t="e">
        <f t="shared" ca="1" si="49"/>
        <v>#REF!</v>
      </c>
      <c r="BQ30" s="165" t="e">
        <f t="shared" ca="1" si="50"/>
        <v>#REF!</v>
      </c>
      <c r="BR30" s="167" t="e">
        <f t="shared" ca="1" si="51"/>
        <v>#REF!</v>
      </c>
      <c r="BS30" s="166" t="e">
        <f t="shared" ca="1" si="52"/>
        <v>#REF!</v>
      </c>
      <c r="BT30" s="165" t="e">
        <f t="shared" ca="1" si="53"/>
        <v>#REF!</v>
      </c>
      <c r="BU30" s="167" t="e">
        <f t="shared" ca="1" si="54"/>
        <v>#REF!</v>
      </c>
      <c r="BV30" s="166" t="e">
        <f t="shared" ca="1" si="55"/>
        <v>#REF!</v>
      </c>
      <c r="BW30" s="165" t="e">
        <f t="shared" ca="1" si="56"/>
        <v>#REF!</v>
      </c>
      <c r="BX30" s="167" t="e">
        <f t="shared" ca="1" si="57"/>
        <v>#REF!</v>
      </c>
      <c r="BY30" s="166" t="e">
        <f t="shared" ca="1" si="58"/>
        <v>#REF!</v>
      </c>
      <c r="BZ30" s="165" t="e">
        <f t="shared" ca="1" si="59"/>
        <v>#REF!</v>
      </c>
      <c r="CA30" s="167" t="e">
        <f t="shared" ca="1" si="60"/>
        <v>#REF!</v>
      </c>
      <c r="CB30" s="166" t="e">
        <f t="shared" ca="1" si="61"/>
        <v>#REF!</v>
      </c>
      <c r="CC30" s="165" t="e">
        <f t="shared" ca="1" si="62"/>
        <v>#REF!</v>
      </c>
      <c r="CD30" s="167" t="e">
        <f t="shared" ca="1" si="63"/>
        <v>#REF!</v>
      </c>
      <c r="CE30" s="166" t="e">
        <f t="shared" ca="1" si="64"/>
        <v>#REF!</v>
      </c>
      <c r="CF30" s="165" t="e">
        <f t="shared" ca="1" si="65"/>
        <v>#REF!</v>
      </c>
      <c r="CG30" s="167" t="e">
        <f t="shared" ca="1" si="66"/>
        <v>#REF!</v>
      </c>
      <c r="CH30" s="165" t="e">
        <f t="shared" ca="1" si="67"/>
        <v>#REF!</v>
      </c>
      <c r="CI30" s="165" t="e">
        <f t="shared" ca="1" si="68"/>
        <v>#REF!</v>
      </c>
      <c r="CJ30" s="165" t="e">
        <f t="shared" ca="1" si="69"/>
        <v>#REF!</v>
      </c>
      <c r="CK30" s="168" t="e">
        <f t="shared" ca="1" si="36"/>
        <v>#REF!</v>
      </c>
      <c r="CL30" s="169" t="e">
        <f t="shared" ca="1" si="37"/>
        <v>#REF!</v>
      </c>
      <c r="CM30" s="170" t="e">
        <f t="shared" ca="1" si="38"/>
        <v>#REF!</v>
      </c>
      <c r="CN30" s="170" t="e">
        <f t="shared" ca="1" si="39"/>
        <v>#REF!</v>
      </c>
    </row>
    <row r="31" spans="2:92" ht="17.100000000000001" customHeight="1">
      <c r="B31" s="595" t="s">
        <v>43</v>
      </c>
      <c r="C31" s="596"/>
      <c r="D31" s="25"/>
      <c r="E31" s="590" t="e">
        <f t="shared" ca="1" si="12"/>
        <v>#REF!</v>
      </c>
      <c r="F31" s="591"/>
      <c r="G31" s="591" t="e">
        <f t="shared" ca="1" si="13"/>
        <v>#REF!</v>
      </c>
      <c r="H31" s="592"/>
      <c r="I31" s="597" t="e">
        <f t="shared" ca="1" si="14"/>
        <v>#REF!</v>
      </c>
      <c r="J31" s="598"/>
      <c r="K31" s="235"/>
      <c r="L31" s="235"/>
      <c r="M31" s="235"/>
      <c r="N31" s="590" t="e">
        <f t="shared" ca="1" si="15"/>
        <v>#REF!</v>
      </c>
      <c r="O31" s="591"/>
      <c r="P31" s="591" t="e">
        <f t="shared" ca="1" si="16"/>
        <v>#REF!</v>
      </c>
      <c r="Q31" s="592"/>
      <c r="R31" s="597" t="e">
        <f t="shared" ca="1" si="17"/>
        <v>#REF!</v>
      </c>
      <c r="S31" s="598"/>
      <c r="T31" s="235"/>
      <c r="U31" s="235"/>
      <c r="V31" s="235"/>
      <c r="W31" s="590" t="e">
        <f t="shared" ca="1" si="18"/>
        <v>#REF!</v>
      </c>
      <c r="X31" s="591"/>
      <c r="Y31" s="591" t="e">
        <f t="shared" ca="1" si="19"/>
        <v>#REF!</v>
      </c>
      <c r="Z31" s="592"/>
      <c r="AA31" s="597" t="e">
        <f t="shared" ca="1" si="20"/>
        <v>#REF!</v>
      </c>
      <c r="AB31" s="598"/>
      <c r="AC31" s="573"/>
      <c r="AD31" s="62" t="s">
        <v>42</v>
      </c>
      <c r="AE31" s="148"/>
      <c r="AF31" s="160" t="e">
        <f t="shared" ca="1" si="21"/>
        <v>#REF!</v>
      </c>
      <c r="AG31" s="161" t="e">
        <f t="shared" ca="1" si="70"/>
        <v>#REF!</v>
      </c>
      <c r="AH31" s="161" t="e">
        <f t="shared" ca="1" si="70"/>
        <v>#REF!</v>
      </c>
      <c r="AI31" s="161" t="e">
        <f t="shared" ca="1" si="70"/>
        <v>#REF!</v>
      </c>
      <c r="AJ31" s="161" t="e">
        <f t="shared" ca="1" si="70"/>
        <v>#REF!</v>
      </c>
      <c r="AK31" s="161" t="e">
        <f t="shared" ca="1" si="70"/>
        <v>#REF!</v>
      </c>
      <c r="AL31" s="161" t="e">
        <f t="shared" ca="1" si="70"/>
        <v>#REF!</v>
      </c>
      <c r="AM31" s="161" t="e">
        <f t="shared" ca="1" si="70"/>
        <v>#REF!</v>
      </c>
      <c r="AN31" s="161" t="e">
        <f t="shared" ca="1" si="70"/>
        <v>#REF!</v>
      </c>
      <c r="AO31" s="162" t="e">
        <f t="shared" ca="1" si="70"/>
        <v>#REF!</v>
      </c>
      <c r="AP31" s="163" t="e">
        <f t="shared" ca="1" si="23"/>
        <v>#REF!</v>
      </c>
      <c r="AQ31" s="148"/>
      <c r="AR31" s="160" t="e">
        <f t="shared" ca="1" si="24"/>
        <v>#REF!</v>
      </c>
      <c r="AS31" s="161" t="e">
        <f t="shared" ca="1" si="25"/>
        <v>#REF!</v>
      </c>
      <c r="AT31" s="161" t="e">
        <f t="shared" ca="1" si="26"/>
        <v>#REF!</v>
      </c>
      <c r="AU31" s="161" t="e">
        <f t="shared" ca="1" si="27"/>
        <v>#REF!</v>
      </c>
      <c r="AV31" s="161" t="e">
        <f t="shared" ca="1" si="28"/>
        <v>#REF!</v>
      </c>
      <c r="AW31" s="161" t="e">
        <f t="shared" ca="1" si="29"/>
        <v>#REF!</v>
      </c>
      <c r="AX31" s="161" t="e">
        <f t="shared" ca="1" si="30"/>
        <v>#REF!</v>
      </c>
      <c r="AY31" s="161" t="e">
        <f t="shared" ca="1" si="31"/>
        <v>#REF!</v>
      </c>
      <c r="AZ31" s="161" t="e">
        <f t="shared" ca="1" si="32"/>
        <v>#REF!</v>
      </c>
      <c r="BA31" s="162" t="e">
        <f t="shared" ca="1" si="33"/>
        <v>#REF!</v>
      </c>
      <c r="BB31" s="163" t="e">
        <f t="shared" ca="1" si="34"/>
        <v>#REF!</v>
      </c>
      <c r="BC31" s="148"/>
      <c r="BD31" s="163" t="e">
        <f t="shared" ca="1" si="35"/>
        <v>#REF!</v>
      </c>
      <c r="BG31" s="164" t="e">
        <f t="shared" ca="1" si="40"/>
        <v>#REF!</v>
      </c>
      <c r="BH31" s="165" t="e">
        <f t="shared" ca="1" si="41"/>
        <v>#REF!</v>
      </c>
      <c r="BI31" s="165" t="e">
        <f t="shared" ca="1" si="42"/>
        <v>#REF!</v>
      </c>
      <c r="BJ31" s="166" t="e">
        <f t="shared" ca="1" si="43"/>
        <v>#REF!</v>
      </c>
      <c r="BK31" s="165" t="e">
        <f t="shared" ca="1" si="44"/>
        <v>#REF!</v>
      </c>
      <c r="BL31" s="167" t="e">
        <f t="shared" ca="1" si="45"/>
        <v>#REF!</v>
      </c>
      <c r="BM31" s="166" t="e">
        <f t="shared" ca="1" si="46"/>
        <v>#REF!</v>
      </c>
      <c r="BN31" s="165" t="e">
        <f t="shared" ca="1" si="47"/>
        <v>#REF!</v>
      </c>
      <c r="BO31" s="167" t="e">
        <f t="shared" ca="1" si="48"/>
        <v>#REF!</v>
      </c>
      <c r="BP31" s="166" t="e">
        <f t="shared" ca="1" si="49"/>
        <v>#REF!</v>
      </c>
      <c r="BQ31" s="165" t="e">
        <f t="shared" ca="1" si="50"/>
        <v>#REF!</v>
      </c>
      <c r="BR31" s="167" t="e">
        <f t="shared" ca="1" si="51"/>
        <v>#REF!</v>
      </c>
      <c r="BS31" s="166" t="e">
        <f t="shared" ca="1" si="52"/>
        <v>#REF!</v>
      </c>
      <c r="BT31" s="165" t="e">
        <f t="shared" ca="1" si="53"/>
        <v>#REF!</v>
      </c>
      <c r="BU31" s="167" t="e">
        <f t="shared" ca="1" si="54"/>
        <v>#REF!</v>
      </c>
      <c r="BV31" s="166" t="e">
        <f t="shared" ca="1" si="55"/>
        <v>#REF!</v>
      </c>
      <c r="BW31" s="165" t="e">
        <f t="shared" ca="1" si="56"/>
        <v>#REF!</v>
      </c>
      <c r="BX31" s="167" t="e">
        <f t="shared" ca="1" si="57"/>
        <v>#REF!</v>
      </c>
      <c r="BY31" s="166" t="e">
        <f t="shared" ca="1" si="58"/>
        <v>#REF!</v>
      </c>
      <c r="BZ31" s="165" t="e">
        <f t="shared" ca="1" si="59"/>
        <v>#REF!</v>
      </c>
      <c r="CA31" s="167" t="e">
        <f t="shared" ca="1" si="60"/>
        <v>#REF!</v>
      </c>
      <c r="CB31" s="166" t="e">
        <f t="shared" ca="1" si="61"/>
        <v>#REF!</v>
      </c>
      <c r="CC31" s="165" t="e">
        <f t="shared" ca="1" si="62"/>
        <v>#REF!</v>
      </c>
      <c r="CD31" s="167" t="e">
        <f t="shared" ca="1" si="63"/>
        <v>#REF!</v>
      </c>
      <c r="CE31" s="166" t="e">
        <f t="shared" ca="1" si="64"/>
        <v>#REF!</v>
      </c>
      <c r="CF31" s="165" t="e">
        <f t="shared" ca="1" si="65"/>
        <v>#REF!</v>
      </c>
      <c r="CG31" s="167" t="e">
        <f t="shared" ca="1" si="66"/>
        <v>#REF!</v>
      </c>
      <c r="CH31" s="165" t="e">
        <f t="shared" ca="1" si="67"/>
        <v>#REF!</v>
      </c>
      <c r="CI31" s="165" t="e">
        <f t="shared" ca="1" si="68"/>
        <v>#REF!</v>
      </c>
      <c r="CJ31" s="165" t="e">
        <f t="shared" ca="1" si="69"/>
        <v>#REF!</v>
      </c>
      <c r="CK31" s="168" t="e">
        <f t="shared" ca="1" si="36"/>
        <v>#REF!</v>
      </c>
      <c r="CL31" s="169" t="e">
        <f t="shared" ca="1" si="37"/>
        <v>#REF!</v>
      </c>
      <c r="CM31" s="170" t="e">
        <f t="shared" ca="1" si="38"/>
        <v>#REF!</v>
      </c>
      <c r="CN31" s="170" t="e">
        <f t="shared" ca="1" si="39"/>
        <v>#REF!</v>
      </c>
    </row>
    <row r="32" spans="2:92" ht="17.100000000000001" customHeight="1">
      <c r="B32" s="595" t="s">
        <v>44</v>
      </c>
      <c r="C32" s="596"/>
      <c r="D32" s="25"/>
      <c r="E32" s="590" t="e">
        <f t="shared" ca="1" si="12"/>
        <v>#REF!</v>
      </c>
      <c r="F32" s="591"/>
      <c r="G32" s="591" t="e">
        <f t="shared" ca="1" si="13"/>
        <v>#REF!</v>
      </c>
      <c r="H32" s="592"/>
      <c r="I32" s="597" t="e">
        <f t="shared" ca="1" si="14"/>
        <v>#REF!</v>
      </c>
      <c r="J32" s="598"/>
      <c r="K32" s="235"/>
      <c r="L32" s="235"/>
      <c r="M32" s="235"/>
      <c r="N32" s="590" t="e">
        <f t="shared" ca="1" si="15"/>
        <v>#REF!</v>
      </c>
      <c r="O32" s="591"/>
      <c r="P32" s="591" t="e">
        <f t="shared" ca="1" si="16"/>
        <v>#REF!</v>
      </c>
      <c r="Q32" s="592"/>
      <c r="R32" s="597" t="e">
        <f t="shared" ca="1" si="17"/>
        <v>#REF!</v>
      </c>
      <c r="S32" s="598"/>
      <c r="T32" s="235"/>
      <c r="U32" s="235"/>
      <c r="V32" s="235"/>
      <c r="W32" s="590" t="e">
        <f t="shared" ca="1" si="18"/>
        <v>#REF!</v>
      </c>
      <c r="X32" s="591"/>
      <c r="Y32" s="591" t="e">
        <f t="shared" ca="1" si="19"/>
        <v>#REF!</v>
      </c>
      <c r="Z32" s="592"/>
      <c r="AA32" s="597" t="e">
        <f t="shared" ca="1" si="20"/>
        <v>#REF!</v>
      </c>
      <c r="AB32" s="598"/>
      <c r="AC32" s="573"/>
      <c r="AD32" s="62" t="s">
        <v>43</v>
      </c>
      <c r="AE32" s="148"/>
      <c r="AF32" s="160" t="e">
        <f t="shared" ca="1" si="21"/>
        <v>#REF!</v>
      </c>
      <c r="AG32" s="161" t="e">
        <f t="shared" ca="1" si="70"/>
        <v>#REF!</v>
      </c>
      <c r="AH32" s="161" t="e">
        <f t="shared" ca="1" si="70"/>
        <v>#REF!</v>
      </c>
      <c r="AI32" s="161" t="e">
        <f t="shared" ca="1" si="70"/>
        <v>#REF!</v>
      </c>
      <c r="AJ32" s="161" t="e">
        <f t="shared" ca="1" si="70"/>
        <v>#REF!</v>
      </c>
      <c r="AK32" s="161" t="e">
        <f t="shared" ca="1" si="70"/>
        <v>#REF!</v>
      </c>
      <c r="AL32" s="161" t="e">
        <f t="shared" ca="1" si="70"/>
        <v>#REF!</v>
      </c>
      <c r="AM32" s="161" t="e">
        <f t="shared" ca="1" si="70"/>
        <v>#REF!</v>
      </c>
      <c r="AN32" s="161" t="e">
        <f t="shared" ca="1" si="70"/>
        <v>#REF!</v>
      </c>
      <c r="AO32" s="162" t="e">
        <f t="shared" ca="1" si="70"/>
        <v>#REF!</v>
      </c>
      <c r="AP32" s="163" t="e">
        <f t="shared" ca="1" si="23"/>
        <v>#REF!</v>
      </c>
      <c r="AQ32" s="148"/>
      <c r="AR32" s="160" t="e">
        <f t="shared" ca="1" si="24"/>
        <v>#REF!</v>
      </c>
      <c r="AS32" s="161" t="e">
        <f t="shared" ca="1" si="25"/>
        <v>#REF!</v>
      </c>
      <c r="AT32" s="161" t="e">
        <f t="shared" ca="1" si="26"/>
        <v>#REF!</v>
      </c>
      <c r="AU32" s="161" t="e">
        <f t="shared" ca="1" si="27"/>
        <v>#REF!</v>
      </c>
      <c r="AV32" s="161" t="e">
        <f t="shared" ca="1" si="28"/>
        <v>#REF!</v>
      </c>
      <c r="AW32" s="161" t="e">
        <f t="shared" ca="1" si="29"/>
        <v>#REF!</v>
      </c>
      <c r="AX32" s="161" t="e">
        <f t="shared" ca="1" si="30"/>
        <v>#REF!</v>
      </c>
      <c r="AY32" s="161" t="e">
        <f t="shared" ca="1" si="31"/>
        <v>#REF!</v>
      </c>
      <c r="AZ32" s="161" t="e">
        <f t="shared" ca="1" si="32"/>
        <v>#REF!</v>
      </c>
      <c r="BA32" s="162" t="e">
        <f t="shared" ca="1" si="33"/>
        <v>#REF!</v>
      </c>
      <c r="BB32" s="163" t="e">
        <f t="shared" ca="1" si="34"/>
        <v>#REF!</v>
      </c>
      <c r="BC32" s="148"/>
      <c r="BD32" s="163" t="e">
        <f t="shared" ca="1" si="35"/>
        <v>#REF!</v>
      </c>
      <c r="BG32" s="164" t="e">
        <f t="shared" ca="1" si="40"/>
        <v>#REF!</v>
      </c>
      <c r="BH32" s="165" t="e">
        <f t="shared" ca="1" si="41"/>
        <v>#REF!</v>
      </c>
      <c r="BI32" s="165" t="e">
        <f t="shared" ca="1" si="42"/>
        <v>#REF!</v>
      </c>
      <c r="BJ32" s="166" t="e">
        <f t="shared" ca="1" si="43"/>
        <v>#REF!</v>
      </c>
      <c r="BK32" s="165" t="e">
        <f t="shared" ca="1" si="44"/>
        <v>#REF!</v>
      </c>
      <c r="BL32" s="167" t="e">
        <f t="shared" ca="1" si="45"/>
        <v>#REF!</v>
      </c>
      <c r="BM32" s="166" t="e">
        <f t="shared" ca="1" si="46"/>
        <v>#REF!</v>
      </c>
      <c r="BN32" s="165" t="e">
        <f t="shared" ca="1" si="47"/>
        <v>#REF!</v>
      </c>
      <c r="BO32" s="167" t="e">
        <f t="shared" ca="1" si="48"/>
        <v>#REF!</v>
      </c>
      <c r="BP32" s="166" t="e">
        <f t="shared" ca="1" si="49"/>
        <v>#REF!</v>
      </c>
      <c r="BQ32" s="165" t="e">
        <f t="shared" ca="1" si="50"/>
        <v>#REF!</v>
      </c>
      <c r="BR32" s="167" t="e">
        <f t="shared" ca="1" si="51"/>
        <v>#REF!</v>
      </c>
      <c r="BS32" s="166" t="e">
        <f t="shared" ca="1" si="52"/>
        <v>#REF!</v>
      </c>
      <c r="BT32" s="165" t="e">
        <f t="shared" ca="1" si="53"/>
        <v>#REF!</v>
      </c>
      <c r="BU32" s="167" t="e">
        <f t="shared" ca="1" si="54"/>
        <v>#REF!</v>
      </c>
      <c r="BV32" s="166" t="e">
        <f t="shared" ca="1" si="55"/>
        <v>#REF!</v>
      </c>
      <c r="BW32" s="165" t="e">
        <f t="shared" ca="1" si="56"/>
        <v>#REF!</v>
      </c>
      <c r="BX32" s="167" t="e">
        <f t="shared" ca="1" si="57"/>
        <v>#REF!</v>
      </c>
      <c r="BY32" s="166" t="e">
        <f t="shared" ca="1" si="58"/>
        <v>#REF!</v>
      </c>
      <c r="BZ32" s="165" t="e">
        <f t="shared" ca="1" si="59"/>
        <v>#REF!</v>
      </c>
      <c r="CA32" s="167" t="e">
        <f t="shared" ca="1" si="60"/>
        <v>#REF!</v>
      </c>
      <c r="CB32" s="166" t="e">
        <f t="shared" ca="1" si="61"/>
        <v>#REF!</v>
      </c>
      <c r="CC32" s="165" t="e">
        <f t="shared" ca="1" si="62"/>
        <v>#REF!</v>
      </c>
      <c r="CD32" s="167" t="e">
        <f t="shared" ca="1" si="63"/>
        <v>#REF!</v>
      </c>
      <c r="CE32" s="166" t="e">
        <f t="shared" ca="1" si="64"/>
        <v>#REF!</v>
      </c>
      <c r="CF32" s="165" t="e">
        <f t="shared" ca="1" si="65"/>
        <v>#REF!</v>
      </c>
      <c r="CG32" s="167" t="e">
        <f t="shared" ca="1" si="66"/>
        <v>#REF!</v>
      </c>
      <c r="CH32" s="165" t="e">
        <f t="shared" ca="1" si="67"/>
        <v>#REF!</v>
      </c>
      <c r="CI32" s="165" t="e">
        <f t="shared" ca="1" si="68"/>
        <v>#REF!</v>
      </c>
      <c r="CJ32" s="165" t="e">
        <f t="shared" ca="1" si="69"/>
        <v>#REF!</v>
      </c>
      <c r="CK32" s="168" t="e">
        <f t="shared" ca="1" si="36"/>
        <v>#REF!</v>
      </c>
      <c r="CL32" s="169" t="e">
        <f t="shared" ca="1" si="37"/>
        <v>#REF!</v>
      </c>
      <c r="CM32" s="170" t="e">
        <f t="shared" ca="1" si="38"/>
        <v>#REF!</v>
      </c>
      <c r="CN32" s="170" t="e">
        <f t="shared" ca="1" si="39"/>
        <v>#REF!</v>
      </c>
    </row>
    <row r="33" spans="2:92" ht="17.100000000000001" customHeight="1">
      <c r="B33" s="595" t="s">
        <v>45</v>
      </c>
      <c r="C33" s="596"/>
      <c r="D33" s="25"/>
      <c r="E33" s="590" t="e">
        <f t="shared" ca="1" si="12"/>
        <v>#REF!</v>
      </c>
      <c r="F33" s="591"/>
      <c r="G33" s="591" t="e">
        <f t="shared" ca="1" si="13"/>
        <v>#REF!</v>
      </c>
      <c r="H33" s="592"/>
      <c r="I33" s="597" t="e">
        <f t="shared" ca="1" si="14"/>
        <v>#REF!</v>
      </c>
      <c r="J33" s="598"/>
      <c r="K33" s="235"/>
      <c r="L33" s="235"/>
      <c r="M33" s="235"/>
      <c r="N33" s="590" t="e">
        <f t="shared" ca="1" si="15"/>
        <v>#REF!</v>
      </c>
      <c r="O33" s="591"/>
      <c r="P33" s="591" t="e">
        <f t="shared" ca="1" si="16"/>
        <v>#REF!</v>
      </c>
      <c r="Q33" s="592"/>
      <c r="R33" s="597" t="e">
        <f t="shared" ca="1" si="17"/>
        <v>#REF!</v>
      </c>
      <c r="S33" s="598"/>
      <c r="T33" s="235"/>
      <c r="U33" s="235"/>
      <c r="V33" s="235"/>
      <c r="W33" s="590" t="e">
        <f t="shared" ca="1" si="18"/>
        <v>#REF!</v>
      </c>
      <c r="X33" s="591"/>
      <c r="Y33" s="591" t="e">
        <f t="shared" ca="1" si="19"/>
        <v>#REF!</v>
      </c>
      <c r="Z33" s="592"/>
      <c r="AA33" s="597" t="e">
        <f t="shared" ca="1" si="20"/>
        <v>#REF!</v>
      </c>
      <c r="AB33" s="598"/>
      <c r="AC33" s="573"/>
      <c r="AD33" s="62" t="s">
        <v>44</v>
      </c>
      <c r="AE33" s="148"/>
      <c r="AF33" s="160" t="e">
        <f t="shared" ca="1" si="21"/>
        <v>#REF!</v>
      </c>
      <c r="AG33" s="161" t="e">
        <f t="shared" ca="1" si="70"/>
        <v>#REF!</v>
      </c>
      <c r="AH33" s="161" t="e">
        <f t="shared" ca="1" si="70"/>
        <v>#REF!</v>
      </c>
      <c r="AI33" s="161" t="e">
        <f t="shared" ca="1" si="70"/>
        <v>#REF!</v>
      </c>
      <c r="AJ33" s="161" t="e">
        <f t="shared" ca="1" si="70"/>
        <v>#REF!</v>
      </c>
      <c r="AK33" s="161" t="e">
        <f t="shared" ca="1" si="70"/>
        <v>#REF!</v>
      </c>
      <c r="AL33" s="161" t="e">
        <f t="shared" ca="1" si="70"/>
        <v>#REF!</v>
      </c>
      <c r="AM33" s="161" t="e">
        <f t="shared" ca="1" si="70"/>
        <v>#REF!</v>
      </c>
      <c r="AN33" s="161" t="e">
        <f t="shared" ca="1" si="70"/>
        <v>#REF!</v>
      </c>
      <c r="AO33" s="162" t="e">
        <f t="shared" ca="1" si="70"/>
        <v>#REF!</v>
      </c>
      <c r="AP33" s="163" t="e">
        <f t="shared" ca="1" si="23"/>
        <v>#REF!</v>
      </c>
      <c r="AQ33" s="148"/>
      <c r="AR33" s="160" t="e">
        <f t="shared" ca="1" si="24"/>
        <v>#REF!</v>
      </c>
      <c r="AS33" s="161" t="e">
        <f t="shared" ca="1" si="25"/>
        <v>#REF!</v>
      </c>
      <c r="AT33" s="161" t="e">
        <f t="shared" ca="1" si="26"/>
        <v>#REF!</v>
      </c>
      <c r="AU33" s="161" t="e">
        <f t="shared" ca="1" si="27"/>
        <v>#REF!</v>
      </c>
      <c r="AV33" s="161" t="e">
        <f t="shared" ca="1" si="28"/>
        <v>#REF!</v>
      </c>
      <c r="AW33" s="161" t="e">
        <f t="shared" ca="1" si="29"/>
        <v>#REF!</v>
      </c>
      <c r="AX33" s="161" t="e">
        <f t="shared" ca="1" si="30"/>
        <v>#REF!</v>
      </c>
      <c r="AY33" s="161" t="e">
        <f t="shared" ca="1" si="31"/>
        <v>#REF!</v>
      </c>
      <c r="AZ33" s="161" t="e">
        <f t="shared" ca="1" si="32"/>
        <v>#REF!</v>
      </c>
      <c r="BA33" s="162" t="e">
        <f t="shared" ca="1" si="33"/>
        <v>#REF!</v>
      </c>
      <c r="BB33" s="163" t="e">
        <f t="shared" ca="1" si="34"/>
        <v>#REF!</v>
      </c>
      <c r="BC33" s="148"/>
      <c r="BD33" s="163" t="e">
        <f t="shared" ca="1" si="35"/>
        <v>#REF!</v>
      </c>
      <c r="BG33" s="164" t="e">
        <f t="shared" ca="1" si="40"/>
        <v>#REF!</v>
      </c>
      <c r="BH33" s="165" t="e">
        <f t="shared" ca="1" si="41"/>
        <v>#REF!</v>
      </c>
      <c r="BI33" s="165" t="e">
        <f t="shared" ca="1" si="42"/>
        <v>#REF!</v>
      </c>
      <c r="BJ33" s="166" t="e">
        <f t="shared" ca="1" si="43"/>
        <v>#REF!</v>
      </c>
      <c r="BK33" s="165" t="e">
        <f t="shared" ca="1" si="44"/>
        <v>#REF!</v>
      </c>
      <c r="BL33" s="167" t="e">
        <f t="shared" ca="1" si="45"/>
        <v>#REF!</v>
      </c>
      <c r="BM33" s="166" t="e">
        <f t="shared" ca="1" si="46"/>
        <v>#REF!</v>
      </c>
      <c r="BN33" s="165" t="e">
        <f t="shared" ca="1" si="47"/>
        <v>#REF!</v>
      </c>
      <c r="BO33" s="167" t="e">
        <f t="shared" ca="1" si="48"/>
        <v>#REF!</v>
      </c>
      <c r="BP33" s="166" t="e">
        <f t="shared" ca="1" si="49"/>
        <v>#REF!</v>
      </c>
      <c r="BQ33" s="165" t="e">
        <f t="shared" ca="1" si="50"/>
        <v>#REF!</v>
      </c>
      <c r="BR33" s="167" t="e">
        <f t="shared" ca="1" si="51"/>
        <v>#REF!</v>
      </c>
      <c r="BS33" s="166" t="e">
        <f t="shared" ca="1" si="52"/>
        <v>#REF!</v>
      </c>
      <c r="BT33" s="165" t="e">
        <f t="shared" ca="1" si="53"/>
        <v>#REF!</v>
      </c>
      <c r="BU33" s="167" t="e">
        <f t="shared" ca="1" si="54"/>
        <v>#REF!</v>
      </c>
      <c r="BV33" s="166" t="e">
        <f t="shared" ca="1" si="55"/>
        <v>#REF!</v>
      </c>
      <c r="BW33" s="165" t="e">
        <f t="shared" ca="1" si="56"/>
        <v>#REF!</v>
      </c>
      <c r="BX33" s="167" t="e">
        <f t="shared" ca="1" si="57"/>
        <v>#REF!</v>
      </c>
      <c r="BY33" s="166" t="e">
        <f t="shared" ca="1" si="58"/>
        <v>#REF!</v>
      </c>
      <c r="BZ33" s="165" t="e">
        <f t="shared" ca="1" si="59"/>
        <v>#REF!</v>
      </c>
      <c r="CA33" s="167" t="e">
        <f t="shared" ca="1" si="60"/>
        <v>#REF!</v>
      </c>
      <c r="CB33" s="166" t="e">
        <f t="shared" ca="1" si="61"/>
        <v>#REF!</v>
      </c>
      <c r="CC33" s="165" t="e">
        <f t="shared" ca="1" si="62"/>
        <v>#REF!</v>
      </c>
      <c r="CD33" s="167" t="e">
        <f t="shared" ca="1" si="63"/>
        <v>#REF!</v>
      </c>
      <c r="CE33" s="166" t="e">
        <f t="shared" ca="1" si="64"/>
        <v>#REF!</v>
      </c>
      <c r="CF33" s="165" t="e">
        <f t="shared" ca="1" si="65"/>
        <v>#REF!</v>
      </c>
      <c r="CG33" s="167" t="e">
        <f t="shared" ca="1" si="66"/>
        <v>#REF!</v>
      </c>
      <c r="CH33" s="165" t="e">
        <f t="shared" ca="1" si="67"/>
        <v>#REF!</v>
      </c>
      <c r="CI33" s="165" t="e">
        <f t="shared" ca="1" si="68"/>
        <v>#REF!</v>
      </c>
      <c r="CJ33" s="165" t="e">
        <f t="shared" ca="1" si="69"/>
        <v>#REF!</v>
      </c>
      <c r="CK33" s="168" t="e">
        <f t="shared" ca="1" si="36"/>
        <v>#REF!</v>
      </c>
      <c r="CL33" s="169" t="e">
        <f t="shared" ca="1" si="37"/>
        <v>#REF!</v>
      </c>
      <c r="CM33" s="170" t="e">
        <f t="shared" ca="1" si="38"/>
        <v>#REF!</v>
      </c>
      <c r="CN33" s="170" t="e">
        <f t="shared" ca="1" si="39"/>
        <v>#REF!</v>
      </c>
    </row>
    <row r="34" spans="2:92" ht="17.100000000000001" customHeight="1">
      <c r="B34" s="595" t="s">
        <v>46</v>
      </c>
      <c r="C34" s="596"/>
      <c r="D34" s="25"/>
      <c r="E34" s="590" t="e">
        <f t="shared" ca="1" si="12"/>
        <v>#REF!</v>
      </c>
      <c r="F34" s="591"/>
      <c r="G34" s="591" t="e">
        <f t="shared" ca="1" si="13"/>
        <v>#REF!</v>
      </c>
      <c r="H34" s="592"/>
      <c r="I34" s="597" t="e">
        <f t="shared" ca="1" si="14"/>
        <v>#REF!</v>
      </c>
      <c r="J34" s="598"/>
      <c r="K34" s="235"/>
      <c r="L34" s="235"/>
      <c r="M34" s="235"/>
      <c r="N34" s="590" t="e">
        <f t="shared" ca="1" si="15"/>
        <v>#REF!</v>
      </c>
      <c r="O34" s="591"/>
      <c r="P34" s="591" t="e">
        <f t="shared" ca="1" si="16"/>
        <v>#REF!</v>
      </c>
      <c r="Q34" s="592"/>
      <c r="R34" s="597" t="e">
        <f t="shared" ca="1" si="17"/>
        <v>#REF!</v>
      </c>
      <c r="S34" s="598"/>
      <c r="T34" s="235"/>
      <c r="U34" s="235"/>
      <c r="V34" s="235"/>
      <c r="W34" s="590" t="e">
        <f t="shared" ca="1" si="18"/>
        <v>#REF!</v>
      </c>
      <c r="X34" s="591"/>
      <c r="Y34" s="591" t="e">
        <f t="shared" ca="1" si="19"/>
        <v>#REF!</v>
      </c>
      <c r="Z34" s="592"/>
      <c r="AA34" s="597" t="e">
        <f t="shared" ca="1" si="20"/>
        <v>#REF!</v>
      </c>
      <c r="AB34" s="598"/>
      <c r="AC34" s="573"/>
      <c r="AD34" s="62" t="s">
        <v>45</v>
      </c>
      <c r="AE34" s="148"/>
      <c r="AF34" s="160" t="e">
        <f t="shared" ca="1" si="21"/>
        <v>#REF!</v>
      </c>
      <c r="AG34" s="161" t="e">
        <f t="shared" ca="1" si="70"/>
        <v>#REF!</v>
      </c>
      <c r="AH34" s="161" t="e">
        <f t="shared" ca="1" si="70"/>
        <v>#REF!</v>
      </c>
      <c r="AI34" s="161" t="e">
        <f t="shared" ca="1" si="70"/>
        <v>#REF!</v>
      </c>
      <c r="AJ34" s="161" t="e">
        <f t="shared" ca="1" si="70"/>
        <v>#REF!</v>
      </c>
      <c r="AK34" s="161" t="e">
        <f t="shared" ca="1" si="70"/>
        <v>#REF!</v>
      </c>
      <c r="AL34" s="161" t="e">
        <f t="shared" ca="1" si="70"/>
        <v>#REF!</v>
      </c>
      <c r="AM34" s="161" t="e">
        <f t="shared" ca="1" si="70"/>
        <v>#REF!</v>
      </c>
      <c r="AN34" s="161" t="e">
        <f t="shared" ca="1" si="70"/>
        <v>#REF!</v>
      </c>
      <c r="AO34" s="162" t="e">
        <f t="shared" ca="1" si="70"/>
        <v>#REF!</v>
      </c>
      <c r="AP34" s="163" t="e">
        <f t="shared" ca="1" si="23"/>
        <v>#REF!</v>
      </c>
      <c r="AQ34" s="148"/>
      <c r="AR34" s="160" t="e">
        <f t="shared" ca="1" si="24"/>
        <v>#REF!</v>
      </c>
      <c r="AS34" s="161" t="e">
        <f t="shared" ca="1" si="25"/>
        <v>#REF!</v>
      </c>
      <c r="AT34" s="161" t="e">
        <f t="shared" ca="1" si="26"/>
        <v>#REF!</v>
      </c>
      <c r="AU34" s="161" t="e">
        <f t="shared" ca="1" si="27"/>
        <v>#REF!</v>
      </c>
      <c r="AV34" s="161" t="e">
        <f t="shared" ca="1" si="28"/>
        <v>#REF!</v>
      </c>
      <c r="AW34" s="161" t="e">
        <f t="shared" ca="1" si="29"/>
        <v>#REF!</v>
      </c>
      <c r="AX34" s="161" t="e">
        <f t="shared" ca="1" si="30"/>
        <v>#REF!</v>
      </c>
      <c r="AY34" s="161" t="e">
        <f t="shared" ca="1" si="31"/>
        <v>#REF!</v>
      </c>
      <c r="AZ34" s="161" t="e">
        <f t="shared" ca="1" si="32"/>
        <v>#REF!</v>
      </c>
      <c r="BA34" s="162" t="e">
        <f t="shared" ca="1" si="33"/>
        <v>#REF!</v>
      </c>
      <c r="BB34" s="163" t="e">
        <f t="shared" ca="1" si="34"/>
        <v>#REF!</v>
      </c>
      <c r="BC34" s="148"/>
      <c r="BD34" s="163" t="e">
        <f t="shared" ca="1" si="35"/>
        <v>#REF!</v>
      </c>
      <c r="BG34" s="164" t="e">
        <f t="shared" ca="1" si="40"/>
        <v>#REF!</v>
      </c>
      <c r="BH34" s="165" t="e">
        <f t="shared" ca="1" si="41"/>
        <v>#REF!</v>
      </c>
      <c r="BI34" s="165" t="e">
        <f t="shared" ca="1" si="42"/>
        <v>#REF!</v>
      </c>
      <c r="BJ34" s="166" t="e">
        <f t="shared" ca="1" si="43"/>
        <v>#REF!</v>
      </c>
      <c r="BK34" s="165" t="e">
        <f t="shared" ca="1" si="44"/>
        <v>#REF!</v>
      </c>
      <c r="BL34" s="167" t="e">
        <f t="shared" ca="1" si="45"/>
        <v>#REF!</v>
      </c>
      <c r="BM34" s="166" t="e">
        <f t="shared" ca="1" si="46"/>
        <v>#REF!</v>
      </c>
      <c r="BN34" s="165" t="e">
        <f t="shared" ca="1" si="47"/>
        <v>#REF!</v>
      </c>
      <c r="BO34" s="167" t="e">
        <f t="shared" ca="1" si="48"/>
        <v>#REF!</v>
      </c>
      <c r="BP34" s="166" t="e">
        <f t="shared" ca="1" si="49"/>
        <v>#REF!</v>
      </c>
      <c r="BQ34" s="165" t="e">
        <f t="shared" ca="1" si="50"/>
        <v>#REF!</v>
      </c>
      <c r="BR34" s="167" t="e">
        <f t="shared" ca="1" si="51"/>
        <v>#REF!</v>
      </c>
      <c r="BS34" s="166" t="e">
        <f t="shared" ca="1" si="52"/>
        <v>#REF!</v>
      </c>
      <c r="BT34" s="165" t="e">
        <f t="shared" ca="1" si="53"/>
        <v>#REF!</v>
      </c>
      <c r="BU34" s="167" t="e">
        <f t="shared" ca="1" si="54"/>
        <v>#REF!</v>
      </c>
      <c r="BV34" s="166" t="e">
        <f t="shared" ca="1" si="55"/>
        <v>#REF!</v>
      </c>
      <c r="BW34" s="165" t="e">
        <f t="shared" ca="1" si="56"/>
        <v>#REF!</v>
      </c>
      <c r="BX34" s="167" t="e">
        <f t="shared" ca="1" si="57"/>
        <v>#REF!</v>
      </c>
      <c r="BY34" s="166" t="e">
        <f t="shared" ca="1" si="58"/>
        <v>#REF!</v>
      </c>
      <c r="BZ34" s="165" t="e">
        <f t="shared" ca="1" si="59"/>
        <v>#REF!</v>
      </c>
      <c r="CA34" s="167" t="e">
        <f t="shared" ca="1" si="60"/>
        <v>#REF!</v>
      </c>
      <c r="CB34" s="166" t="e">
        <f t="shared" ca="1" si="61"/>
        <v>#REF!</v>
      </c>
      <c r="CC34" s="165" t="e">
        <f t="shared" ca="1" si="62"/>
        <v>#REF!</v>
      </c>
      <c r="CD34" s="167" t="e">
        <f t="shared" ca="1" si="63"/>
        <v>#REF!</v>
      </c>
      <c r="CE34" s="166" t="e">
        <f t="shared" ca="1" si="64"/>
        <v>#REF!</v>
      </c>
      <c r="CF34" s="165" t="e">
        <f t="shared" ca="1" si="65"/>
        <v>#REF!</v>
      </c>
      <c r="CG34" s="167" t="e">
        <f t="shared" ca="1" si="66"/>
        <v>#REF!</v>
      </c>
      <c r="CH34" s="165" t="e">
        <f t="shared" ca="1" si="67"/>
        <v>#REF!</v>
      </c>
      <c r="CI34" s="165" t="e">
        <f t="shared" ca="1" si="68"/>
        <v>#REF!</v>
      </c>
      <c r="CJ34" s="165" t="e">
        <f t="shared" ca="1" si="69"/>
        <v>#REF!</v>
      </c>
      <c r="CK34" s="168" t="e">
        <f t="shared" ca="1" si="36"/>
        <v>#REF!</v>
      </c>
      <c r="CL34" s="169" t="e">
        <f t="shared" ca="1" si="37"/>
        <v>#REF!</v>
      </c>
      <c r="CM34" s="170" t="e">
        <f t="shared" ca="1" si="38"/>
        <v>#REF!</v>
      </c>
      <c r="CN34" s="170" t="e">
        <f t="shared" ca="1" si="39"/>
        <v>#REF!</v>
      </c>
    </row>
    <row r="35" spans="2:92" ht="17.100000000000001" customHeight="1" thickBot="1">
      <c r="B35" s="595" t="s">
        <v>24</v>
      </c>
      <c r="C35" s="596"/>
      <c r="D35" s="25"/>
      <c r="E35" s="590" t="e">
        <f t="shared" ca="1" si="12"/>
        <v>#REF!</v>
      </c>
      <c r="F35" s="591"/>
      <c r="G35" s="591" t="e">
        <f t="shared" ca="1" si="13"/>
        <v>#REF!</v>
      </c>
      <c r="H35" s="592"/>
      <c r="I35" s="593" t="e">
        <f t="shared" ca="1" si="14"/>
        <v>#REF!</v>
      </c>
      <c r="J35" s="594"/>
      <c r="K35" s="235"/>
      <c r="L35" s="235"/>
      <c r="M35" s="235"/>
      <c r="N35" s="590" t="e">
        <f t="shared" ca="1" si="15"/>
        <v>#REF!</v>
      </c>
      <c r="O35" s="591"/>
      <c r="P35" s="591" t="e">
        <f t="shared" ca="1" si="16"/>
        <v>#REF!</v>
      </c>
      <c r="Q35" s="592"/>
      <c r="R35" s="593" t="e">
        <f t="shared" ca="1" si="17"/>
        <v>#REF!</v>
      </c>
      <c r="S35" s="594"/>
      <c r="T35" s="235"/>
      <c r="U35" s="235"/>
      <c r="V35" s="235"/>
      <c r="W35" s="590" t="e">
        <f ca="1">AP107</f>
        <v>#REF!</v>
      </c>
      <c r="X35" s="591"/>
      <c r="Y35" s="591" t="e">
        <f ca="1">BB107</f>
        <v>#REF!</v>
      </c>
      <c r="Z35" s="592"/>
      <c r="AA35" s="593" t="e">
        <f t="shared" ca="1" si="20"/>
        <v>#REF!</v>
      </c>
      <c r="AB35" s="594"/>
      <c r="AC35" s="573"/>
      <c r="AD35" s="62" t="s">
        <v>46</v>
      </c>
      <c r="AE35" s="148"/>
      <c r="AF35" s="160" t="e">
        <f t="shared" ca="1" si="21"/>
        <v>#REF!</v>
      </c>
      <c r="AG35" s="161" t="e">
        <f t="shared" ca="1" si="70"/>
        <v>#REF!</v>
      </c>
      <c r="AH35" s="161" t="e">
        <f t="shared" ca="1" si="70"/>
        <v>#REF!</v>
      </c>
      <c r="AI35" s="161" t="e">
        <f t="shared" ca="1" si="70"/>
        <v>#REF!</v>
      </c>
      <c r="AJ35" s="161" t="e">
        <f t="shared" ca="1" si="70"/>
        <v>#REF!</v>
      </c>
      <c r="AK35" s="161" t="e">
        <f t="shared" ca="1" si="70"/>
        <v>#REF!</v>
      </c>
      <c r="AL35" s="161" t="e">
        <f t="shared" ca="1" si="70"/>
        <v>#REF!</v>
      </c>
      <c r="AM35" s="161" t="e">
        <f t="shared" ca="1" si="70"/>
        <v>#REF!</v>
      </c>
      <c r="AN35" s="161" t="e">
        <f t="shared" ca="1" si="70"/>
        <v>#REF!</v>
      </c>
      <c r="AO35" s="162" t="e">
        <f t="shared" ca="1" si="70"/>
        <v>#REF!</v>
      </c>
      <c r="AP35" s="163" t="e">
        <f t="shared" ca="1" si="23"/>
        <v>#REF!</v>
      </c>
      <c r="AQ35" s="148"/>
      <c r="AR35" s="160" t="e">
        <f t="shared" ca="1" si="24"/>
        <v>#REF!</v>
      </c>
      <c r="AS35" s="161" t="e">
        <f t="shared" ca="1" si="25"/>
        <v>#REF!</v>
      </c>
      <c r="AT35" s="161" t="e">
        <f t="shared" ca="1" si="26"/>
        <v>#REF!</v>
      </c>
      <c r="AU35" s="161" t="e">
        <f t="shared" ca="1" si="27"/>
        <v>#REF!</v>
      </c>
      <c r="AV35" s="161" t="e">
        <f t="shared" ca="1" si="28"/>
        <v>#REF!</v>
      </c>
      <c r="AW35" s="161" t="e">
        <f t="shared" ca="1" si="29"/>
        <v>#REF!</v>
      </c>
      <c r="AX35" s="161" t="e">
        <f t="shared" ca="1" si="30"/>
        <v>#REF!</v>
      </c>
      <c r="AY35" s="161" t="e">
        <f t="shared" ca="1" si="31"/>
        <v>#REF!</v>
      </c>
      <c r="AZ35" s="161" t="e">
        <f t="shared" ca="1" si="32"/>
        <v>#REF!</v>
      </c>
      <c r="BA35" s="162" t="e">
        <f t="shared" ca="1" si="33"/>
        <v>#REF!</v>
      </c>
      <c r="BB35" s="163" t="e">
        <f t="shared" ca="1" si="34"/>
        <v>#REF!</v>
      </c>
      <c r="BC35" s="148"/>
      <c r="BD35" s="163" t="e">
        <f t="shared" ca="1" si="35"/>
        <v>#REF!</v>
      </c>
      <c r="BG35" s="164" t="e">
        <f t="shared" ca="1" si="40"/>
        <v>#REF!</v>
      </c>
      <c r="BH35" s="165" t="e">
        <f t="shared" ca="1" si="41"/>
        <v>#REF!</v>
      </c>
      <c r="BI35" s="165" t="e">
        <f t="shared" ca="1" si="42"/>
        <v>#REF!</v>
      </c>
      <c r="BJ35" s="166" t="e">
        <f t="shared" ca="1" si="43"/>
        <v>#REF!</v>
      </c>
      <c r="BK35" s="165" t="e">
        <f t="shared" ca="1" si="44"/>
        <v>#REF!</v>
      </c>
      <c r="BL35" s="167" t="e">
        <f t="shared" ca="1" si="45"/>
        <v>#REF!</v>
      </c>
      <c r="BM35" s="166" t="e">
        <f t="shared" ca="1" si="46"/>
        <v>#REF!</v>
      </c>
      <c r="BN35" s="165" t="e">
        <f t="shared" ca="1" si="47"/>
        <v>#REF!</v>
      </c>
      <c r="BO35" s="167" t="e">
        <f t="shared" ca="1" si="48"/>
        <v>#REF!</v>
      </c>
      <c r="BP35" s="166" t="e">
        <f t="shared" ca="1" si="49"/>
        <v>#REF!</v>
      </c>
      <c r="BQ35" s="165" t="e">
        <f t="shared" ca="1" si="50"/>
        <v>#REF!</v>
      </c>
      <c r="BR35" s="167" t="e">
        <f t="shared" ca="1" si="51"/>
        <v>#REF!</v>
      </c>
      <c r="BS35" s="166" t="e">
        <f t="shared" ca="1" si="52"/>
        <v>#REF!</v>
      </c>
      <c r="BT35" s="165" t="e">
        <f t="shared" ca="1" si="53"/>
        <v>#REF!</v>
      </c>
      <c r="BU35" s="167" t="e">
        <f t="shared" ca="1" si="54"/>
        <v>#REF!</v>
      </c>
      <c r="BV35" s="166" t="e">
        <f t="shared" ca="1" si="55"/>
        <v>#REF!</v>
      </c>
      <c r="BW35" s="165" t="e">
        <f t="shared" ca="1" si="56"/>
        <v>#REF!</v>
      </c>
      <c r="BX35" s="167" t="e">
        <f t="shared" ca="1" si="57"/>
        <v>#REF!</v>
      </c>
      <c r="BY35" s="166" t="e">
        <f t="shared" ca="1" si="58"/>
        <v>#REF!</v>
      </c>
      <c r="BZ35" s="165" t="e">
        <f t="shared" ca="1" si="59"/>
        <v>#REF!</v>
      </c>
      <c r="CA35" s="167" t="e">
        <f t="shared" ca="1" si="60"/>
        <v>#REF!</v>
      </c>
      <c r="CB35" s="166" t="e">
        <f t="shared" ca="1" si="61"/>
        <v>#REF!</v>
      </c>
      <c r="CC35" s="165" t="e">
        <f t="shared" ca="1" si="62"/>
        <v>#REF!</v>
      </c>
      <c r="CD35" s="167" t="e">
        <f t="shared" ca="1" si="63"/>
        <v>#REF!</v>
      </c>
      <c r="CE35" s="166" t="e">
        <f t="shared" ca="1" si="64"/>
        <v>#REF!</v>
      </c>
      <c r="CF35" s="165" t="e">
        <f t="shared" ca="1" si="65"/>
        <v>#REF!</v>
      </c>
      <c r="CG35" s="167" t="e">
        <f t="shared" ca="1" si="66"/>
        <v>#REF!</v>
      </c>
      <c r="CH35" s="165" t="e">
        <f t="shared" ca="1" si="67"/>
        <v>#REF!</v>
      </c>
      <c r="CI35" s="165" t="e">
        <f t="shared" ca="1" si="68"/>
        <v>#REF!</v>
      </c>
      <c r="CJ35" s="165" t="e">
        <f t="shared" ca="1" si="69"/>
        <v>#REF!</v>
      </c>
      <c r="CK35" s="168" t="e">
        <f t="shared" ca="1" si="36"/>
        <v>#REF!</v>
      </c>
      <c r="CL35" s="169" t="e">
        <f t="shared" ca="1" si="37"/>
        <v>#REF!</v>
      </c>
      <c r="CM35" s="170" t="e">
        <f t="shared" ca="1" si="38"/>
        <v>#REF!</v>
      </c>
      <c r="CN35" s="170" t="e">
        <f t="shared" ca="1" si="39"/>
        <v>#REF!</v>
      </c>
    </row>
    <row r="36" spans="2:92" ht="17.100000000000001" customHeight="1" thickBot="1">
      <c r="B36" s="586" t="s">
        <v>47</v>
      </c>
      <c r="C36" s="587"/>
      <c r="D36" s="223"/>
      <c r="E36" s="581" t="e">
        <f ca="1">AP37</f>
        <v>#REF!</v>
      </c>
      <c r="F36" s="582"/>
      <c r="G36" s="583" t="e">
        <f ca="1">BB37</f>
        <v>#REF!</v>
      </c>
      <c r="H36" s="584"/>
      <c r="I36" s="581" t="e">
        <f t="shared" ca="1" si="14"/>
        <v>#REF!</v>
      </c>
      <c r="J36" s="584"/>
      <c r="K36" s="223"/>
      <c r="L36" s="223"/>
      <c r="M36" s="223"/>
      <c r="N36" s="581" t="e">
        <f ca="1">AP72</f>
        <v>#REF!</v>
      </c>
      <c r="O36" s="582"/>
      <c r="P36" s="583" t="e">
        <f ca="1">BB72</f>
        <v>#REF!</v>
      </c>
      <c r="Q36" s="584"/>
      <c r="R36" s="581" t="e">
        <f t="shared" ca="1" si="17"/>
        <v>#REF!</v>
      </c>
      <c r="S36" s="584"/>
      <c r="T36" s="223"/>
      <c r="U36" s="223"/>
      <c r="V36" s="223"/>
      <c r="W36" s="581" t="e">
        <f ca="1">AP108</f>
        <v>#REF!</v>
      </c>
      <c r="X36" s="582"/>
      <c r="Y36" s="583" t="e">
        <f ca="1">BB108</f>
        <v>#REF!</v>
      </c>
      <c r="Z36" s="584"/>
      <c r="AA36" s="581" t="e">
        <f t="shared" ca="1" si="20"/>
        <v>#REF!</v>
      </c>
      <c r="AB36" s="584"/>
      <c r="AC36" s="573"/>
      <c r="AD36" s="171" t="s">
        <v>24</v>
      </c>
      <c r="AE36" s="148"/>
      <c r="AF36" s="460" t="e">
        <f t="shared" ca="1" si="21"/>
        <v>#REF!</v>
      </c>
      <c r="AG36" s="461" t="e">
        <f t="shared" ca="1" si="70"/>
        <v>#REF!</v>
      </c>
      <c r="AH36" s="461" t="e">
        <f t="shared" ca="1" si="70"/>
        <v>#REF!</v>
      </c>
      <c r="AI36" s="461" t="e">
        <f t="shared" ca="1" si="70"/>
        <v>#REF!</v>
      </c>
      <c r="AJ36" s="461" t="e">
        <f t="shared" ca="1" si="70"/>
        <v>#REF!</v>
      </c>
      <c r="AK36" s="461" t="e">
        <f t="shared" ca="1" si="70"/>
        <v>#REF!</v>
      </c>
      <c r="AL36" s="461" t="e">
        <f t="shared" ca="1" si="70"/>
        <v>#REF!</v>
      </c>
      <c r="AM36" s="461" t="e">
        <f t="shared" ca="1" si="70"/>
        <v>#REF!</v>
      </c>
      <c r="AN36" s="461" t="e">
        <f t="shared" ca="1" si="70"/>
        <v>#REF!</v>
      </c>
      <c r="AO36" s="462" t="e">
        <f t="shared" ca="1" si="70"/>
        <v>#REF!</v>
      </c>
      <c r="AP36" s="175" t="e">
        <f t="shared" ca="1" si="23"/>
        <v>#REF!</v>
      </c>
      <c r="AQ36" s="148"/>
      <c r="AR36" s="172" t="e">
        <f t="shared" ca="1" si="24"/>
        <v>#REF!</v>
      </c>
      <c r="AS36" s="173" t="e">
        <f t="shared" ca="1" si="25"/>
        <v>#REF!</v>
      </c>
      <c r="AT36" s="173" t="e">
        <f t="shared" ca="1" si="26"/>
        <v>#REF!</v>
      </c>
      <c r="AU36" s="173" t="e">
        <f t="shared" ca="1" si="27"/>
        <v>#REF!</v>
      </c>
      <c r="AV36" s="173" t="e">
        <f t="shared" ca="1" si="28"/>
        <v>#REF!</v>
      </c>
      <c r="AW36" s="173" t="e">
        <f t="shared" ca="1" si="29"/>
        <v>#REF!</v>
      </c>
      <c r="AX36" s="173" t="e">
        <f t="shared" ca="1" si="30"/>
        <v>#REF!</v>
      </c>
      <c r="AY36" s="173" t="e">
        <f t="shared" ca="1" si="31"/>
        <v>#REF!</v>
      </c>
      <c r="AZ36" s="173" t="e">
        <f t="shared" ca="1" si="32"/>
        <v>#REF!</v>
      </c>
      <c r="BA36" s="174" t="e">
        <f t="shared" ca="1" si="33"/>
        <v>#REF!</v>
      </c>
      <c r="BB36" s="175" t="e">
        <f t="shared" ca="1" si="34"/>
        <v>#REF!</v>
      </c>
      <c r="BC36" s="148"/>
      <c r="BD36" s="175" t="e">
        <f t="shared" ca="1" si="35"/>
        <v>#REF!</v>
      </c>
      <c r="BG36" s="176" t="e">
        <f t="shared" ca="1" si="40"/>
        <v>#REF!</v>
      </c>
      <c r="BH36" s="177" t="e">
        <f t="shared" ca="1" si="41"/>
        <v>#REF!</v>
      </c>
      <c r="BI36" s="177" t="e">
        <f t="shared" ca="1" si="42"/>
        <v>#REF!</v>
      </c>
      <c r="BJ36" s="178" t="e">
        <f t="shared" ca="1" si="43"/>
        <v>#REF!</v>
      </c>
      <c r="BK36" s="177" t="e">
        <f t="shared" ca="1" si="44"/>
        <v>#REF!</v>
      </c>
      <c r="BL36" s="179" t="e">
        <f t="shared" ca="1" si="45"/>
        <v>#REF!</v>
      </c>
      <c r="BM36" s="178" t="e">
        <f t="shared" ca="1" si="46"/>
        <v>#REF!</v>
      </c>
      <c r="BN36" s="177" t="e">
        <f t="shared" ca="1" si="47"/>
        <v>#REF!</v>
      </c>
      <c r="BO36" s="179" t="e">
        <f t="shared" ca="1" si="48"/>
        <v>#REF!</v>
      </c>
      <c r="BP36" s="178" t="e">
        <f t="shared" ca="1" si="49"/>
        <v>#REF!</v>
      </c>
      <c r="BQ36" s="177" t="e">
        <f t="shared" ca="1" si="50"/>
        <v>#REF!</v>
      </c>
      <c r="BR36" s="179" t="e">
        <f t="shared" ca="1" si="51"/>
        <v>#REF!</v>
      </c>
      <c r="BS36" s="178" t="e">
        <f t="shared" ca="1" si="52"/>
        <v>#REF!</v>
      </c>
      <c r="BT36" s="177" t="e">
        <f t="shared" ca="1" si="53"/>
        <v>#REF!</v>
      </c>
      <c r="BU36" s="179" t="e">
        <f t="shared" ca="1" si="54"/>
        <v>#REF!</v>
      </c>
      <c r="BV36" s="178" t="e">
        <f t="shared" ca="1" si="55"/>
        <v>#REF!</v>
      </c>
      <c r="BW36" s="177" t="e">
        <f t="shared" ca="1" si="56"/>
        <v>#REF!</v>
      </c>
      <c r="BX36" s="179" t="e">
        <f t="shared" ca="1" si="57"/>
        <v>#REF!</v>
      </c>
      <c r="BY36" s="178" t="e">
        <f t="shared" ca="1" si="58"/>
        <v>#REF!</v>
      </c>
      <c r="BZ36" s="177" t="e">
        <f t="shared" ca="1" si="59"/>
        <v>#REF!</v>
      </c>
      <c r="CA36" s="179" t="e">
        <f t="shared" ca="1" si="60"/>
        <v>#REF!</v>
      </c>
      <c r="CB36" s="178" t="e">
        <f t="shared" ca="1" si="61"/>
        <v>#REF!</v>
      </c>
      <c r="CC36" s="177" t="e">
        <f t="shared" ca="1" si="62"/>
        <v>#REF!</v>
      </c>
      <c r="CD36" s="179" t="e">
        <f t="shared" ca="1" si="63"/>
        <v>#REF!</v>
      </c>
      <c r="CE36" s="178" t="e">
        <f t="shared" ca="1" si="64"/>
        <v>#REF!</v>
      </c>
      <c r="CF36" s="177" t="e">
        <f t="shared" ca="1" si="65"/>
        <v>#REF!</v>
      </c>
      <c r="CG36" s="179" t="e">
        <f t="shared" ca="1" si="66"/>
        <v>#REF!</v>
      </c>
      <c r="CH36" s="177" t="e">
        <f t="shared" ca="1" si="67"/>
        <v>#REF!</v>
      </c>
      <c r="CI36" s="177" t="e">
        <f t="shared" ca="1" si="68"/>
        <v>#REF!</v>
      </c>
      <c r="CJ36" s="177" t="e">
        <f t="shared" ca="1" si="69"/>
        <v>#REF!</v>
      </c>
      <c r="CK36" s="180" t="e">
        <f t="shared" ca="1" si="36"/>
        <v>#REF!</v>
      </c>
      <c r="CL36" s="181" t="e">
        <f t="shared" ca="1" si="37"/>
        <v>#REF!</v>
      </c>
      <c r="CM36" s="182" t="e">
        <f t="shared" ca="1" si="38"/>
        <v>#REF!</v>
      </c>
      <c r="CN36" s="182" t="e">
        <f t="shared" ca="1" si="39"/>
        <v>#REF!</v>
      </c>
    </row>
    <row r="37" spans="2:92" ht="17.100000000000001" customHeight="1" thickBot="1">
      <c r="B37" s="221"/>
      <c r="C37" s="221"/>
      <c r="D37" s="223"/>
      <c r="E37" s="221"/>
      <c r="F37" s="221"/>
      <c r="G37" s="221"/>
      <c r="H37" s="221"/>
      <c r="I37" s="221"/>
      <c r="J37" s="221"/>
      <c r="K37" s="223"/>
      <c r="L37" s="223"/>
      <c r="M37" s="223"/>
      <c r="N37" s="221"/>
      <c r="O37" s="221"/>
      <c r="P37" s="221"/>
      <c r="Q37" s="221"/>
      <c r="R37" s="221"/>
      <c r="S37" s="221"/>
      <c r="T37" s="223"/>
      <c r="U37" s="223"/>
      <c r="V37" s="223"/>
      <c r="W37" s="221"/>
      <c r="X37" s="221"/>
      <c r="Y37" s="221"/>
      <c r="Z37" s="221"/>
      <c r="AA37" s="221"/>
      <c r="AB37" s="221"/>
      <c r="AC37" s="573"/>
      <c r="AD37" s="183" t="s">
        <v>47</v>
      </c>
      <c r="AE37" s="184"/>
      <c r="AF37" s="463" t="e">
        <f ca="1">SUM(AF13:AF36)</f>
        <v>#REF!</v>
      </c>
      <c r="AG37" s="464" t="e">
        <f t="shared" ref="AG37:AO37" ca="1" si="71">SUM(AG13:AG36)</f>
        <v>#REF!</v>
      </c>
      <c r="AH37" s="464" t="e">
        <f t="shared" ca="1" si="71"/>
        <v>#REF!</v>
      </c>
      <c r="AI37" s="464" t="e">
        <f t="shared" ca="1" si="71"/>
        <v>#REF!</v>
      </c>
      <c r="AJ37" s="464" t="e">
        <f t="shared" ca="1" si="71"/>
        <v>#REF!</v>
      </c>
      <c r="AK37" s="464" t="e">
        <f t="shared" ca="1" si="71"/>
        <v>#REF!</v>
      </c>
      <c r="AL37" s="464" t="e">
        <f t="shared" ca="1" si="71"/>
        <v>#REF!</v>
      </c>
      <c r="AM37" s="464" t="e">
        <f t="shared" ca="1" si="71"/>
        <v>#REF!</v>
      </c>
      <c r="AN37" s="464" t="e">
        <f t="shared" ca="1" si="71"/>
        <v>#REF!</v>
      </c>
      <c r="AO37" s="465" t="e">
        <f t="shared" ca="1" si="71"/>
        <v>#REF!</v>
      </c>
      <c r="AP37" s="186" t="e">
        <f ca="1">SUM(AF37:AO37)</f>
        <v>#REF!</v>
      </c>
      <c r="AQ37" s="184"/>
      <c r="AR37" s="185" t="e">
        <f t="shared" ref="AR37:BA37" ca="1" si="72">SUM(AR13:AR36)</f>
        <v>#REF!</v>
      </c>
      <c r="AS37" s="185" t="e">
        <f t="shared" ca="1" si="72"/>
        <v>#REF!</v>
      </c>
      <c r="AT37" s="185" t="e">
        <f t="shared" ca="1" si="72"/>
        <v>#REF!</v>
      </c>
      <c r="AU37" s="185" t="e">
        <f t="shared" ca="1" si="72"/>
        <v>#REF!</v>
      </c>
      <c r="AV37" s="185" t="e">
        <f t="shared" ca="1" si="72"/>
        <v>#REF!</v>
      </c>
      <c r="AW37" s="185" t="e">
        <f t="shared" ca="1" si="72"/>
        <v>#REF!</v>
      </c>
      <c r="AX37" s="185" t="e">
        <f t="shared" ca="1" si="72"/>
        <v>#REF!</v>
      </c>
      <c r="AY37" s="185" t="e">
        <f t="shared" ca="1" si="72"/>
        <v>#REF!</v>
      </c>
      <c r="AZ37" s="185" t="e">
        <f t="shared" ca="1" si="72"/>
        <v>#REF!</v>
      </c>
      <c r="BA37" s="185" t="e">
        <f t="shared" ca="1" si="72"/>
        <v>#REF!</v>
      </c>
      <c r="BB37" s="185" t="e">
        <f ca="1">SUM(AR37:BA37)</f>
        <v>#REF!</v>
      </c>
      <c r="BC37" s="184"/>
      <c r="BD37" s="187" t="e">
        <f t="shared" ca="1" si="35"/>
        <v>#REF!</v>
      </c>
      <c r="BF37" s="188" t="s">
        <v>48</v>
      </c>
      <c r="BG37" s="189" t="e">
        <f ca="1">IF(BG$8&lt;&gt;"",INDIRECT(ADDRESS(ROW()+$AF$6,77,,,BG$8)),"")</f>
        <v>#REF!</v>
      </c>
      <c r="BH37" s="190" t="e">
        <f ca="1">IF(BG$8&lt;&gt;"",INDIRECT(ADDRESS(ROW()+$AF$6,78,,,BG$8)),"")</f>
        <v>#REF!</v>
      </c>
      <c r="BI37" s="190" t="e">
        <f ca="1">IF(BG$8&lt;&gt;"",INDIRECT(ADDRESS(ROW()+$AF$6,79,,,BG$8)),"")</f>
        <v>#REF!</v>
      </c>
      <c r="BJ37" s="191" t="e">
        <f ca="1">IF(BJ$8&lt;&gt;"",INDIRECT(ADDRESS(ROW()+$AF$6,77,,,BJ$8)),"")</f>
        <v>#REF!</v>
      </c>
      <c r="BK37" s="190" t="e">
        <f ca="1">IF(BJ$8&lt;&gt;"",INDIRECT(ADDRESS(ROW()+$AF$6,78,,,BJ$8)),"")</f>
        <v>#REF!</v>
      </c>
      <c r="BL37" s="192" t="e">
        <f ca="1">IF(BJ$8&lt;&gt;"",INDIRECT(ADDRESS(ROW()+$AF$6,79,,,BJ$8)),"")</f>
        <v>#REF!</v>
      </c>
      <c r="BM37" s="191" t="e">
        <f ca="1">IF(BM$8&lt;&gt;"",INDIRECT(ADDRESS(ROW()+$AF$6,77,,,BM$8)),"")</f>
        <v>#REF!</v>
      </c>
      <c r="BN37" s="190" t="e">
        <f ca="1">IF(BM$8&lt;&gt;"",INDIRECT(ADDRESS(ROW()+$AF$6,78,,,BM$8)),"")</f>
        <v>#REF!</v>
      </c>
      <c r="BO37" s="192" t="e">
        <f ca="1">IF(BM$8&lt;&gt;"",INDIRECT(ADDRESS(ROW()+$AF$6,79,,,BM$8)),"")</f>
        <v>#REF!</v>
      </c>
      <c r="BP37" s="191" t="e">
        <f ca="1">IF(BP$8&lt;&gt;"",INDIRECT(ADDRESS(ROW()+$AF$6,77,,,BP$8)),"")</f>
        <v>#REF!</v>
      </c>
      <c r="BQ37" s="190" t="e">
        <f ca="1">IF(BP$8&lt;&gt;"",INDIRECT(ADDRESS(ROW()+$AF$6,78,,,BP$8)),"")</f>
        <v>#REF!</v>
      </c>
      <c r="BR37" s="192" t="e">
        <f ca="1">IF(BP$8&lt;&gt;"",INDIRECT(ADDRESS(ROW()+$AF$6,79,,,BP$8)),"")</f>
        <v>#REF!</v>
      </c>
      <c r="BS37" s="191" t="e">
        <f ca="1">IF(BS$8&lt;&gt;"",INDIRECT(ADDRESS(ROW()+$AF$6,77,,,BS$8)),"")</f>
        <v>#REF!</v>
      </c>
      <c r="BT37" s="190" t="e">
        <f ca="1">IF(BS$8&lt;&gt;"",INDIRECT(ADDRESS(ROW()+$AF$6,78,,,BS$8)),"")</f>
        <v>#REF!</v>
      </c>
      <c r="BU37" s="192" t="e">
        <f ca="1">IF(BS$8&lt;&gt;"",INDIRECT(ADDRESS(ROW()+$AF$6,79,,,BS$8)),"")</f>
        <v>#REF!</v>
      </c>
      <c r="BV37" s="191" t="e">
        <f ca="1">IF(BV$8&lt;&gt;"",INDIRECT(ADDRESS(ROW()+$AF$6,77,,,BV$8)),"")</f>
        <v>#REF!</v>
      </c>
      <c r="BW37" s="190" t="e">
        <f ca="1">IF(BV$8&lt;&gt;"",INDIRECT(ADDRESS(ROW()+$AF$6,78,,,BV$8)),"")</f>
        <v>#REF!</v>
      </c>
      <c r="BX37" s="192" t="e">
        <f ca="1">IF(BV$8&lt;&gt;"",INDIRECT(ADDRESS(ROW()+$AF$6,79,,,BV$8)),"")</f>
        <v>#REF!</v>
      </c>
      <c r="BY37" s="191" t="e">
        <f ca="1">IF(BY$8&lt;&gt;"",INDIRECT(ADDRESS(ROW()+$AF$6,77,,,BY$8)),"")</f>
        <v>#REF!</v>
      </c>
      <c r="BZ37" s="190" t="e">
        <f ca="1">IF(BY$8&lt;&gt;"",INDIRECT(ADDRESS(ROW()+$AF$6,78,,,BY$8)),"")</f>
        <v>#REF!</v>
      </c>
      <c r="CA37" s="192" t="e">
        <f ca="1">IF(BY$8&lt;&gt;"",INDIRECT(ADDRESS(ROW()+$AF$6,79,,,BY$8)),"")</f>
        <v>#REF!</v>
      </c>
      <c r="CB37" s="191" t="e">
        <f ca="1">IF(CB$8&lt;&gt;"",INDIRECT(ADDRESS(ROW()+$AF$6,77,,,CB$8)),"")</f>
        <v>#REF!</v>
      </c>
      <c r="CC37" s="190" t="e">
        <f ca="1">IF(CB$8&lt;&gt;"",INDIRECT(ADDRESS(ROW()+$AF$6,78,,,CB$8)),"")</f>
        <v>#REF!</v>
      </c>
      <c r="CD37" s="192" t="e">
        <f ca="1">IF(CB$8&lt;&gt;"",INDIRECT(ADDRESS(ROW()+$AF$6,79,,,CB$8)),"")</f>
        <v>#REF!</v>
      </c>
      <c r="CE37" s="191" t="e">
        <f ca="1">IF(CE$8&lt;&gt;"",INDIRECT(ADDRESS(ROW()+$AF$6,77,,,CE$8)),"")</f>
        <v>#REF!</v>
      </c>
      <c r="CF37" s="190" t="e">
        <f ca="1">IF(CE$8&lt;&gt;"",INDIRECT(ADDRESS(ROW()+$AF$6,78,,,CE$8)),"")</f>
        <v>#REF!</v>
      </c>
      <c r="CG37" s="192" t="e">
        <f ca="1">IF(CE$8&lt;&gt;"",INDIRECT(ADDRESS(ROW()+$AF$6,79,,,CE$8)),"")</f>
        <v>#REF!</v>
      </c>
      <c r="CH37" s="190" t="e">
        <f ca="1">IF(CH$8&lt;&gt;"",INDIRECT(ADDRESS(ROW()+$AF$6,77,,,CH$8)),"")</f>
        <v>#REF!</v>
      </c>
      <c r="CI37" s="190" t="e">
        <f ca="1">IF(CH$8&lt;&gt;"",INDIRECT(ADDRESS(ROW()+$AF$6,78,,,CH$8)),"")</f>
        <v>#REF!</v>
      </c>
      <c r="CJ37" s="193" t="e">
        <f ca="1">IF(CH$8&lt;&gt;"",INDIRECT(ADDRESS(ROW()+$AF$6,79,,,CH$8)),"")</f>
        <v>#REF!</v>
      </c>
      <c r="CK37" s="194" t="e">
        <f t="shared" ca="1" si="36"/>
        <v>#REF!</v>
      </c>
      <c r="CL37" s="195" t="e">
        <f t="shared" ca="1" si="37"/>
        <v>#REF!</v>
      </c>
      <c r="CM37" s="196" t="e">
        <f t="shared" ca="1" si="38"/>
        <v>#REF!</v>
      </c>
      <c r="CN37" s="193" t="e">
        <f t="shared" ca="1" si="38"/>
        <v>#REF!</v>
      </c>
    </row>
    <row r="38" spans="2:92" ht="18.899999999999999" customHeight="1">
      <c r="B38" s="221"/>
      <c r="C38" s="222"/>
      <c r="D38" s="223"/>
      <c r="E38" s="223"/>
      <c r="F38" s="223"/>
      <c r="G38" s="223"/>
      <c r="H38" s="223"/>
      <c r="I38" s="223"/>
      <c r="J38" s="223"/>
      <c r="K38" s="223"/>
      <c r="L38" s="223"/>
      <c r="M38" s="223"/>
      <c r="N38" s="223"/>
      <c r="O38" s="222"/>
      <c r="P38" s="223"/>
      <c r="Q38" s="223"/>
      <c r="R38" s="223"/>
      <c r="S38" s="223"/>
      <c r="T38" s="223"/>
      <c r="U38" s="223"/>
      <c r="V38" s="223"/>
      <c r="W38" s="223"/>
      <c r="X38" s="223"/>
      <c r="Y38" s="223"/>
      <c r="Z38" s="223"/>
      <c r="AA38" s="605" t="s">
        <v>5</v>
      </c>
      <c r="AB38" s="605"/>
      <c r="AC38" s="93"/>
      <c r="AD38" s="90"/>
      <c r="AE38" s="91"/>
      <c r="AF38" s="92"/>
      <c r="AG38" s="92"/>
      <c r="AH38" s="92"/>
      <c r="AI38" s="92"/>
      <c r="AJ38" s="92"/>
      <c r="AK38" s="92"/>
      <c r="AL38" s="92"/>
      <c r="AM38" s="92"/>
      <c r="AN38" s="92"/>
      <c r="AO38" s="92"/>
      <c r="AP38" s="92"/>
      <c r="AQ38" s="91"/>
      <c r="AR38" s="92"/>
      <c r="AS38" s="92"/>
      <c r="AT38" s="92"/>
      <c r="AU38" s="92"/>
      <c r="AV38" s="92"/>
      <c r="AW38" s="92"/>
      <c r="AX38" s="92"/>
      <c r="AY38" s="92"/>
      <c r="AZ38" s="92"/>
      <c r="BA38" s="92"/>
      <c r="BB38" s="92"/>
      <c r="BC38" s="91"/>
      <c r="BD38" s="93"/>
    </row>
    <row r="39" spans="2:92" ht="30" customHeight="1">
      <c r="B39" s="576" t="s">
        <v>49</v>
      </c>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94"/>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F39" s="197" t="s">
        <v>50</v>
      </c>
      <c r="BG39" s="198" t="e">
        <f ca="1">IF(BG9="Kundenverkehr",0,IF(BG9="Besucherverkehr",1,""))</f>
        <v>#REF!</v>
      </c>
      <c r="BH39" s="198" t="e">
        <f ca="1">IF(BH9="Beschäftigtenverkehr",2,IF(BH9="Bewohnerverkehr",3,""))</f>
        <v>#REF!</v>
      </c>
      <c r="BI39" s="198"/>
      <c r="BJ39" s="198" t="e">
        <f ca="1">IF(BJ9="Kundenverkehr",0,IF(BJ9="Besucherverkehr",1,""))</f>
        <v>#REF!</v>
      </c>
      <c r="BK39" s="198" t="e">
        <f ca="1">IF(BK9="Beschäftigtenverkehr",2,IF(BK9="Bewohnerverkehr",3,""))</f>
        <v>#REF!</v>
      </c>
      <c r="BL39" s="198"/>
      <c r="BM39" s="198" t="e">
        <f ca="1">IF(BM9="Kundenverkehr",0,IF(BM9="Besucherverkehr",1,""))</f>
        <v>#REF!</v>
      </c>
      <c r="BN39" s="198" t="e">
        <f ca="1">IF(BN9="Beschäftigtenverkehr",2,IF(BN9="Bewohnerverkehr",3,""))</f>
        <v>#REF!</v>
      </c>
      <c r="BO39" s="198"/>
      <c r="BP39" s="198" t="e">
        <f ca="1">IF(BP9="Kundenverkehr",0,IF(BP9="Besucherverkehr",1,""))</f>
        <v>#REF!</v>
      </c>
      <c r="BQ39" s="198" t="e">
        <f ca="1">IF(BQ9="Beschäftigtenverkehr",2,IF(BQ9="Bewohnerverkehr",3,""))</f>
        <v>#REF!</v>
      </c>
      <c r="BR39" s="198"/>
      <c r="BS39" s="198" t="e">
        <f ca="1">IF(BS9="Kundenverkehr",0,IF(BS9="Besucherverkehr",1,""))</f>
        <v>#REF!</v>
      </c>
      <c r="BT39" s="198" t="e">
        <f ca="1">IF(BT9="Beschäftigtenverkehr",2,IF(BT9="Bewohnerverkehr",3,""))</f>
        <v>#REF!</v>
      </c>
      <c r="BU39" s="198"/>
      <c r="BV39" s="198" t="e">
        <f ca="1">IF(BV9="Kundenverkehr",0,IF(BV9="Besucherverkehr",1,""))</f>
        <v>#REF!</v>
      </c>
      <c r="BW39" s="198" t="e">
        <f ca="1">IF(BW9="Beschäftigtenverkehr",2,IF(BW9="Bewohnerverkehr",3,""))</f>
        <v>#REF!</v>
      </c>
      <c r="BX39" s="198"/>
      <c r="BY39" s="198" t="e">
        <f ca="1">IF(BY9="Kundenverkehr",0,IF(BY9="Besucherverkehr",1,""))</f>
        <v>#REF!</v>
      </c>
      <c r="BZ39" s="198" t="e">
        <f ca="1">IF(BZ9="Beschäftigtenverkehr",2,IF(BZ9="Bewohnerverkehr",3,""))</f>
        <v>#REF!</v>
      </c>
      <c r="CA39" s="198"/>
      <c r="CB39" s="198" t="e">
        <f ca="1">IF(CB9="Kundenverkehr",0,IF(CB9="Besucherverkehr",1,""))</f>
        <v>#REF!</v>
      </c>
      <c r="CC39" s="198" t="e">
        <f ca="1">IF(CC9="Beschäftigtenverkehr",2,IF(CC9="Bewohnerverkehr",3,""))</f>
        <v>#REF!</v>
      </c>
      <c r="CD39" s="198"/>
      <c r="CE39" s="198" t="e">
        <f ca="1">IF(CE9="Kundenverkehr",0,IF(CE9="Besucherverkehr",1,""))</f>
        <v>#REF!</v>
      </c>
      <c r="CF39" s="198" t="e">
        <f ca="1">IF(CF9="Beschäftigtenverkehr",2,IF(CF9="Bewohnerverkehr",3,""))</f>
        <v>#REF!</v>
      </c>
      <c r="CG39" s="198"/>
      <c r="CH39" s="198" t="e">
        <f ca="1">IF(CH9="Kundenverkehr",0,IF(CH9="Besucherverkehr",1,""))</f>
        <v>#REF!</v>
      </c>
      <c r="CI39" s="198" t="e">
        <f ca="1">IF(CI9="Beschäftigtenverkehr",2,IF(CI9="Bewohnerverkehr",3,""))</f>
        <v>#REF!</v>
      </c>
      <c r="CJ39" s="198"/>
      <c r="CK39" s="128">
        <f ca="1">IF(AND(COUNTIF(BG39:CJ39,"0")&gt;0,COUNTIF(BG39:CJ39,"1")&gt;0)=TRUE,1,IF(COUNTIF(BG39:CJ39,"0")&gt;0,2,IF(COUNTIF(BG39:CJ39,"1")&gt;0,3,0)))</f>
        <v>0</v>
      </c>
      <c r="CL39" s="128">
        <f ca="1">IF(AND(COUNTIF(BG39:CJ39,"2")&gt;0,COUNTIF(BG39:CJ39,"3")&gt;0)=TRUE,1,IF(COUNTIF(BG39:CJ39,"2")&gt;0,2,IF(COUNTIF(BG39:CJ39,"3")&gt;0,3,0)))</f>
        <v>0</v>
      </c>
    </row>
    <row r="40" spans="2:92" ht="18" customHeight="1">
      <c r="B40" s="585" t="s">
        <v>51</v>
      </c>
      <c r="C40" s="585"/>
      <c r="D40" s="225"/>
      <c r="E40" s="225"/>
      <c r="F40" s="225"/>
      <c r="G40" s="225"/>
      <c r="H40" s="225"/>
      <c r="I40" s="225"/>
      <c r="J40" s="225"/>
      <c r="K40" s="225"/>
      <c r="L40" s="225"/>
      <c r="M40" s="225"/>
      <c r="N40" s="226"/>
      <c r="O40" s="227"/>
      <c r="P40" s="225"/>
      <c r="Q40" s="225"/>
      <c r="R40" s="225"/>
      <c r="S40" s="225"/>
      <c r="T40" s="225"/>
      <c r="U40" s="225"/>
      <c r="V40" s="225"/>
      <c r="W40" s="225"/>
      <c r="X40" s="225"/>
      <c r="Y40" s="225"/>
      <c r="Z40" s="226"/>
      <c r="AA40" s="227"/>
      <c r="AB40" s="226"/>
      <c r="AC40" s="103"/>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row>
    <row r="41" spans="2:92" s="107" customFormat="1" ht="9.9" customHeight="1" thickBot="1">
      <c r="B41" s="585"/>
      <c r="C41" s="585"/>
      <c r="D41" s="230"/>
      <c r="E41" s="228"/>
      <c r="F41" s="228"/>
      <c r="G41" s="229"/>
      <c r="H41" s="229"/>
      <c r="I41" s="229"/>
      <c r="J41" s="229"/>
      <c r="K41" s="229"/>
      <c r="L41" s="229"/>
      <c r="M41" s="229"/>
      <c r="N41" s="229"/>
      <c r="O41" s="229"/>
      <c r="P41" s="228"/>
      <c r="Q41" s="228"/>
      <c r="R41" s="228"/>
      <c r="S41" s="229"/>
      <c r="T41" s="229"/>
      <c r="U41" s="229"/>
      <c r="V41" s="229"/>
      <c r="W41" s="229"/>
      <c r="X41" s="229"/>
      <c r="Y41" s="229"/>
      <c r="Z41" s="229"/>
      <c r="AA41" s="229"/>
      <c r="AB41" s="229"/>
      <c r="AC41" s="108"/>
      <c r="AE41" s="108"/>
      <c r="AF41" s="109">
        <f>23-ROW(AF48)</f>
        <v>-25</v>
      </c>
      <c r="AK41" s="108"/>
      <c r="AL41" s="108"/>
      <c r="AM41" s="108"/>
      <c r="AN41" s="108"/>
      <c r="AO41" s="108"/>
      <c r="AP41" s="108"/>
      <c r="AQ41" s="108"/>
      <c r="AU41" s="108"/>
      <c r="AV41" s="108"/>
      <c r="AW41" s="108"/>
      <c r="AX41" s="108"/>
      <c r="AY41" s="108"/>
      <c r="AZ41" s="108"/>
      <c r="BA41" s="108"/>
      <c r="BB41" s="108"/>
      <c r="BC41" s="108"/>
      <c r="BD41" s="108"/>
      <c r="BG41" s="111"/>
      <c r="BH41" s="111"/>
      <c r="BI41" s="111"/>
      <c r="CH41" s="108"/>
      <c r="CI41" s="108"/>
      <c r="CJ41" s="108"/>
      <c r="CK41" s="108"/>
      <c r="CL41" s="108"/>
      <c r="CM41" s="108"/>
      <c r="CN41" s="108"/>
    </row>
    <row r="42" spans="2:92" ht="18" customHeight="1" thickBot="1">
      <c r="B42" s="585"/>
      <c r="C42" s="585"/>
      <c r="D42" s="225"/>
      <c r="E42" s="225"/>
      <c r="F42" s="225"/>
      <c r="G42" s="225"/>
      <c r="H42" s="225"/>
      <c r="I42" s="225"/>
      <c r="J42" s="225"/>
      <c r="K42" s="225"/>
      <c r="L42" s="225"/>
      <c r="M42" s="225"/>
      <c r="N42" s="226"/>
      <c r="O42" s="227"/>
      <c r="P42" s="225"/>
      <c r="Q42" s="225"/>
      <c r="R42" s="225"/>
      <c r="S42" s="225"/>
      <c r="T42" s="225"/>
      <c r="U42" s="225"/>
      <c r="V42" s="225"/>
      <c r="W42" s="225"/>
      <c r="X42" s="225"/>
      <c r="Y42" s="225"/>
      <c r="Z42" s="226"/>
      <c r="AA42" s="227"/>
      <c r="AB42" s="226"/>
      <c r="AC42" s="573" t="str">
        <f ca="1">N9</f>
        <v>ohne Berücksichtigung von abmindernden Effekten im Kundenverkehr</v>
      </c>
      <c r="AD42" s="574" t="s">
        <v>11</v>
      </c>
      <c r="AE42" s="115"/>
      <c r="AF42" s="116" t="s">
        <v>12</v>
      </c>
      <c r="AG42" s="117"/>
      <c r="AH42" s="117"/>
      <c r="AI42" s="117"/>
      <c r="AJ42" s="117"/>
      <c r="AK42" s="117"/>
      <c r="AL42" s="117"/>
      <c r="AM42" s="117"/>
      <c r="AN42" s="117"/>
      <c r="AO42" s="117"/>
      <c r="AP42" s="118"/>
      <c r="AQ42" s="115"/>
      <c r="AR42" s="116" t="s">
        <v>13</v>
      </c>
      <c r="AS42" s="117"/>
      <c r="AT42" s="117"/>
      <c r="AU42" s="117"/>
      <c r="AV42" s="117"/>
      <c r="AW42" s="117"/>
      <c r="AX42" s="117"/>
      <c r="AY42" s="117"/>
      <c r="AZ42" s="117"/>
      <c r="BA42" s="117"/>
      <c r="BB42" s="118"/>
      <c r="BC42" s="115"/>
      <c r="BD42" s="569" t="s">
        <v>14</v>
      </c>
    </row>
    <row r="43" spans="2:92" ht="50.1" customHeight="1">
      <c r="B43" s="585"/>
      <c r="C43" s="585"/>
      <c r="D43" s="232"/>
      <c r="E43" s="588"/>
      <c r="F43" s="588"/>
      <c r="G43" s="588"/>
      <c r="H43" s="588"/>
      <c r="I43" s="588"/>
      <c r="J43" s="588"/>
      <c r="K43" s="224"/>
      <c r="L43" s="224"/>
      <c r="M43" s="224"/>
      <c r="N43" s="588"/>
      <c r="O43" s="588"/>
      <c r="P43" s="588"/>
      <c r="Q43" s="588"/>
      <c r="R43" s="588"/>
      <c r="S43" s="588"/>
      <c r="T43" s="224"/>
      <c r="U43" s="224"/>
      <c r="V43" s="224"/>
      <c r="W43" s="588"/>
      <c r="X43" s="588"/>
      <c r="Y43" s="588"/>
      <c r="Z43" s="588"/>
      <c r="AA43" s="588"/>
      <c r="AB43" s="588"/>
      <c r="AC43" s="573"/>
      <c r="AD43" s="575"/>
      <c r="AE43" s="115"/>
      <c r="AF43" s="124" t="s">
        <v>16</v>
      </c>
      <c r="AG43" s="125"/>
      <c r="AH43" s="125"/>
      <c r="AI43" s="125"/>
      <c r="AJ43" s="125"/>
      <c r="AK43" s="125"/>
      <c r="AL43" s="125"/>
      <c r="AM43" s="125"/>
      <c r="AN43" s="125"/>
      <c r="AO43" s="126"/>
      <c r="AP43" s="569" t="str">
        <f>AP8</f>
        <v>SUMME d. Nutzungen</v>
      </c>
      <c r="AQ43" s="115"/>
      <c r="AR43" s="124" t="s">
        <v>16</v>
      </c>
      <c r="AS43" s="125"/>
      <c r="AT43" s="125"/>
      <c r="AU43" s="125"/>
      <c r="AV43" s="125"/>
      <c r="AW43" s="125"/>
      <c r="AX43" s="125"/>
      <c r="AY43" s="125"/>
      <c r="AZ43" s="125"/>
      <c r="BA43" s="126"/>
      <c r="BB43" s="569" t="str">
        <f>BB8</f>
        <v>SUMME d. Nutzungen</v>
      </c>
      <c r="BC43" s="115"/>
      <c r="BD43" s="570"/>
    </row>
    <row r="44" spans="2:92" ht="18" customHeight="1">
      <c r="B44" s="585"/>
      <c r="C44" s="585"/>
      <c r="D44" s="232"/>
      <c r="E44" s="579"/>
      <c r="F44" s="579"/>
      <c r="G44" s="579"/>
      <c r="H44" s="579"/>
      <c r="I44" s="579"/>
      <c r="J44" s="579"/>
      <c r="K44" s="224"/>
      <c r="L44" s="224"/>
      <c r="M44" s="224"/>
      <c r="N44" s="579"/>
      <c r="O44" s="579"/>
      <c r="P44" s="579"/>
      <c r="Q44" s="579"/>
      <c r="R44" s="579"/>
      <c r="S44" s="579"/>
      <c r="T44" s="224"/>
      <c r="U44" s="224"/>
      <c r="V44" s="224"/>
      <c r="W44" s="579"/>
      <c r="X44" s="579"/>
      <c r="Y44" s="579"/>
      <c r="Z44" s="579"/>
      <c r="AA44" s="579"/>
      <c r="AB44" s="579"/>
      <c r="AC44" s="573"/>
      <c r="AD44" s="575"/>
      <c r="AE44" s="127"/>
      <c r="AF44" s="128" t="e">
        <f ca="1">IF(AF45&lt;&gt;"",COLUMN()-COLUMN($AE$44),"")</f>
        <v>#REF!</v>
      </c>
      <c r="AG44" s="128" t="e">
        <f t="shared" ref="AG44:AO44" ca="1" si="73">IF(AG45&lt;&gt;"",COLUMN()-COLUMN($AE$44),"")</f>
        <v>#REF!</v>
      </c>
      <c r="AH44" s="128" t="e">
        <f t="shared" ca="1" si="73"/>
        <v>#REF!</v>
      </c>
      <c r="AI44" s="128" t="e">
        <f t="shared" ca="1" si="73"/>
        <v>#REF!</v>
      </c>
      <c r="AJ44" s="128" t="e">
        <f t="shared" ca="1" si="73"/>
        <v>#REF!</v>
      </c>
      <c r="AK44" s="128" t="e">
        <f t="shared" ca="1" si="73"/>
        <v>#REF!</v>
      </c>
      <c r="AL44" s="128" t="e">
        <f t="shared" ca="1" si="73"/>
        <v>#REF!</v>
      </c>
      <c r="AM44" s="128" t="e">
        <f t="shared" ca="1" si="73"/>
        <v>#REF!</v>
      </c>
      <c r="AN44" s="128" t="e">
        <f t="shared" ca="1" si="73"/>
        <v>#REF!</v>
      </c>
      <c r="AO44" s="128" t="e">
        <f t="shared" ca="1" si="73"/>
        <v>#REF!</v>
      </c>
      <c r="AP44" s="570"/>
      <c r="AQ44" s="127"/>
      <c r="AR44" s="128" t="e">
        <f ca="1">AF44</f>
        <v>#REF!</v>
      </c>
      <c r="AS44" s="128" t="e">
        <f t="shared" ref="AS44:BA45" ca="1" si="74">AG44</f>
        <v>#REF!</v>
      </c>
      <c r="AT44" s="128" t="e">
        <f t="shared" ca="1" si="74"/>
        <v>#REF!</v>
      </c>
      <c r="AU44" s="128" t="e">
        <f t="shared" ca="1" si="74"/>
        <v>#REF!</v>
      </c>
      <c r="AV44" s="128" t="e">
        <f t="shared" ca="1" si="74"/>
        <v>#REF!</v>
      </c>
      <c r="AW44" s="128" t="e">
        <f t="shared" ca="1" si="74"/>
        <v>#REF!</v>
      </c>
      <c r="AX44" s="128" t="e">
        <f t="shared" ca="1" si="74"/>
        <v>#REF!</v>
      </c>
      <c r="AY44" s="128" t="e">
        <f t="shared" ca="1" si="74"/>
        <v>#REF!</v>
      </c>
      <c r="AZ44" s="128" t="e">
        <f t="shared" ca="1" si="74"/>
        <v>#REF!</v>
      </c>
      <c r="BA44" s="128" t="e">
        <f t="shared" ca="1" si="74"/>
        <v>#REF!</v>
      </c>
      <c r="BB44" s="570"/>
      <c r="BC44" s="127"/>
      <c r="BD44" s="570"/>
    </row>
    <row r="45" spans="2:92" ht="60" customHeight="1">
      <c r="B45" s="585"/>
      <c r="C45" s="585"/>
      <c r="D45" s="233"/>
      <c r="E45" s="580"/>
      <c r="F45" s="580"/>
      <c r="G45" s="580"/>
      <c r="H45" s="580"/>
      <c r="I45" s="580"/>
      <c r="J45" s="580"/>
      <c r="K45" s="233"/>
      <c r="L45" s="233"/>
      <c r="M45" s="233"/>
      <c r="N45" s="580"/>
      <c r="O45" s="580"/>
      <c r="P45" s="580"/>
      <c r="Q45" s="580"/>
      <c r="R45" s="580"/>
      <c r="S45" s="580"/>
      <c r="T45" s="233"/>
      <c r="U45" s="233"/>
      <c r="V45" s="233"/>
      <c r="W45" s="580"/>
      <c r="X45" s="580"/>
      <c r="Y45" s="580"/>
      <c r="Z45" s="580"/>
      <c r="AA45" s="580"/>
      <c r="AB45" s="580"/>
      <c r="AC45" s="573"/>
      <c r="AD45" s="575"/>
      <c r="AE45" s="127"/>
      <c r="AF45" s="129" t="e">
        <f t="shared" ref="AF45:AO45" ca="1" si="75">IF(INDIRECT(ADDRESS(32,13,,,AF1))&lt;&gt;0,AF1,"")</f>
        <v>#REF!</v>
      </c>
      <c r="AG45" s="129" t="e">
        <f t="shared" ca="1" si="75"/>
        <v>#REF!</v>
      </c>
      <c r="AH45" s="129" t="e">
        <f t="shared" ca="1" si="75"/>
        <v>#REF!</v>
      </c>
      <c r="AI45" s="129" t="e">
        <f t="shared" ca="1" si="75"/>
        <v>#REF!</v>
      </c>
      <c r="AJ45" s="129" t="e">
        <f t="shared" ca="1" si="75"/>
        <v>#REF!</v>
      </c>
      <c r="AK45" s="129" t="e">
        <f t="shared" ca="1" si="75"/>
        <v>#REF!</v>
      </c>
      <c r="AL45" s="129" t="e">
        <f t="shared" ca="1" si="75"/>
        <v>#REF!</v>
      </c>
      <c r="AM45" s="129" t="e">
        <f t="shared" ca="1" si="75"/>
        <v>#REF!</v>
      </c>
      <c r="AN45" s="129" t="e">
        <f t="shared" ca="1" si="75"/>
        <v>#REF!</v>
      </c>
      <c r="AO45" s="129" t="e">
        <f t="shared" ca="1" si="75"/>
        <v>#REF!</v>
      </c>
      <c r="AP45" s="570"/>
      <c r="AQ45" s="127"/>
      <c r="AR45" s="129" t="e">
        <f ca="1">AF45</f>
        <v>#REF!</v>
      </c>
      <c r="AS45" s="129" t="e">
        <f t="shared" ca="1" si="74"/>
        <v>#REF!</v>
      </c>
      <c r="AT45" s="129" t="e">
        <f t="shared" ca="1" si="74"/>
        <v>#REF!</v>
      </c>
      <c r="AU45" s="129" t="e">
        <f t="shared" ca="1" si="74"/>
        <v>#REF!</v>
      </c>
      <c r="AV45" s="129" t="e">
        <f t="shared" ca="1" si="74"/>
        <v>#REF!</v>
      </c>
      <c r="AW45" s="129" t="e">
        <f t="shared" ca="1" si="74"/>
        <v>#REF!</v>
      </c>
      <c r="AX45" s="129" t="e">
        <f t="shared" ca="1" si="74"/>
        <v>#REF!</v>
      </c>
      <c r="AY45" s="129" t="e">
        <f t="shared" ca="1" si="74"/>
        <v>#REF!</v>
      </c>
      <c r="AZ45" s="129" t="e">
        <f t="shared" ca="1" si="74"/>
        <v>#REF!</v>
      </c>
      <c r="BA45" s="129" t="e">
        <f t="shared" ca="1" si="74"/>
        <v>#REF!</v>
      </c>
      <c r="BB45" s="570"/>
      <c r="BC45" s="127"/>
      <c r="BD45" s="570"/>
    </row>
    <row r="46" spans="2:92" ht="3.9" customHeight="1" thickBot="1">
      <c r="B46" s="585"/>
      <c r="C46" s="585"/>
      <c r="D46" s="234"/>
      <c r="E46" s="589"/>
      <c r="F46" s="589"/>
      <c r="G46" s="589"/>
      <c r="H46" s="589"/>
      <c r="I46" s="589"/>
      <c r="J46" s="589"/>
      <c r="K46" s="234"/>
      <c r="L46" s="234"/>
      <c r="M46" s="234"/>
      <c r="N46" s="589"/>
      <c r="O46" s="589"/>
      <c r="P46" s="589"/>
      <c r="Q46" s="589"/>
      <c r="R46" s="589"/>
      <c r="S46" s="589"/>
      <c r="T46" s="233"/>
      <c r="U46" s="233"/>
      <c r="V46" s="233"/>
      <c r="W46" s="589"/>
      <c r="X46" s="589"/>
      <c r="Y46" s="589"/>
      <c r="Z46" s="589"/>
      <c r="AA46" s="589"/>
      <c r="AB46" s="589"/>
      <c r="AC46" s="573"/>
      <c r="AD46" s="133"/>
      <c r="AE46" s="127"/>
      <c r="AF46" s="134"/>
      <c r="AG46" s="132"/>
      <c r="AH46" s="132"/>
      <c r="AI46" s="132"/>
      <c r="AJ46" s="132"/>
      <c r="AK46" s="132"/>
      <c r="AL46" s="132"/>
      <c r="AM46" s="132"/>
      <c r="AN46" s="132"/>
      <c r="AO46" s="135"/>
      <c r="AP46" s="136"/>
      <c r="AQ46" s="127"/>
      <c r="AR46" s="134"/>
      <c r="AS46" s="132"/>
      <c r="AT46" s="132"/>
      <c r="AU46" s="132"/>
      <c r="AV46" s="132"/>
      <c r="AW46" s="132"/>
      <c r="AX46" s="132"/>
      <c r="AY46" s="132"/>
      <c r="AZ46" s="132"/>
      <c r="BA46" s="135"/>
      <c r="BB46" s="136"/>
      <c r="BC46" s="127"/>
      <c r="BD46" s="136"/>
    </row>
    <row r="47" spans="2:92" ht="17.100000000000001" customHeight="1">
      <c r="B47" s="585"/>
      <c r="C47" s="585"/>
      <c r="D47" s="25"/>
      <c r="E47" s="571"/>
      <c r="F47" s="571"/>
      <c r="G47" s="571"/>
      <c r="H47" s="571"/>
      <c r="I47" s="571"/>
      <c r="J47" s="571"/>
      <c r="K47" s="25"/>
      <c r="L47" s="25"/>
      <c r="M47" s="25"/>
      <c r="N47" s="571"/>
      <c r="O47" s="571"/>
      <c r="P47" s="571"/>
      <c r="Q47" s="571"/>
      <c r="R47" s="571"/>
      <c r="S47" s="571"/>
      <c r="T47" s="25"/>
      <c r="U47" s="25"/>
      <c r="V47" s="25"/>
      <c r="W47" s="571"/>
      <c r="X47" s="571"/>
      <c r="Y47" s="571"/>
      <c r="Z47" s="571"/>
      <c r="AA47" s="571"/>
      <c r="AB47" s="571"/>
      <c r="AC47" s="573"/>
      <c r="AD47" s="147" t="s">
        <v>24</v>
      </c>
      <c r="AE47" s="148"/>
      <c r="AF47" s="149" t="e">
        <f ca="1">AF71</f>
        <v>#REF!</v>
      </c>
      <c r="AG47" s="150" t="e">
        <f t="shared" ref="AG47:AO47" ca="1" si="76">AG71</f>
        <v>#REF!</v>
      </c>
      <c r="AH47" s="150" t="e">
        <f t="shared" ca="1" si="76"/>
        <v>#REF!</v>
      </c>
      <c r="AI47" s="150" t="e">
        <f t="shared" ca="1" si="76"/>
        <v>#REF!</v>
      </c>
      <c r="AJ47" s="150" t="e">
        <f t="shared" ca="1" si="76"/>
        <v>#REF!</v>
      </c>
      <c r="AK47" s="150" t="e">
        <f t="shared" ca="1" si="76"/>
        <v>#REF!</v>
      </c>
      <c r="AL47" s="150" t="e">
        <f t="shared" ca="1" si="76"/>
        <v>#REF!</v>
      </c>
      <c r="AM47" s="150" t="e">
        <f t="shared" ca="1" si="76"/>
        <v>#REF!</v>
      </c>
      <c r="AN47" s="150" t="e">
        <f t="shared" ca="1" si="76"/>
        <v>#REF!</v>
      </c>
      <c r="AO47" s="151" t="e">
        <f t="shared" ca="1" si="76"/>
        <v>#REF!</v>
      </c>
      <c r="AP47" s="152" t="e">
        <f t="shared" ref="AP47:AP72" ca="1" si="77">SUM(AF47:AO47)</f>
        <v>#REF!</v>
      </c>
      <c r="AQ47" s="148"/>
      <c r="AR47" s="149" t="e">
        <f t="shared" ref="AR47:BA47" ca="1" si="78">AR71</f>
        <v>#REF!</v>
      </c>
      <c r="AS47" s="150" t="e">
        <f t="shared" ca="1" si="78"/>
        <v>#REF!</v>
      </c>
      <c r="AT47" s="150" t="e">
        <f t="shared" ca="1" si="78"/>
        <v>#REF!</v>
      </c>
      <c r="AU47" s="150" t="e">
        <f t="shared" ca="1" si="78"/>
        <v>#REF!</v>
      </c>
      <c r="AV47" s="150" t="e">
        <f t="shared" ca="1" si="78"/>
        <v>#REF!</v>
      </c>
      <c r="AW47" s="150" t="e">
        <f t="shared" ca="1" si="78"/>
        <v>#REF!</v>
      </c>
      <c r="AX47" s="150" t="e">
        <f t="shared" ca="1" si="78"/>
        <v>#REF!</v>
      </c>
      <c r="AY47" s="150" t="e">
        <f t="shared" ca="1" si="78"/>
        <v>#REF!</v>
      </c>
      <c r="AZ47" s="150" t="e">
        <f t="shared" ca="1" si="78"/>
        <v>#REF!</v>
      </c>
      <c r="BA47" s="151" t="e">
        <f t="shared" ca="1" si="78"/>
        <v>#REF!</v>
      </c>
      <c r="BB47" s="152" t="e">
        <f t="shared" ref="BB47:BB72" ca="1" si="79">SUM(AR47:BA47)</f>
        <v>#REF!</v>
      </c>
      <c r="BC47" s="148"/>
      <c r="BD47" s="152" t="e">
        <f t="shared" ref="BD47:BD72" ca="1" si="80">AP47+BB47</f>
        <v>#REF!</v>
      </c>
    </row>
    <row r="48" spans="2:92" ht="17.100000000000001" customHeight="1">
      <c r="B48" s="585"/>
      <c r="C48" s="585"/>
      <c r="D48" s="25"/>
      <c r="E48" s="571"/>
      <c r="F48" s="571"/>
      <c r="G48" s="571"/>
      <c r="H48" s="571"/>
      <c r="I48" s="571"/>
      <c r="J48" s="571"/>
      <c r="K48" s="25"/>
      <c r="L48" s="25"/>
      <c r="M48" s="25"/>
      <c r="N48" s="571"/>
      <c r="O48" s="571"/>
      <c r="P48" s="571"/>
      <c r="Q48" s="571"/>
      <c r="R48" s="571"/>
      <c r="S48" s="571"/>
      <c r="T48" s="25"/>
      <c r="U48" s="25"/>
      <c r="V48" s="25"/>
      <c r="W48" s="571"/>
      <c r="X48" s="571"/>
      <c r="Y48" s="571"/>
      <c r="Z48" s="571"/>
      <c r="AA48" s="571"/>
      <c r="AB48" s="571"/>
      <c r="AC48" s="573"/>
      <c r="AD48" s="62" t="s">
        <v>23</v>
      </c>
      <c r="AE48" s="148"/>
      <c r="AF48" s="160" t="e">
        <f ca="1">IF(AF$45&lt;&gt;"",INDIRECT(ADDRESS(ROW()+$AF$41,60,,,AF$45)),"")</f>
        <v>#REF!</v>
      </c>
      <c r="AG48" s="161" t="e">
        <f t="shared" ref="AG48:AO61" ca="1" si="81">IF(AG$45&lt;&gt;"",INDIRECT(ADDRESS(ROW()+$AF$41,60,,,AG$45)),"")</f>
        <v>#REF!</v>
      </c>
      <c r="AH48" s="161" t="e">
        <f t="shared" ca="1" si="81"/>
        <v>#REF!</v>
      </c>
      <c r="AI48" s="161" t="e">
        <f t="shared" ca="1" si="81"/>
        <v>#REF!</v>
      </c>
      <c r="AJ48" s="161" t="e">
        <f t="shared" ca="1" si="81"/>
        <v>#REF!</v>
      </c>
      <c r="AK48" s="161" t="e">
        <f t="shared" ca="1" si="81"/>
        <v>#REF!</v>
      </c>
      <c r="AL48" s="161" t="e">
        <f t="shared" ca="1" si="81"/>
        <v>#REF!</v>
      </c>
      <c r="AM48" s="161" t="e">
        <f t="shared" ca="1" si="81"/>
        <v>#REF!</v>
      </c>
      <c r="AN48" s="161" t="e">
        <f t="shared" ca="1" si="81"/>
        <v>#REF!</v>
      </c>
      <c r="AO48" s="162" t="e">
        <f t="shared" ca="1" si="81"/>
        <v>#REF!</v>
      </c>
      <c r="AP48" s="163" t="e">
        <f t="shared" ca="1" si="77"/>
        <v>#REF!</v>
      </c>
      <c r="AQ48" s="148"/>
      <c r="AR48" s="160" t="e">
        <f t="shared" ref="AR48:BA48" ca="1" si="82">IF(AR$45&lt;&gt;"",INDIRECT(ADDRESS(ROW()+$AF$41,61,,,AF$45)),"")</f>
        <v>#REF!</v>
      </c>
      <c r="AS48" s="161" t="e">
        <f t="shared" ca="1" si="82"/>
        <v>#REF!</v>
      </c>
      <c r="AT48" s="161" t="e">
        <f t="shared" ca="1" si="82"/>
        <v>#REF!</v>
      </c>
      <c r="AU48" s="161" t="e">
        <f t="shared" ca="1" si="82"/>
        <v>#REF!</v>
      </c>
      <c r="AV48" s="161" t="e">
        <f t="shared" ca="1" si="82"/>
        <v>#REF!</v>
      </c>
      <c r="AW48" s="161" t="e">
        <f t="shared" ca="1" si="82"/>
        <v>#REF!</v>
      </c>
      <c r="AX48" s="161" t="e">
        <f t="shared" ca="1" si="82"/>
        <v>#REF!</v>
      </c>
      <c r="AY48" s="161" t="e">
        <f t="shared" ca="1" si="82"/>
        <v>#REF!</v>
      </c>
      <c r="AZ48" s="161" t="e">
        <f t="shared" ca="1" si="82"/>
        <v>#REF!</v>
      </c>
      <c r="BA48" s="162" t="e">
        <f t="shared" ca="1" si="82"/>
        <v>#REF!</v>
      </c>
      <c r="BB48" s="163" t="e">
        <f t="shared" ca="1" si="79"/>
        <v>#REF!</v>
      </c>
      <c r="BC48" s="148"/>
      <c r="BD48" s="163" t="e">
        <f t="shared" ca="1" si="80"/>
        <v>#REF!</v>
      </c>
    </row>
    <row r="49" spans="2:56" ht="17.100000000000001" customHeight="1">
      <c r="B49" s="585"/>
      <c r="C49" s="585"/>
      <c r="D49" s="25"/>
      <c r="E49" s="571"/>
      <c r="F49" s="571"/>
      <c r="G49" s="571"/>
      <c r="H49" s="571"/>
      <c r="I49" s="571"/>
      <c r="J49" s="571"/>
      <c r="K49" s="25"/>
      <c r="L49" s="25"/>
      <c r="M49" s="25"/>
      <c r="N49" s="571"/>
      <c r="O49" s="571"/>
      <c r="P49" s="571"/>
      <c r="Q49" s="571"/>
      <c r="R49" s="571"/>
      <c r="S49" s="571"/>
      <c r="T49" s="25"/>
      <c r="U49" s="25"/>
      <c r="V49" s="25"/>
      <c r="W49" s="571"/>
      <c r="X49" s="571"/>
      <c r="Y49" s="571"/>
      <c r="Z49" s="571"/>
      <c r="AA49" s="571"/>
      <c r="AB49" s="571"/>
      <c r="AC49" s="573"/>
      <c r="AD49" s="62" t="s">
        <v>25</v>
      </c>
      <c r="AE49" s="148"/>
      <c r="AF49" s="160" t="e">
        <f t="shared" ref="AF49:AF71" ca="1" si="83">IF(AF$45&lt;&gt;"",INDIRECT(ADDRESS(ROW()+$AF$41,60,,,AF$45)),"")</f>
        <v>#REF!</v>
      </c>
      <c r="AG49" s="161" t="e">
        <f t="shared" ca="1" si="81"/>
        <v>#REF!</v>
      </c>
      <c r="AH49" s="161" t="e">
        <f t="shared" ca="1" si="81"/>
        <v>#REF!</v>
      </c>
      <c r="AI49" s="161" t="e">
        <f t="shared" ca="1" si="81"/>
        <v>#REF!</v>
      </c>
      <c r="AJ49" s="161" t="e">
        <f t="shared" ca="1" si="81"/>
        <v>#REF!</v>
      </c>
      <c r="AK49" s="161" t="e">
        <f t="shared" ca="1" si="81"/>
        <v>#REF!</v>
      </c>
      <c r="AL49" s="161" t="e">
        <f t="shared" ca="1" si="81"/>
        <v>#REF!</v>
      </c>
      <c r="AM49" s="161" t="e">
        <f t="shared" ca="1" si="81"/>
        <v>#REF!</v>
      </c>
      <c r="AN49" s="161" t="e">
        <f t="shared" ca="1" si="81"/>
        <v>#REF!</v>
      </c>
      <c r="AO49" s="162" t="e">
        <f t="shared" ca="1" si="81"/>
        <v>#REF!</v>
      </c>
      <c r="AP49" s="163" t="e">
        <f t="shared" ca="1" si="77"/>
        <v>#REF!</v>
      </c>
      <c r="AQ49" s="148"/>
      <c r="AR49" s="160" t="e">
        <f t="shared" ref="AR49:AR71" ca="1" si="84">IF(AR$45&lt;&gt;"",INDIRECT(ADDRESS(ROW()+$AF$41,61,,,AF$45)),"")</f>
        <v>#REF!</v>
      </c>
      <c r="AS49" s="161" t="e">
        <f t="shared" ref="AS49:AS71" ca="1" si="85">IF(AS$45&lt;&gt;"",INDIRECT(ADDRESS(ROW()+$AF$41,61,,,AG$45)),"")</f>
        <v>#REF!</v>
      </c>
      <c r="AT49" s="161" t="e">
        <f t="shared" ref="AT49:AT71" ca="1" si="86">IF(AT$45&lt;&gt;"",INDIRECT(ADDRESS(ROW()+$AF$41,61,,,AH$45)),"")</f>
        <v>#REF!</v>
      </c>
      <c r="AU49" s="161" t="e">
        <f t="shared" ref="AU49:AU71" ca="1" si="87">IF(AU$45&lt;&gt;"",INDIRECT(ADDRESS(ROW()+$AF$41,61,,,AI$45)),"")</f>
        <v>#REF!</v>
      </c>
      <c r="AV49" s="161" t="e">
        <f t="shared" ref="AV49:AV71" ca="1" si="88">IF(AV$45&lt;&gt;"",INDIRECT(ADDRESS(ROW()+$AF$41,61,,,AJ$45)),"")</f>
        <v>#REF!</v>
      </c>
      <c r="AW49" s="161" t="e">
        <f t="shared" ref="AW49:AW71" ca="1" si="89">IF(AW$45&lt;&gt;"",INDIRECT(ADDRESS(ROW()+$AF$41,61,,,AK$45)),"")</f>
        <v>#REF!</v>
      </c>
      <c r="AX49" s="161" t="e">
        <f t="shared" ref="AX49:AX71" ca="1" si="90">IF(AX$45&lt;&gt;"",INDIRECT(ADDRESS(ROW()+$AF$41,61,,,AL$45)),"")</f>
        <v>#REF!</v>
      </c>
      <c r="AY49" s="161" t="e">
        <f t="shared" ref="AY49:AY71" ca="1" si="91">IF(AY$45&lt;&gt;"",INDIRECT(ADDRESS(ROW()+$AF$41,61,,,AM$45)),"")</f>
        <v>#REF!</v>
      </c>
      <c r="AZ49" s="161" t="e">
        <f t="shared" ref="AZ49:AZ71" ca="1" si="92">IF(AZ$45&lt;&gt;"",INDIRECT(ADDRESS(ROW()+$AF$41,61,,,AN$45)),"")</f>
        <v>#REF!</v>
      </c>
      <c r="BA49" s="162" t="e">
        <f t="shared" ref="BA49:BA71" ca="1" si="93">IF(BA$45&lt;&gt;"",INDIRECT(ADDRESS(ROW()+$AF$41,61,,,AO$45)),"")</f>
        <v>#REF!</v>
      </c>
      <c r="BB49" s="163" t="e">
        <f t="shared" ca="1" si="79"/>
        <v>#REF!</v>
      </c>
      <c r="BC49" s="148"/>
      <c r="BD49" s="163" t="e">
        <f t="shared" ca="1" si="80"/>
        <v>#REF!</v>
      </c>
    </row>
    <row r="50" spans="2:56" ht="17.100000000000001" customHeight="1">
      <c r="B50" s="585"/>
      <c r="C50" s="585"/>
      <c r="D50" s="25"/>
      <c r="E50" s="571"/>
      <c r="F50" s="571"/>
      <c r="G50" s="571"/>
      <c r="H50" s="571"/>
      <c r="I50" s="571"/>
      <c r="J50" s="571"/>
      <c r="K50" s="25"/>
      <c r="L50" s="25"/>
      <c r="M50" s="25"/>
      <c r="N50" s="571"/>
      <c r="O50" s="571"/>
      <c r="P50" s="571"/>
      <c r="Q50" s="571"/>
      <c r="R50" s="571"/>
      <c r="S50" s="571"/>
      <c r="T50" s="25"/>
      <c r="U50" s="25"/>
      <c r="V50" s="25"/>
      <c r="W50" s="571"/>
      <c r="X50" s="571"/>
      <c r="Y50" s="571"/>
      <c r="Z50" s="571"/>
      <c r="AA50" s="571"/>
      <c r="AB50" s="571"/>
      <c r="AC50" s="573"/>
      <c r="AD50" s="62" t="s">
        <v>26</v>
      </c>
      <c r="AE50" s="148"/>
      <c r="AF50" s="160" t="e">
        <f t="shared" ca="1" si="83"/>
        <v>#REF!</v>
      </c>
      <c r="AG50" s="161" t="e">
        <f t="shared" ca="1" si="81"/>
        <v>#REF!</v>
      </c>
      <c r="AH50" s="161" t="e">
        <f t="shared" ca="1" si="81"/>
        <v>#REF!</v>
      </c>
      <c r="AI50" s="161" t="e">
        <f t="shared" ca="1" si="81"/>
        <v>#REF!</v>
      </c>
      <c r="AJ50" s="161" t="e">
        <f t="shared" ca="1" si="81"/>
        <v>#REF!</v>
      </c>
      <c r="AK50" s="161" t="e">
        <f t="shared" ca="1" si="81"/>
        <v>#REF!</v>
      </c>
      <c r="AL50" s="161" t="e">
        <f t="shared" ca="1" si="81"/>
        <v>#REF!</v>
      </c>
      <c r="AM50" s="161" t="e">
        <f t="shared" ca="1" si="81"/>
        <v>#REF!</v>
      </c>
      <c r="AN50" s="161" t="e">
        <f t="shared" ca="1" si="81"/>
        <v>#REF!</v>
      </c>
      <c r="AO50" s="162" t="e">
        <f t="shared" ca="1" si="81"/>
        <v>#REF!</v>
      </c>
      <c r="AP50" s="163" t="e">
        <f t="shared" ca="1" si="77"/>
        <v>#REF!</v>
      </c>
      <c r="AQ50" s="148"/>
      <c r="AR50" s="160" t="e">
        <f t="shared" ca="1" si="84"/>
        <v>#REF!</v>
      </c>
      <c r="AS50" s="161" t="e">
        <f t="shared" ca="1" si="85"/>
        <v>#REF!</v>
      </c>
      <c r="AT50" s="161" t="e">
        <f t="shared" ca="1" si="86"/>
        <v>#REF!</v>
      </c>
      <c r="AU50" s="161" t="e">
        <f t="shared" ca="1" si="87"/>
        <v>#REF!</v>
      </c>
      <c r="AV50" s="161" t="e">
        <f t="shared" ca="1" si="88"/>
        <v>#REF!</v>
      </c>
      <c r="AW50" s="161" t="e">
        <f t="shared" ca="1" si="89"/>
        <v>#REF!</v>
      </c>
      <c r="AX50" s="161" t="e">
        <f t="shared" ca="1" si="90"/>
        <v>#REF!</v>
      </c>
      <c r="AY50" s="161" t="e">
        <f t="shared" ca="1" si="91"/>
        <v>#REF!</v>
      </c>
      <c r="AZ50" s="161" t="e">
        <f t="shared" ca="1" si="92"/>
        <v>#REF!</v>
      </c>
      <c r="BA50" s="162" t="e">
        <f t="shared" ca="1" si="93"/>
        <v>#REF!</v>
      </c>
      <c r="BB50" s="163" t="e">
        <f t="shared" ca="1" si="79"/>
        <v>#REF!</v>
      </c>
      <c r="BC50" s="148"/>
      <c r="BD50" s="163" t="e">
        <f t="shared" ca="1" si="80"/>
        <v>#REF!</v>
      </c>
    </row>
    <row r="51" spans="2:56" ht="17.100000000000001" customHeight="1">
      <c r="B51" s="585"/>
      <c r="C51" s="585"/>
      <c r="D51" s="25"/>
      <c r="E51" s="571"/>
      <c r="F51" s="571"/>
      <c r="G51" s="571"/>
      <c r="H51" s="571"/>
      <c r="I51" s="571"/>
      <c r="J51" s="571"/>
      <c r="K51" s="25"/>
      <c r="L51" s="25"/>
      <c r="M51" s="25"/>
      <c r="N51" s="571"/>
      <c r="O51" s="571"/>
      <c r="P51" s="571"/>
      <c r="Q51" s="571"/>
      <c r="R51" s="571"/>
      <c r="S51" s="571"/>
      <c r="T51" s="25"/>
      <c r="U51" s="25"/>
      <c r="V51" s="25"/>
      <c r="W51" s="571"/>
      <c r="X51" s="571"/>
      <c r="Y51" s="571"/>
      <c r="Z51" s="571"/>
      <c r="AA51" s="571"/>
      <c r="AB51" s="571"/>
      <c r="AC51" s="573"/>
      <c r="AD51" s="62" t="s">
        <v>27</v>
      </c>
      <c r="AE51" s="148"/>
      <c r="AF51" s="160" t="e">
        <f t="shared" ca="1" si="83"/>
        <v>#REF!</v>
      </c>
      <c r="AG51" s="161" t="e">
        <f t="shared" ca="1" si="81"/>
        <v>#REF!</v>
      </c>
      <c r="AH51" s="161" t="e">
        <f t="shared" ca="1" si="81"/>
        <v>#REF!</v>
      </c>
      <c r="AI51" s="161" t="e">
        <f t="shared" ca="1" si="81"/>
        <v>#REF!</v>
      </c>
      <c r="AJ51" s="161" t="e">
        <f t="shared" ca="1" si="81"/>
        <v>#REF!</v>
      </c>
      <c r="AK51" s="161" t="e">
        <f t="shared" ca="1" si="81"/>
        <v>#REF!</v>
      </c>
      <c r="AL51" s="161" t="e">
        <f t="shared" ca="1" si="81"/>
        <v>#REF!</v>
      </c>
      <c r="AM51" s="161" t="e">
        <f t="shared" ca="1" si="81"/>
        <v>#REF!</v>
      </c>
      <c r="AN51" s="161" t="e">
        <f t="shared" ca="1" si="81"/>
        <v>#REF!</v>
      </c>
      <c r="AO51" s="162" t="e">
        <f t="shared" ca="1" si="81"/>
        <v>#REF!</v>
      </c>
      <c r="AP51" s="163" t="e">
        <f t="shared" ca="1" si="77"/>
        <v>#REF!</v>
      </c>
      <c r="AQ51" s="148"/>
      <c r="AR51" s="160" t="e">
        <f t="shared" ca="1" si="84"/>
        <v>#REF!</v>
      </c>
      <c r="AS51" s="161" t="e">
        <f t="shared" ca="1" si="85"/>
        <v>#REF!</v>
      </c>
      <c r="AT51" s="161" t="e">
        <f t="shared" ca="1" si="86"/>
        <v>#REF!</v>
      </c>
      <c r="AU51" s="161" t="e">
        <f t="shared" ca="1" si="87"/>
        <v>#REF!</v>
      </c>
      <c r="AV51" s="161" t="e">
        <f t="shared" ca="1" si="88"/>
        <v>#REF!</v>
      </c>
      <c r="AW51" s="161" t="e">
        <f t="shared" ca="1" si="89"/>
        <v>#REF!</v>
      </c>
      <c r="AX51" s="161" t="e">
        <f t="shared" ca="1" si="90"/>
        <v>#REF!</v>
      </c>
      <c r="AY51" s="161" t="e">
        <f t="shared" ca="1" si="91"/>
        <v>#REF!</v>
      </c>
      <c r="AZ51" s="161" t="e">
        <f t="shared" ca="1" si="92"/>
        <v>#REF!</v>
      </c>
      <c r="BA51" s="162" t="e">
        <f t="shared" ca="1" si="93"/>
        <v>#REF!</v>
      </c>
      <c r="BB51" s="163" t="e">
        <f t="shared" ca="1" si="79"/>
        <v>#REF!</v>
      </c>
      <c r="BC51" s="148"/>
      <c r="BD51" s="163" t="e">
        <f t="shared" ca="1" si="80"/>
        <v>#REF!</v>
      </c>
    </row>
    <row r="52" spans="2:56" ht="17.100000000000001" customHeight="1">
      <c r="B52" s="585"/>
      <c r="C52" s="585"/>
      <c r="D52" s="25"/>
      <c r="E52" s="571"/>
      <c r="F52" s="571"/>
      <c r="G52" s="571"/>
      <c r="H52" s="571"/>
      <c r="I52" s="571"/>
      <c r="J52" s="571"/>
      <c r="K52" s="25"/>
      <c r="L52" s="25"/>
      <c r="M52" s="25"/>
      <c r="N52" s="571"/>
      <c r="O52" s="571"/>
      <c r="P52" s="571"/>
      <c r="Q52" s="571"/>
      <c r="R52" s="571"/>
      <c r="S52" s="571"/>
      <c r="T52" s="25"/>
      <c r="U52" s="25"/>
      <c r="V52" s="25"/>
      <c r="W52" s="571"/>
      <c r="X52" s="571"/>
      <c r="Y52" s="571"/>
      <c r="Z52" s="571"/>
      <c r="AA52" s="571"/>
      <c r="AB52" s="571"/>
      <c r="AC52" s="573"/>
      <c r="AD52" s="62" t="s">
        <v>28</v>
      </c>
      <c r="AE52" s="148"/>
      <c r="AF52" s="160" t="e">
        <f t="shared" ca="1" si="83"/>
        <v>#REF!</v>
      </c>
      <c r="AG52" s="161" t="e">
        <f t="shared" ca="1" si="81"/>
        <v>#REF!</v>
      </c>
      <c r="AH52" s="161" t="e">
        <f t="shared" ca="1" si="81"/>
        <v>#REF!</v>
      </c>
      <c r="AI52" s="161" t="e">
        <f t="shared" ca="1" si="81"/>
        <v>#REF!</v>
      </c>
      <c r="AJ52" s="161" t="e">
        <f t="shared" ca="1" si="81"/>
        <v>#REF!</v>
      </c>
      <c r="AK52" s="161" t="e">
        <f t="shared" ca="1" si="81"/>
        <v>#REF!</v>
      </c>
      <c r="AL52" s="161" t="e">
        <f t="shared" ca="1" si="81"/>
        <v>#REF!</v>
      </c>
      <c r="AM52" s="161" t="e">
        <f t="shared" ca="1" si="81"/>
        <v>#REF!</v>
      </c>
      <c r="AN52" s="161" t="e">
        <f t="shared" ca="1" si="81"/>
        <v>#REF!</v>
      </c>
      <c r="AO52" s="162" t="e">
        <f t="shared" ca="1" si="81"/>
        <v>#REF!</v>
      </c>
      <c r="AP52" s="163" t="e">
        <f t="shared" ca="1" si="77"/>
        <v>#REF!</v>
      </c>
      <c r="AQ52" s="148"/>
      <c r="AR52" s="160" t="e">
        <f t="shared" ca="1" si="84"/>
        <v>#REF!</v>
      </c>
      <c r="AS52" s="161" t="e">
        <f t="shared" ca="1" si="85"/>
        <v>#REF!</v>
      </c>
      <c r="AT52" s="161" t="e">
        <f t="shared" ca="1" si="86"/>
        <v>#REF!</v>
      </c>
      <c r="AU52" s="161" t="e">
        <f t="shared" ca="1" si="87"/>
        <v>#REF!</v>
      </c>
      <c r="AV52" s="161" t="e">
        <f t="shared" ca="1" si="88"/>
        <v>#REF!</v>
      </c>
      <c r="AW52" s="161" t="e">
        <f t="shared" ca="1" si="89"/>
        <v>#REF!</v>
      </c>
      <c r="AX52" s="161" t="e">
        <f t="shared" ca="1" si="90"/>
        <v>#REF!</v>
      </c>
      <c r="AY52" s="161" t="e">
        <f t="shared" ca="1" si="91"/>
        <v>#REF!</v>
      </c>
      <c r="AZ52" s="161" t="e">
        <f t="shared" ca="1" si="92"/>
        <v>#REF!</v>
      </c>
      <c r="BA52" s="162" t="e">
        <f t="shared" ca="1" si="93"/>
        <v>#REF!</v>
      </c>
      <c r="BB52" s="163" t="e">
        <f t="shared" ca="1" si="79"/>
        <v>#REF!</v>
      </c>
      <c r="BC52" s="148"/>
      <c r="BD52" s="163" t="e">
        <f t="shared" ca="1" si="80"/>
        <v>#REF!</v>
      </c>
    </row>
    <row r="53" spans="2:56" ht="17.100000000000001" customHeight="1">
      <c r="B53" s="52"/>
      <c r="C53" s="52"/>
      <c r="D53" s="25"/>
      <c r="E53" s="571"/>
      <c r="F53" s="571"/>
      <c r="G53" s="571"/>
      <c r="H53" s="571"/>
      <c r="I53" s="571"/>
      <c r="J53" s="571"/>
      <c r="K53" s="25"/>
      <c r="L53" s="25"/>
      <c r="M53" s="25"/>
      <c r="N53" s="571"/>
      <c r="O53" s="571"/>
      <c r="P53" s="571"/>
      <c r="Q53" s="571"/>
      <c r="R53" s="571"/>
      <c r="S53" s="571"/>
      <c r="T53" s="25"/>
      <c r="U53" s="25"/>
      <c r="V53" s="25"/>
      <c r="W53" s="571"/>
      <c r="X53" s="571"/>
      <c r="Y53" s="571"/>
      <c r="Z53" s="571"/>
      <c r="AA53" s="571"/>
      <c r="AB53" s="571"/>
      <c r="AC53" s="573"/>
      <c r="AD53" s="62" t="s">
        <v>29</v>
      </c>
      <c r="AE53" s="148"/>
      <c r="AF53" s="160" t="e">
        <f t="shared" ca="1" si="83"/>
        <v>#REF!</v>
      </c>
      <c r="AG53" s="161" t="e">
        <f t="shared" ca="1" si="81"/>
        <v>#REF!</v>
      </c>
      <c r="AH53" s="161" t="e">
        <f t="shared" ca="1" si="81"/>
        <v>#REF!</v>
      </c>
      <c r="AI53" s="161" t="e">
        <f t="shared" ca="1" si="81"/>
        <v>#REF!</v>
      </c>
      <c r="AJ53" s="161" t="e">
        <f t="shared" ca="1" si="81"/>
        <v>#REF!</v>
      </c>
      <c r="AK53" s="161" t="e">
        <f t="shared" ca="1" si="81"/>
        <v>#REF!</v>
      </c>
      <c r="AL53" s="161" t="e">
        <f t="shared" ca="1" si="81"/>
        <v>#REF!</v>
      </c>
      <c r="AM53" s="161" t="e">
        <f t="shared" ca="1" si="81"/>
        <v>#REF!</v>
      </c>
      <c r="AN53" s="161" t="e">
        <f t="shared" ca="1" si="81"/>
        <v>#REF!</v>
      </c>
      <c r="AO53" s="162" t="e">
        <f t="shared" ca="1" si="81"/>
        <v>#REF!</v>
      </c>
      <c r="AP53" s="163" t="e">
        <f t="shared" ca="1" si="77"/>
        <v>#REF!</v>
      </c>
      <c r="AQ53" s="148"/>
      <c r="AR53" s="160" t="e">
        <f t="shared" ca="1" si="84"/>
        <v>#REF!</v>
      </c>
      <c r="AS53" s="161" t="e">
        <f t="shared" ca="1" si="85"/>
        <v>#REF!</v>
      </c>
      <c r="AT53" s="161" t="e">
        <f t="shared" ca="1" si="86"/>
        <v>#REF!</v>
      </c>
      <c r="AU53" s="161" t="e">
        <f t="shared" ca="1" si="87"/>
        <v>#REF!</v>
      </c>
      <c r="AV53" s="161" t="e">
        <f t="shared" ca="1" si="88"/>
        <v>#REF!</v>
      </c>
      <c r="AW53" s="161" t="e">
        <f t="shared" ca="1" si="89"/>
        <v>#REF!</v>
      </c>
      <c r="AX53" s="161" t="e">
        <f t="shared" ca="1" si="90"/>
        <v>#REF!</v>
      </c>
      <c r="AY53" s="161" t="e">
        <f t="shared" ca="1" si="91"/>
        <v>#REF!</v>
      </c>
      <c r="AZ53" s="161" t="e">
        <f t="shared" ca="1" si="92"/>
        <v>#REF!</v>
      </c>
      <c r="BA53" s="162" t="e">
        <f t="shared" ca="1" si="93"/>
        <v>#REF!</v>
      </c>
      <c r="BB53" s="163" t="e">
        <f t="shared" ca="1" si="79"/>
        <v>#REF!</v>
      </c>
      <c r="BC53" s="148"/>
      <c r="BD53" s="163" t="e">
        <f t="shared" ca="1" si="80"/>
        <v>#REF!</v>
      </c>
    </row>
    <row r="54" spans="2:56" ht="17.100000000000001" customHeight="1">
      <c r="B54" s="578"/>
      <c r="C54" s="578"/>
      <c r="D54" s="25"/>
      <c r="E54" s="571"/>
      <c r="F54" s="571"/>
      <c r="G54" s="571"/>
      <c r="H54" s="571"/>
      <c r="I54" s="571"/>
      <c r="J54" s="571"/>
      <c r="K54" s="25"/>
      <c r="L54" s="25"/>
      <c r="M54" s="25"/>
      <c r="N54" s="571"/>
      <c r="O54" s="571"/>
      <c r="P54" s="571"/>
      <c r="Q54" s="571"/>
      <c r="R54" s="571"/>
      <c r="S54" s="571"/>
      <c r="T54" s="25"/>
      <c r="U54" s="25"/>
      <c r="V54" s="25"/>
      <c r="W54" s="571"/>
      <c r="X54" s="571"/>
      <c r="Y54" s="571"/>
      <c r="Z54" s="571"/>
      <c r="AA54" s="571"/>
      <c r="AB54" s="571"/>
      <c r="AC54" s="573"/>
      <c r="AD54" s="62" t="s">
        <v>30</v>
      </c>
      <c r="AE54" s="148"/>
      <c r="AF54" s="160" t="e">
        <f t="shared" ca="1" si="83"/>
        <v>#REF!</v>
      </c>
      <c r="AG54" s="161" t="e">
        <f t="shared" ca="1" si="81"/>
        <v>#REF!</v>
      </c>
      <c r="AH54" s="161" t="e">
        <f t="shared" ca="1" si="81"/>
        <v>#REF!</v>
      </c>
      <c r="AI54" s="161" t="e">
        <f t="shared" ca="1" si="81"/>
        <v>#REF!</v>
      </c>
      <c r="AJ54" s="161" t="e">
        <f t="shared" ca="1" si="81"/>
        <v>#REF!</v>
      </c>
      <c r="AK54" s="161" t="e">
        <f t="shared" ca="1" si="81"/>
        <v>#REF!</v>
      </c>
      <c r="AL54" s="161" t="e">
        <f t="shared" ca="1" si="81"/>
        <v>#REF!</v>
      </c>
      <c r="AM54" s="161" t="e">
        <f t="shared" ca="1" si="81"/>
        <v>#REF!</v>
      </c>
      <c r="AN54" s="161" t="e">
        <f t="shared" ca="1" si="81"/>
        <v>#REF!</v>
      </c>
      <c r="AO54" s="162" t="e">
        <f t="shared" ca="1" si="81"/>
        <v>#REF!</v>
      </c>
      <c r="AP54" s="163" t="e">
        <f t="shared" ca="1" si="77"/>
        <v>#REF!</v>
      </c>
      <c r="AQ54" s="148"/>
      <c r="AR54" s="160" t="e">
        <f t="shared" ca="1" si="84"/>
        <v>#REF!</v>
      </c>
      <c r="AS54" s="161" t="e">
        <f t="shared" ca="1" si="85"/>
        <v>#REF!</v>
      </c>
      <c r="AT54" s="161" t="e">
        <f t="shared" ca="1" si="86"/>
        <v>#REF!</v>
      </c>
      <c r="AU54" s="161" t="e">
        <f t="shared" ca="1" si="87"/>
        <v>#REF!</v>
      </c>
      <c r="AV54" s="161" t="e">
        <f t="shared" ca="1" si="88"/>
        <v>#REF!</v>
      </c>
      <c r="AW54" s="161" t="e">
        <f t="shared" ca="1" si="89"/>
        <v>#REF!</v>
      </c>
      <c r="AX54" s="161" t="e">
        <f t="shared" ca="1" si="90"/>
        <v>#REF!</v>
      </c>
      <c r="AY54" s="161" t="e">
        <f t="shared" ca="1" si="91"/>
        <v>#REF!</v>
      </c>
      <c r="AZ54" s="161" t="e">
        <f t="shared" ca="1" si="92"/>
        <v>#REF!</v>
      </c>
      <c r="BA54" s="162" t="e">
        <f t="shared" ca="1" si="93"/>
        <v>#REF!</v>
      </c>
      <c r="BB54" s="163" t="e">
        <f t="shared" ca="1" si="79"/>
        <v>#REF!</v>
      </c>
      <c r="BC54" s="148"/>
      <c r="BD54" s="163" t="e">
        <f t="shared" ca="1" si="80"/>
        <v>#REF!</v>
      </c>
    </row>
    <row r="55" spans="2:56" ht="17.100000000000001" customHeight="1">
      <c r="B55" s="578"/>
      <c r="C55" s="578"/>
      <c r="D55" s="25"/>
      <c r="E55" s="571"/>
      <c r="F55" s="571"/>
      <c r="G55" s="571"/>
      <c r="H55" s="571"/>
      <c r="I55" s="571"/>
      <c r="J55" s="571"/>
      <c r="K55" s="25"/>
      <c r="L55" s="25"/>
      <c r="M55" s="25"/>
      <c r="N55" s="571"/>
      <c r="O55" s="571"/>
      <c r="P55" s="571"/>
      <c r="Q55" s="571"/>
      <c r="R55" s="571"/>
      <c r="S55" s="571"/>
      <c r="T55" s="25"/>
      <c r="U55" s="25"/>
      <c r="V55" s="25"/>
      <c r="W55" s="571"/>
      <c r="X55" s="571"/>
      <c r="Y55" s="571"/>
      <c r="Z55" s="571"/>
      <c r="AA55" s="571"/>
      <c r="AB55" s="571"/>
      <c r="AC55" s="573"/>
      <c r="AD55" s="62" t="s">
        <v>31</v>
      </c>
      <c r="AE55" s="148"/>
      <c r="AF55" s="160" t="e">
        <f t="shared" ca="1" si="83"/>
        <v>#REF!</v>
      </c>
      <c r="AG55" s="161" t="e">
        <f t="shared" ca="1" si="81"/>
        <v>#REF!</v>
      </c>
      <c r="AH55" s="161" t="e">
        <f t="shared" ca="1" si="81"/>
        <v>#REF!</v>
      </c>
      <c r="AI55" s="161" t="e">
        <f t="shared" ca="1" si="81"/>
        <v>#REF!</v>
      </c>
      <c r="AJ55" s="161" t="e">
        <f t="shared" ca="1" si="81"/>
        <v>#REF!</v>
      </c>
      <c r="AK55" s="161" t="e">
        <f t="shared" ca="1" si="81"/>
        <v>#REF!</v>
      </c>
      <c r="AL55" s="161" t="e">
        <f t="shared" ca="1" si="81"/>
        <v>#REF!</v>
      </c>
      <c r="AM55" s="161" t="e">
        <f t="shared" ca="1" si="81"/>
        <v>#REF!</v>
      </c>
      <c r="AN55" s="161" t="e">
        <f t="shared" ca="1" si="81"/>
        <v>#REF!</v>
      </c>
      <c r="AO55" s="162" t="e">
        <f t="shared" ca="1" si="81"/>
        <v>#REF!</v>
      </c>
      <c r="AP55" s="163" t="e">
        <f t="shared" ca="1" si="77"/>
        <v>#REF!</v>
      </c>
      <c r="AQ55" s="148"/>
      <c r="AR55" s="160" t="e">
        <f t="shared" ca="1" si="84"/>
        <v>#REF!</v>
      </c>
      <c r="AS55" s="161" t="e">
        <f t="shared" ca="1" si="85"/>
        <v>#REF!</v>
      </c>
      <c r="AT55" s="161" t="e">
        <f t="shared" ca="1" si="86"/>
        <v>#REF!</v>
      </c>
      <c r="AU55" s="161" t="e">
        <f t="shared" ca="1" si="87"/>
        <v>#REF!</v>
      </c>
      <c r="AV55" s="161" t="e">
        <f t="shared" ca="1" si="88"/>
        <v>#REF!</v>
      </c>
      <c r="AW55" s="161" t="e">
        <f t="shared" ca="1" si="89"/>
        <v>#REF!</v>
      </c>
      <c r="AX55" s="161" t="e">
        <f t="shared" ca="1" si="90"/>
        <v>#REF!</v>
      </c>
      <c r="AY55" s="161" t="e">
        <f t="shared" ca="1" si="91"/>
        <v>#REF!</v>
      </c>
      <c r="AZ55" s="161" t="e">
        <f t="shared" ca="1" si="92"/>
        <v>#REF!</v>
      </c>
      <c r="BA55" s="162" t="e">
        <f t="shared" ca="1" si="93"/>
        <v>#REF!</v>
      </c>
      <c r="BB55" s="163" t="e">
        <f t="shared" ca="1" si="79"/>
        <v>#REF!</v>
      </c>
      <c r="BC55" s="148"/>
      <c r="BD55" s="163" t="e">
        <f t="shared" ca="1" si="80"/>
        <v>#REF!</v>
      </c>
    </row>
    <row r="56" spans="2:56" ht="17.100000000000001" customHeight="1">
      <c r="B56" s="578"/>
      <c r="C56" s="578"/>
      <c r="D56" s="25"/>
      <c r="E56" s="571"/>
      <c r="F56" s="571"/>
      <c r="G56" s="571"/>
      <c r="H56" s="571"/>
      <c r="I56" s="571"/>
      <c r="J56" s="571"/>
      <c r="K56" s="25"/>
      <c r="L56" s="25"/>
      <c r="M56" s="25"/>
      <c r="N56" s="571"/>
      <c r="O56" s="571"/>
      <c r="P56" s="571"/>
      <c r="Q56" s="571"/>
      <c r="R56" s="571"/>
      <c r="S56" s="571"/>
      <c r="T56" s="25"/>
      <c r="U56" s="25"/>
      <c r="V56" s="25"/>
      <c r="W56" s="571"/>
      <c r="X56" s="571"/>
      <c r="Y56" s="571"/>
      <c r="Z56" s="571"/>
      <c r="AA56" s="571"/>
      <c r="AB56" s="571"/>
      <c r="AC56" s="573"/>
      <c r="AD56" s="62" t="s">
        <v>32</v>
      </c>
      <c r="AE56" s="148"/>
      <c r="AF56" s="160" t="e">
        <f t="shared" ca="1" si="83"/>
        <v>#REF!</v>
      </c>
      <c r="AG56" s="161" t="e">
        <f t="shared" ca="1" si="81"/>
        <v>#REF!</v>
      </c>
      <c r="AH56" s="161" t="e">
        <f t="shared" ca="1" si="81"/>
        <v>#REF!</v>
      </c>
      <c r="AI56" s="161" t="e">
        <f t="shared" ca="1" si="81"/>
        <v>#REF!</v>
      </c>
      <c r="AJ56" s="161" t="e">
        <f t="shared" ca="1" si="81"/>
        <v>#REF!</v>
      </c>
      <c r="AK56" s="161" t="e">
        <f t="shared" ca="1" si="81"/>
        <v>#REF!</v>
      </c>
      <c r="AL56" s="161" t="e">
        <f t="shared" ca="1" si="81"/>
        <v>#REF!</v>
      </c>
      <c r="AM56" s="161" t="e">
        <f t="shared" ca="1" si="81"/>
        <v>#REF!</v>
      </c>
      <c r="AN56" s="161" t="e">
        <f t="shared" ca="1" si="81"/>
        <v>#REF!</v>
      </c>
      <c r="AO56" s="162" t="e">
        <f t="shared" ca="1" si="81"/>
        <v>#REF!</v>
      </c>
      <c r="AP56" s="163" t="e">
        <f t="shared" ca="1" si="77"/>
        <v>#REF!</v>
      </c>
      <c r="AQ56" s="148"/>
      <c r="AR56" s="160" t="e">
        <f t="shared" ca="1" si="84"/>
        <v>#REF!</v>
      </c>
      <c r="AS56" s="161" t="e">
        <f t="shared" ca="1" si="85"/>
        <v>#REF!</v>
      </c>
      <c r="AT56" s="161" t="e">
        <f t="shared" ca="1" si="86"/>
        <v>#REF!</v>
      </c>
      <c r="AU56" s="161" t="e">
        <f t="shared" ca="1" si="87"/>
        <v>#REF!</v>
      </c>
      <c r="AV56" s="161" t="e">
        <f t="shared" ca="1" si="88"/>
        <v>#REF!</v>
      </c>
      <c r="AW56" s="161" t="e">
        <f t="shared" ca="1" si="89"/>
        <v>#REF!</v>
      </c>
      <c r="AX56" s="161" t="e">
        <f t="shared" ca="1" si="90"/>
        <v>#REF!</v>
      </c>
      <c r="AY56" s="161" t="e">
        <f t="shared" ca="1" si="91"/>
        <v>#REF!</v>
      </c>
      <c r="AZ56" s="161" t="e">
        <f t="shared" ca="1" si="92"/>
        <v>#REF!</v>
      </c>
      <c r="BA56" s="162" t="e">
        <f t="shared" ca="1" si="93"/>
        <v>#REF!</v>
      </c>
      <c r="BB56" s="163" t="e">
        <f t="shared" ca="1" si="79"/>
        <v>#REF!</v>
      </c>
      <c r="BC56" s="148"/>
      <c r="BD56" s="163" t="e">
        <f t="shared" ca="1" si="80"/>
        <v>#REF!</v>
      </c>
    </row>
    <row r="57" spans="2:56" ht="17.100000000000001" customHeight="1">
      <c r="B57" s="577" t="s">
        <v>52</v>
      </c>
      <c r="C57" s="577"/>
      <c r="D57" s="25"/>
      <c r="E57" s="571"/>
      <c r="F57" s="571"/>
      <c r="G57" s="571"/>
      <c r="H57" s="571"/>
      <c r="I57" s="571"/>
      <c r="J57" s="571"/>
      <c r="K57" s="25"/>
      <c r="L57" s="25"/>
      <c r="M57" s="25"/>
      <c r="N57" s="571"/>
      <c r="O57" s="571"/>
      <c r="P57" s="571"/>
      <c r="Q57" s="571"/>
      <c r="R57" s="571"/>
      <c r="S57" s="571"/>
      <c r="T57" s="25"/>
      <c r="U57" s="25"/>
      <c r="V57" s="25"/>
      <c r="W57" s="571"/>
      <c r="X57" s="571"/>
      <c r="Y57" s="571"/>
      <c r="Z57" s="571"/>
      <c r="AA57" s="571"/>
      <c r="AB57" s="571"/>
      <c r="AC57" s="573"/>
      <c r="AD57" s="62" t="s">
        <v>33</v>
      </c>
      <c r="AE57" s="148"/>
      <c r="AF57" s="160" t="e">
        <f t="shared" ca="1" si="83"/>
        <v>#REF!</v>
      </c>
      <c r="AG57" s="161" t="e">
        <f t="shared" ca="1" si="81"/>
        <v>#REF!</v>
      </c>
      <c r="AH57" s="161" t="e">
        <f t="shared" ca="1" si="81"/>
        <v>#REF!</v>
      </c>
      <c r="AI57" s="161" t="e">
        <f t="shared" ca="1" si="81"/>
        <v>#REF!</v>
      </c>
      <c r="AJ57" s="161" t="e">
        <f t="shared" ca="1" si="81"/>
        <v>#REF!</v>
      </c>
      <c r="AK57" s="161" t="e">
        <f t="shared" ca="1" si="81"/>
        <v>#REF!</v>
      </c>
      <c r="AL57" s="161" t="e">
        <f t="shared" ca="1" si="81"/>
        <v>#REF!</v>
      </c>
      <c r="AM57" s="161" t="e">
        <f t="shared" ca="1" si="81"/>
        <v>#REF!</v>
      </c>
      <c r="AN57" s="161" t="e">
        <f t="shared" ca="1" si="81"/>
        <v>#REF!</v>
      </c>
      <c r="AO57" s="162" t="e">
        <f t="shared" ca="1" si="81"/>
        <v>#REF!</v>
      </c>
      <c r="AP57" s="163" t="e">
        <f t="shared" ca="1" si="77"/>
        <v>#REF!</v>
      </c>
      <c r="AQ57" s="148"/>
      <c r="AR57" s="160" t="e">
        <f t="shared" ca="1" si="84"/>
        <v>#REF!</v>
      </c>
      <c r="AS57" s="161" t="e">
        <f t="shared" ca="1" si="85"/>
        <v>#REF!</v>
      </c>
      <c r="AT57" s="161" t="e">
        <f t="shared" ca="1" si="86"/>
        <v>#REF!</v>
      </c>
      <c r="AU57" s="161" t="e">
        <f t="shared" ca="1" si="87"/>
        <v>#REF!</v>
      </c>
      <c r="AV57" s="161" t="e">
        <f t="shared" ca="1" si="88"/>
        <v>#REF!</v>
      </c>
      <c r="AW57" s="161" t="e">
        <f t="shared" ca="1" si="89"/>
        <v>#REF!</v>
      </c>
      <c r="AX57" s="161" t="e">
        <f t="shared" ca="1" si="90"/>
        <v>#REF!</v>
      </c>
      <c r="AY57" s="161" t="e">
        <f t="shared" ca="1" si="91"/>
        <v>#REF!</v>
      </c>
      <c r="AZ57" s="161" t="e">
        <f t="shared" ca="1" si="92"/>
        <v>#REF!</v>
      </c>
      <c r="BA57" s="162" t="e">
        <f t="shared" ca="1" si="93"/>
        <v>#REF!</v>
      </c>
      <c r="BB57" s="163" t="e">
        <f t="shared" ca="1" si="79"/>
        <v>#REF!</v>
      </c>
      <c r="BC57" s="148"/>
      <c r="BD57" s="163" t="e">
        <f t="shared" ca="1" si="80"/>
        <v>#REF!</v>
      </c>
    </row>
    <row r="58" spans="2:56" ht="17.100000000000001" customHeight="1">
      <c r="B58" s="577"/>
      <c r="C58" s="577"/>
      <c r="D58" s="25"/>
      <c r="E58" s="571"/>
      <c r="F58" s="571"/>
      <c r="G58" s="571"/>
      <c r="H58" s="571"/>
      <c r="I58" s="571"/>
      <c r="J58" s="571"/>
      <c r="K58" s="25"/>
      <c r="L58" s="25"/>
      <c r="M58" s="25"/>
      <c r="N58" s="571"/>
      <c r="O58" s="571"/>
      <c r="P58" s="571"/>
      <c r="Q58" s="571"/>
      <c r="R58" s="571"/>
      <c r="S58" s="571"/>
      <c r="T58" s="25"/>
      <c r="U58" s="25"/>
      <c r="V58" s="25"/>
      <c r="W58" s="571"/>
      <c r="X58" s="571"/>
      <c r="Y58" s="571"/>
      <c r="Z58" s="571"/>
      <c r="AA58" s="571"/>
      <c r="AB58" s="571"/>
      <c r="AC58" s="573"/>
      <c r="AD58" s="62" t="s">
        <v>34</v>
      </c>
      <c r="AE58" s="148"/>
      <c r="AF58" s="160" t="e">
        <f t="shared" ca="1" si="83"/>
        <v>#REF!</v>
      </c>
      <c r="AG58" s="161" t="e">
        <f t="shared" ca="1" si="81"/>
        <v>#REF!</v>
      </c>
      <c r="AH58" s="161" t="e">
        <f t="shared" ca="1" si="81"/>
        <v>#REF!</v>
      </c>
      <c r="AI58" s="161" t="e">
        <f t="shared" ca="1" si="81"/>
        <v>#REF!</v>
      </c>
      <c r="AJ58" s="161" t="e">
        <f t="shared" ca="1" si="81"/>
        <v>#REF!</v>
      </c>
      <c r="AK58" s="161" t="e">
        <f t="shared" ca="1" si="81"/>
        <v>#REF!</v>
      </c>
      <c r="AL58" s="161" t="e">
        <f t="shared" ca="1" si="81"/>
        <v>#REF!</v>
      </c>
      <c r="AM58" s="161" t="e">
        <f t="shared" ca="1" si="81"/>
        <v>#REF!</v>
      </c>
      <c r="AN58" s="161" t="e">
        <f t="shared" ca="1" si="81"/>
        <v>#REF!</v>
      </c>
      <c r="AO58" s="162" t="e">
        <f t="shared" ca="1" si="81"/>
        <v>#REF!</v>
      </c>
      <c r="AP58" s="163" t="e">
        <f t="shared" ca="1" si="77"/>
        <v>#REF!</v>
      </c>
      <c r="AQ58" s="148"/>
      <c r="AR58" s="160" t="e">
        <f t="shared" ca="1" si="84"/>
        <v>#REF!</v>
      </c>
      <c r="AS58" s="161" t="e">
        <f t="shared" ca="1" si="85"/>
        <v>#REF!</v>
      </c>
      <c r="AT58" s="161" t="e">
        <f t="shared" ca="1" si="86"/>
        <v>#REF!</v>
      </c>
      <c r="AU58" s="161" t="e">
        <f t="shared" ca="1" si="87"/>
        <v>#REF!</v>
      </c>
      <c r="AV58" s="161" t="e">
        <f t="shared" ca="1" si="88"/>
        <v>#REF!</v>
      </c>
      <c r="AW58" s="161" t="e">
        <f t="shared" ca="1" si="89"/>
        <v>#REF!</v>
      </c>
      <c r="AX58" s="161" t="e">
        <f t="shared" ca="1" si="90"/>
        <v>#REF!</v>
      </c>
      <c r="AY58" s="161" t="e">
        <f t="shared" ca="1" si="91"/>
        <v>#REF!</v>
      </c>
      <c r="AZ58" s="161" t="e">
        <f t="shared" ca="1" si="92"/>
        <v>#REF!</v>
      </c>
      <c r="BA58" s="162" t="e">
        <f t="shared" ca="1" si="93"/>
        <v>#REF!</v>
      </c>
      <c r="BB58" s="163" t="e">
        <f t="shared" ca="1" si="79"/>
        <v>#REF!</v>
      </c>
      <c r="BC58" s="148"/>
      <c r="BD58" s="163" t="e">
        <f t="shared" ca="1" si="80"/>
        <v>#REF!</v>
      </c>
    </row>
    <row r="59" spans="2:56" ht="17.100000000000001" customHeight="1">
      <c r="B59" s="577"/>
      <c r="C59" s="577"/>
      <c r="D59" s="25"/>
      <c r="E59" s="571"/>
      <c r="F59" s="571"/>
      <c r="G59" s="571"/>
      <c r="H59" s="571"/>
      <c r="I59" s="571"/>
      <c r="J59" s="571"/>
      <c r="K59" s="25"/>
      <c r="L59" s="25"/>
      <c r="M59" s="25"/>
      <c r="N59" s="571"/>
      <c r="O59" s="571"/>
      <c r="P59" s="571"/>
      <c r="Q59" s="571"/>
      <c r="R59" s="571"/>
      <c r="S59" s="571"/>
      <c r="T59" s="25"/>
      <c r="U59" s="25"/>
      <c r="V59" s="25"/>
      <c r="W59" s="571"/>
      <c r="X59" s="571"/>
      <c r="Y59" s="571"/>
      <c r="Z59" s="571"/>
      <c r="AA59" s="571"/>
      <c r="AB59" s="571"/>
      <c r="AC59" s="573"/>
      <c r="AD59" s="62" t="s">
        <v>35</v>
      </c>
      <c r="AE59" s="148"/>
      <c r="AF59" s="160" t="e">
        <f t="shared" ca="1" si="83"/>
        <v>#REF!</v>
      </c>
      <c r="AG59" s="161" t="e">
        <f t="shared" ca="1" si="81"/>
        <v>#REF!</v>
      </c>
      <c r="AH59" s="161" t="e">
        <f t="shared" ca="1" si="81"/>
        <v>#REF!</v>
      </c>
      <c r="AI59" s="161" t="e">
        <f t="shared" ca="1" si="81"/>
        <v>#REF!</v>
      </c>
      <c r="AJ59" s="161" t="e">
        <f t="shared" ca="1" si="81"/>
        <v>#REF!</v>
      </c>
      <c r="AK59" s="161" t="e">
        <f t="shared" ca="1" si="81"/>
        <v>#REF!</v>
      </c>
      <c r="AL59" s="161" t="e">
        <f t="shared" ca="1" si="81"/>
        <v>#REF!</v>
      </c>
      <c r="AM59" s="161" t="e">
        <f t="shared" ca="1" si="81"/>
        <v>#REF!</v>
      </c>
      <c r="AN59" s="161" t="e">
        <f t="shared" ca="1" si="81"/>
        <v>#REF!</v>
      </c>
      <c r="AO59" s="162" t="e">
        <f t="shared" ca="1" si="81"/>
        <v>#REF!</v>
      </c>
      <c r="AP59" s="163" t="e">
        <f t="shared" ca="1" si="77"/>
        <v>#REF!</v>
      </c>
      <c r="AQ59" s="148"/>
      <c r="AR59" s="160" t="e">
        <f t="shared" ca="1" si="84"/>
        <v>#REF!</v>
      </c>
      <c r="AS59" s="161" t="e">
        <f t="shared" ca="1" si="85"/>
        <v>#REF!</v>
      </c>
      <c r="AT59" s="161" t="e">
        <f t="shared" ca="1" si="86"/>
        <v>#REF!</v>
      </c>
      <c r="AU59" s="161" t="e">
        <f t="shared" ca="1" si="87"/>
        <v>#REF!</v>
      </c>
      <c r="AV59" s="161" t="e">
        <f t="shared" ca="1" si="88"/>
        <v>#REF!</v>
      </c>
      <c r="AW59" s="161" t="e">
        <f t="shared" ca="1" si="89"/>
        <v>#REF!</v>
      </c>
      <c r="AX59" s="161" t="e">
        <f t="shared" ca="1" si="90"/>
        <v>#REF!</v>
      </c>
      <c r="AY59" s="161" t="e">
        <f t="shared" ca="1" si="91"/>
        <v>#REF!</v>
      </c>
      <c r="AZ59" s="161" t="e">
        <f t="shared" ca="1" si="92"/>
        <v>#REF!</v>
      </c>
      <c r="BA59" s="162" t="e">
        <f t="shared" ca="1" si="93"/>
        <v>#REF!</v>
      </c>
      <c r="BB59" s="163" t="e">
        <f t="shared" ca="1" si="79"/>
        <v>#REF!</v>
      </c>
      <c r="BC59" s="148"/>
      <c r="BD59" s="163" t="e">
        <f t="shared" ca="1" si="80"/>
        <v>#REF!</v>
      </c>
    </row>
    <row r="60" spans="2:56" ht="17.100000000000001" customHeight="1">
      <c r="B60" s="577"/>
      <c r="C60" s="577"/>
      <c r="D60" s="25"/>
      <c r="E60" s="571"/>
      <c r="F60" s="571"/>
      <c r="G60" s="571"/>
      <c r="H60" s="571"/>
      <c r="I60" s="571"/>
      <c r="J60" s="571"/>
      <c r="K60" s="25"/>
      <c r="L60" s="25"/>
      <c r="M60" s="25"/>
      <c r="N60" s="571"/>
      <c r="O60" s="571"/>
      <c r="P60" s="571"/>
      <c r="Q60" s="571"/>
      <c r="R60" s="571"/>
      <c r="S60" s="571"/>
      <c r="T60" s="25"/>
      <c r="U60" s="25"/>
      <c r="V60" s="25"/>
      <c r="W60" s="571"/>
      <c r="X60" s="571"/>
      <c r="Y60" s="571"/>
      <c r="Z60" s="571"/>
      <c r="AA60" s="571"/>
      <c r="AB60" s="571"/>
      <c r="AC60" s="573"/>
      <c r="AD60" s="62" t="s">
        <v>36</v>
      </c>
      <c r="AE60" s="148"/>
      <c r="AF60" s="160" t="e">
        <f t="shared" ca="1" si="83"/>
        <v>#REF!</v>
      </c>
      <c r="AG60" s="161" t="e">
        <f t="shared" ca="1" si="81"/>
        <v>#REF!</v>
      </c>
      <c r="AH60" s="161" t="e">
        <f t="shared" ca="1" si="81"/>
        <v>#REF!</v>
      </c>
      <c r="AI60" s="161" t="e">
        <f t="shared" ca="1" si="81"/>
        <v>#REF!</v>
      </c>
      <c r="AJ60" s="161" t="e">
        <f t="shared" ca="1" si="81"/>
        <v>#REF!</v>
      </c>
      <c r="AK60" s="161" t="e">
        <f t="shared" ca="1" si="81"/>
        <v>#REF!</v>
      </c>
      <c r="AL60" s="161" t="e">
        <f t="shared" ca="1" si="81"/>
        <v>#REF!</v>
      </c>
      <c r="AM60" s="161" t="e">
        <f t="shared" ca="1" si="81"/>
        <v>#REF!</v>
      </c>
      <c r="AN60" s="161" t="e">
        <f t="shared" ca="1" si="81"/>
        <v>#REF!</v>
      </c>
      <c r="AO60" s="162" t="e">
        <f t="shared" ca="1" si="81"/>
        <v>#REF!</v>
      </c>
      <c r="AP60" s="163" t="e">
        <f t="shared" ca="1" si="77"/>
        <v>#REF!</v>
      </c>
      <c r="AQ60" s="148"/>
      <c r="AR60" s="160" t="e">
        <f t="shared" ca="1" si="84"/>
        <v>#REF!</v>
      </c>
      <c r="AS60" s="161" t="e">
        <f t="shared" ca="1" si="85"/>
        <v>#REF!</v>
      </c>
      <c r="AT60" s="161" t="e">
        <f t="shared" ca="1" si="86"/>
        <v>#REF!</v>
      </c>
      <c r="AU60" s="161" t="e">
        <f t="shared" ca="1" si="87"/>
        <v>#REF!</v>
      </c>
      <c r="AV60" s="161" t="e">
        <f t="shared" ca="1" si="88"/>
        <v>#REF!</v>
      </c>
      <c r="AW60" s="161" t="e">
        <f t="shared" ca="1" si="89"/>
        <v>#REF!</v>
      </c>
      <c r="AX60" s="161" t="e">
        <f t="shared" ca="1" si="90"/>
        <v>#REF!</v>
      </c>
      <c r="AY60" s="161" t="e">
        <f t="shared" ca="1" si="91"/>
        <v>#REF!</v>
      </c>
      <c r="AZ60" s="161" t="e">
        <f t="shared" ca="1" si="92"/>
        <v>#REF!</v>
      </c>
      <c r="BA60" s="162" t="e">
        <f t="shared" ca="1" si="93"/>
        <v>#REF!</v>
      </c>
      <c r="BB60" s="163" t="e">
        <f t="shared" ca="1" si="79"/>
        <v>#REF!</v>
      </c>
      <c r="BC60" s="148"/>
      <c r="BD60" s="163" t="e">
        <f t="shared" ca="1" si="80"/>
        <v>#REF!</v>
      </c>
    </row>
    <row r="61" spans="2:56" ht="17.100000000000001" customHeight="1">
      <c r="B61" s="577"/>
      <c r="C61" s="577"/>
      <c r="D61" s="25"/>
      <c r="E61" s="571"/>
      <c r="F61" s="571"/>
      <c r="G61" s="571"/>
      <c r="H61" s="571"/>
      <c r="I61" s="571"/>
      <c r="J61" s="571"/>
      <c r="K61" s="25"/>
      <c r="L61" s="25"/>
      <c r="M61" s="25"/>
      <c r="N61" s="571"/>
      <c r="O61" s="571"/>
      <c r="P61" s="571"/>
      <c r="Q61" s="571"/>
      <c r="R61" s="571"/>
      <c r="S61" s="571"/>
      <c r="T61" s="25"/>
      <c r="U61" s="25"/>
      <c r="V61" s="25"/>
      <c r="W61" s="571"/>
      <c r="X61" s="571"/>
      <c r="Y61" s="571"/>
      <c r="Z61" s="571"/>
      <c r="AA61" s="571"/>
      <c r="AB61" s="571"/>
      <c r="AC61" s="573"/>
      <c r="AD61" s="62" t="s">
        <v>37</v>
      </c>
      <c r="AE61" s="148"/>
      <c r="AF61" s="160" t="e">
        <f t="shared" ca="1" si="83"/>
        <v>#REF!</v>
      </c>
      <c r="AG61" s="161" t="e">
        <f t="shared" ca="1" si="81"/>
        <v>#REF!</v>
      </c>
      <c r="AH61" s="161" t="e">
        <f t="shared" ca="1" si="81"/>
        <v>#REF!</v>
      </c>
      <c r="AI61" s="161" t="e">
        <f t="shared" ca="1" si="81"/>
        <v>#REF!</v>
      </c>
      <c r="AJ61" s="161" t="e">
        <f t="shared" ref="AG61:AO71" ca="1" si="94">IF(AJ$45&lt;&gt;"",INDIRECT(ADDRESS(ROW()+$AF$41,60,,,AJ$45)),"")</f>
        <v>#REF!</v>
      </c>
      <c r="AK61" s="161" t="e">
        <f t="shared" ca="1" si="94"/>
        <v>#REF!</v>
      </c>
      <c r="AL61" s="161" t="e">
        <f t="shared" ca="1" si="94"/>
        <v>#REF!</v>
      </c>
      <c r="AM61" s="161" t="e">
        <f t="shared" ca="1" si="94"/>
        <v>#REF!</v>
      </c>
      <c r="AN61" s="161" t="e">
        <f t="shared" ca="1" si="94"/>
        <v>#REF!</v>
      </c>
      <c r="AO61" s="162" t="e">
        <f t="shared" ca="1" si="94"/>
        <v>#REF!</v>
      </c>
      <c r="AP61" s="163" t="e">
        <f t="shared" ca="1" si="77"/>
        <v>#REF!</v>
      </c>
      <c r="AQ61" s="148"/>
      <c r="AR61" s="160" t="e">
        <f t="shared" ca="1" si="84"/>
        <v>#REF!</v>
      </c>
      <c r="AS61" s="161" t="e">
        <f t="shared" ca="1" si="85"/>
        <v>#REF!</v>
      </c>
      <c r="AT61" s="161" t="e">
        <f t="shared" ca="1" si="86"/>
        <v>#REF!</v>
      </c>
      <c r="AU61" s="161" t="e">
        <f t="shared" ca="1" si="87"/>
        <v>#REF!</v>
      </c>
      <c r="AV61" s="161" t="e">
        <f t="shared" ca="1" si="88"/>
        <v>#REF!</v>
      </c>
      <c r="AW61" s="161" t="e">
        <f t="shared" ca="1" si="89"/>
        <v>#REF!</v>
      </c>
      <c r="AX61" s="161" t="e">
        <f t="shared" ca="1" si="90"/>
        <v>#REF!</v>
      </c>
      <c r="AY61" s="161" t="e">
        <f t="shared" ca="1" si="91"/>
        <v>#REF!</v>
      </c>
      <c r="AZ61" s="161" t="e">
        <f t="shared" ca="1" si="92"/>
        <v>#REF!</v>
      </c>
      <c r="BA61" s="162" t="e">
        <f t="shared" ca="1" si="93"/>
        <v>#REF!</v>
      </c>
      <c r="BB61" s="163" t="e">
        <f t="shared" ca="1" si="79"/>
        <v>#REF!</v>
      </c>
      <c r="BC61" s="148"/>
      <c r="BD61" s="163" t="e">
        <f t="shared" ca="1" si="80"/>
        <v>#REF!</v>
      </c>
    </row>
    <row r="62" spans="2:56" ht="17.100000000000001" customHeight="1">
      <c r="B62" s="577"/>
      <c r="C62" s="577"/>
      <c r="D62" s="25"/>
      <c r="E62" s="571"/>
      <c r="F62" s="571"/>
      <c r="G62" s="571"/>
      <c r="H62" s="571"/>
      <c r="I62" s="571"/>
      <c r="J62" s="571"/>
      <c r="K62" s="25"/>
      <c r="L62" s="25"/>
      <c r="M62" s="25"/>
      <c r="N62" s="571"/>
      <c r="O62" s="571"/>
      <c r="P62" s="571"/>
      <c r="Q62" s="571"/>
      <c r="R62" s="571"/>
      <c r="S62" s="571"/>
      <c r="T62" s="25"/>
      <c r="U62" s="25"/>
      <c r="V62" s="25"/>
      <c r="W62" s="571"/>
      <c r="X62" s="571"/>
      <c r="Y62" s="571"/>
      <c r="Z62" s="571"/>
      <c r="AA62" s="571"/>
      <c r="AB62" s="571"/>
      <c r="AC62" s="573"/>
      <c r="AD62" s="62" t="s">
        <v>38</v>
      </c>
      <c r="AE62" s="148"/>
      <c r="AF62" s="160" t="e">
        <f t="shared" ca="1" si="83"/>
        <v>#REF!</v>
      </c>
      <c r="AG62" s="161" t="e">
        <f t="shared" ca="1" si="94"/>
        <v>#REF!</v>
      </c>
      <c r="AH62" s="161" t="e">
        <f t="shared" ca="1" si="94"/>
        <v>#REF!</v>
      </c>
      <c r="AI62" s="161" t="e">
        <f t="shared" ca="1" si="94"/>
        <v>#REF!</v>
      </c>
      <c r="AJ62" s="161" t="e">
        <f t="shared" ca="1" si="94"/>
        <v>#REF!</v>
      </c>
      <c r="AK62" s="161" t="e">
        <f t="shared" ca="1" si="94"/>
        <v>#REF!</v>
      </c>
      <c r="AL62" s="161" t="e">
        <f t="shared" ca="1" si="94"/>
        <v>#REF!</v>
      </c>
      <c r="AM62" s="161" t="e">
        <f t="shared" ca="1" si="94"/>
        <v>#REF!</v>
      </c>
      <c r="AN62" s="161" t="e">
        <f t="shared" ca="1" si="94"/>
        <v>#REF!</v>
      </c>
      <c r="AO62" s="162" t="e">
        <f t="shared" ca="1" si="94"/>
        <v>#REF!</v>
      </c>
      <c r="AP62" s="163" t="e">
        <f t="shared" ca="1" si="77"/>
        <v>#REF!</v>
      </c>
      <c r="AQ62" s="148"/>
      <c r="AR62" s="160" t="e">
        <f t="shared" ca="1" si="84"/>
        <v>#REF!</v>
      </c>
      <c r="AS62" s="161" t="e">
        <f t="shared" ca="1" si="85"/>
        <v>#REF!</v>
      </c>
      <c r="AT62" s="161" t="e">
        <f t="shared" ca="1" si="86"/>
        <v>#REF!</v>
      </c>
      <c r="AU62" s="161" t="e">
        <f t="shared" ca="1" si="87"/>
        <v>#REF!</v>
      </c>
      <c r="AV62" s="161" t="e">
        <f t="shared" ca="1" si="88"/>
        <v>#REF!</v>
      </c>
      <c r="AW62" s="161" t="e">
        <f t="shared" ca="1" si="89"/>
        <v>#REF!</v>
      </c>
      <c r="AX62" s="161" t="e">
        <f t="shared" ca="1" si="90"/>
        <v>#REF!</v>
      </c>
      <c r="AY62" s="161" t="e">
        <f t="shared" ca="1" si="91"/>
        <v>#REF!</v>
      </c>
      <c r="AZ62" s="161" t="e">
        <f t="shared" ca="1" si="92"/>
        <v>#REF!</v>
      </c>
      <c r="BA62" s="162" t="e">
        <f t="shared" ca="1" si="93"/>
        <v>#REF!</v>
      </c>
      <c r="BB62" s="163" t="e">
        <f t="shared" ca="1" si="79"/>
        <v>#REF!</v>
      </c>
      <c r="BC62" s="148"/>
      <c r="BD62" s="163" t="e">
        <f t="shared" ca="1" si="80"/>
        <v>#REF!</v>
      </c>
    </row>
    <row r="63" spans="2:56" ht="17.100000000000001" customHeight="1">
      <c r="B63" s="577"/>
      <c r="C63" s="577"/>
      <c r="D63" s="25"/>
      <c r="E63" s="571"/>
      <c r="F63" s="571"/>
      <c r="G63" s="571"/>
      <c r="H63" s="571"/>
      <c r="I63" s="571"/>
      <c r="J63" s="571"/>
      <c r="K63" s="25"/>
      <c r="L63" s="25"/>
      <c r="M63" s="25"/>
      <c r="N63" s="571"/>
      <c r="O63" s="571"/>
      <c r="P63" s="571"/>
      <c r="Q63" s="571"/>
      <c r="R63" s="571"/>
      <c r="S63" s="571"/>
      <c r="T63" s="25"/>
      <c r="U63" s="25"/>
      <c r="V63" s="25"/>
      <c r="W63" s="571"/>
      <c r="X63" s="571"/>
      <c r="Y63" s="571"/>
      <c r="Z63" s="571"/>
      <c r="AA63" s="571"/>
      <c r="AB63" s="571"/>
      <c r="AC63" s="573"/>
      <c r="AD63" s="62" t="s">
        <v>39</v>
      </c>
      <c r="AE63" s="148"/>
      <c r="AF63" s="160" t="e">
        <f t="shared" ca="1" si="83"/>
        <v>#REF!</v>
      </c>
      <c r="AG63" s="161" t="e">
        <f t="shared" ca="1" si="94"/>
        <v>#REF!</v>
      </c>
      <c r="AH63" s="161" t="e">
        <f t="shared" ca="1" si="94"/>
        <v>#REF!</v>
      </c>
      <c r="AI63" s="161" t="e">
        <f t="shared" ca="1" si="94"/>
        <v>#REF!</v>
      </c>
      <c r="AJ63" s="161" t="e">
        <f t="shared" ca="1" si="94"/>
        <v>#REF!</v>
      </c>
      <c r="AK63" s="161" t="e">
        <f t="shared" ca="1" si="94"/>
        <v>#REF!</v>
      </c>
      <c r="AL63" s="161" t="e">
        <f t="shared" ca="1" si="94"/>
        <v>#REF!</v>
      </c>
      <c r="AM63" s="161" t="e">
        <f t="shared" ca="1" si="94"/>
        <v>#REF!</v>
      </c>
      <c r="AN63" s="161" t="e">
        <f t="shared" ca="1" si="94"/>
        <v>#REF!</v>
      </c>
      <c r="AO63" s="162" t="e">
        <f t="shared" ca="1" si="94"/>
        <v>#REF!</v>
      </c>
      <c r="AP63" s="163" t="e">
        <f t="shared" ca="1" si="77"/>
        <v>#REF!</v>
      </c>
      <c r="AQ63" s="148"/>
      <c r="AR63" s="160" t="e">
        <f t="shared" ca="1" si="84"/>
        <v>#REF!</v>
      </c>
      <c r="AS63" s="161" t="e">
        <f t="shared" ca="1" si="85"/>
        <v>#REF!</v>
      </c>
      <c r="AT63" s="161" t="e">
        <f t="shared" ca="1" si="86"/>
        <v>#REF!</v>
      </c>
      <c r="AU63" s="161" t="e">
        <f t="shared" ca="1" si="87"/>
        <v>#REF!</v>
      </c>
      <c r="AV63" s="161" t="e">
        <f t="shared" ca="1" si="88"/>
        <v>#REF!</v>
      </c>
      <c r="AW63" s="161" t="e">
        <f t="shared" ca="1" si="89"/>
        <v>#REF!</v>
      </c>
      <c r="AX63" s="161" t="e">
        <f t="shared" ca="1" si="90"/>
        <v>#REF!</v>
      </c>
      <c r="AY63" s="161" t="e">
        <f t="shared" ca="1" si="91"/>
        <v>#REF!</v>
      </c>
      <c r="AZ63" s="161" t="e">
        <f t="shared" ca="1" si="92"/>
        <v>#REF!</v>
      </c>
      <c r="BA63" s="162" t="e">
        <f t="shared" ca="1" si="93"/>
        <v>#REF!</v>
      </c>
      <c r="BB63" s="163" t="e">
        <f t="shared" ca="1" si="79"/>
        <v>#REF!</v>
      </c>
      <c r="BC63" s="148"/>
      <c r="BD63" s="163" t="e">
        <f t="shared" ca="1" si="80"/>
        <v>#REF!</v>
      </c>
    </row>
    <row r="64" spans="2:56" ht="17.100000000000001" customHeight="1">
      <c r="B64" s="577"/>
      <c r="C64" s="577"/>
      <c r="D64" s="25"/>
      <c r="E64" s="571"/>
      <c r="F64" s="571"/>
      <c r="G64" s="571"/>
      <c r="H64" s="571"/>
      <c r="I64" s="571"/>
      <c r="J64" s="571"/>
      <c r="K64" s="25"/>
      <c r="L64" s="25"/>
      <c r="M64" s="25"/>
      <c r="N64" s="571"/>
      <c r="O64" s="571"/>
      <c r="P64" s="571"/>
      <c r="Q64" s="571"/>
      <c r="R64" s="571"/>
      <c r="S64" s="571"/>
      <c r="T64" s="25"/>
      <c r="U64" s="25"/>
      <c r="V64" s="25"/>
      <c r="W64" s="571"/>
      <c r="X64" s="571"/>
      <c r="Y64" s="571"/>
      <c r="Z64" s="571"/>
      <c r="AA64" s="571"/>
      <c r="AB64" s="571"/>
      <c r="AC64" s="573"/>
      <c r="AD64" s="62" t="s">
        <v>40</v>
      </c>
      <c r="AE64" s="148"/>
      <c r="AF64" s="160" t="e">
        <f t="shared" ca="1" si="83"/>
        <v>#REF!</v>
      </c>
      <c r="AG64" s="161" t="e">
        <f t="shared" ca="1" si="94"/>
        <v>#REF!</v>
      </c>
      <c r="AH64" s="161" t="e">
        <f t="shared" ca="1" si="94"/>
        <v>#REF!</v>
      </c>
      <c r="AI64" s="161" t="e">
        <f t="shared" ca="1" si="94"/>
        <v>#REF!</v>
      </c>
      <c r="AJ64" s="161" t="e">
        <f t="shared" ca="1" si="94"/>
        <v>#REF!</v>
      </c>
      <c r="AK64" s="161" t="e">
        <f t="shared" ca="1" si="94"/>
        <v>#REF!</v>
      </c>
      <c r="AL64" s="161" t="e">
        <f t="shared" ca="1" si="94"/>
        <v>#REF!</v>
      </c>
      <c r="AM64" s="161" t="e">
        <f t="shared" ca="1" si="94"/>
        <v>#REF!</v>
      </c>
      <c r="AN64" s="161" t="e">
        <f t="shared" ca="1" si="94"/>
        <v>#REF!</v>
      </c>
      <c r="AO64" s="162" t="e">
        <f t="shared" ca="1" si="94"/>
        <v>#REF!</v>
      </c>
      <c r="AP64" s="163" t="e">
        <f t="shared" ca="1" si="77"/>
        <v>#REF!</v>
      </c>
      <c r="AQ64" s="148"/>
      <c r="AR64" s="160" t="e">
        <f t="shared" ca="1" si="84"/>
        <v>#REF!</v>
      </c>
      <c r="AS64" s="161" t="e">
        <f t="shared" ca="1" si="85"/>
        <v>#REF!</v>
      </c>
      <c r="AT64" s="161" t="e">
        <f t="shared" ca="1" si="86"/>
        <v>#REF!</v>
      </c>
      <c r="AU64" s="161" t="e">
        <f t="shared" ca="1" si="87"/>
        <v>#REF!</v>
      </c>
      <c r="AV64" s="161" t="e">
        <f t="shared" ca="1" si="88"/>
        <v>#REF!</v>
      </c>
      <c r="AW64" s="161" t="e">
        <f t="shared" ca="1" si="89"/>
        <v>#REF!</v>
      </c>
      <c r="AX64" s="161" t="e">
        <f t="shared" ca="1" si="90"/>
        <v>#REF!</v>
      </c>
      <c r="AY64" s="161" t="e">
        <f t="shared" ca="1" si="91"/>
        <v>#REF!</v>
      </c>
      <c r="AZ64" s="161" t="e">
        <f t="shared" ca="1" si="92"/>
        <v>#REF!</v>
      </c>
      <c r="BA64" s="162" t="e">
        <f t="shared" ca="1" si="93"/>
        <v>#REF!</v>
      </c>
      <c r="BB64" s="163" t="e">
        <f t="shared" ca="1" si="79"/>
        <v>#REF!</v>
      </c>
      <c r="BC64" s="148"/>
      <c r="BD64" s="163" t="e">
        <f t="shared" ca="1" si="80"/>
        <v>#REF!</v>
      </c>
    </row>
    <row r="65" spans="2:92" ht="17.100000000000001" customHeight="1">
      <c r="B65" s="577"/>
      <c r="C65" s="577"/>
      <c r="D65" s="25"/>
      <c r="E65" s="571"/>
      <c r="F65" s="571"/>
      <c r="G65" s="571"/>
      <c r="H65" s="571"/>
      <c r="I65" s="571"/>
      <c r="J65" s="571"/>
      <c r="K65" s="25"/>
      <c r="L65" s="25"/>
      <c r="M65" s="25"/>
      <c r="N65" s="571"/>
      <c r="O65" s="571"/>
      <c r="P65" s="571"/>
      <c r="Q65" s="571"/>
      <c r="R65" s="571"/>
      <c r="S65" s="571"/>
      <c r="T65" s="25"/>
      <c r="U65" s="25"/>
      <c r="V65" s="25"/>
      <c r="W65" s="571"/>
      <c r="X65" s="571"/>
      <c r="Y65" s="571"/>
      <c r="Z65" s="571"/>
      <c r="AA65" s="571"/>
      <c r="AB65" s="571"/>
      <c r="AC65" s="573"/>
      <c r="AD65" s="62" t="s">
        <v>41</v>
      </c>
      <c r="AE65" s="148"/>
      <c r="AF65" s="160" t="e">
        <f t="shared" ca="1" si="83"/>
        <v>#REF!</v>
      </c>
      <c r="AG65" s="161" t="e">
        <f t="shared" ca="1" si="94"/>
        <v>#REF!</v>
      </c>
      <c r="AH65" s="161" t="e">
        <f t="shared" ca="1" si="94"/>
        <v>#REF!</v>
      </c>
      <c r="AI65" s="161" t="e">
        <f t="shared" ca="1" si="94"/>
        <v>#REF!</v>
      </c>
      <c r="AJ65" s="161" t="e">
        <f t="shared" ca="1" si="94"/>
        <v>#REF!</v>
      </c>
      <c r="AK65" s="161" t="e">
        <f t="shared" ca="1" si="94"/>
        <v>#REF!</v>
      </c>
      <c r="AL65" s="161" t="e">
        <f t="shared" ca="1" si="94"/>
        <v>#REF!</v>
      </c>
      <c r="AM65" s="161" t="e">
        <f t="shared" ca="1" si="94"/>
        <v>#REF!</v>
      </c>
      <c r="AN65" s="161" t="e">
        <f t="shared" ca="1" si="94"/>
        <v>#REF!</v>
      </c>
      <c r="AO65" s="162" t="e">
        <f t="shared" ca="1" si="94"/>
        <v>#REF!</v>
      </c>
      <c r="AP65" s="163" t="e">
        <f t="shared" ca="1" si="77"/>
        <v>#REF!</v>
      </c>
      <c r="AQ65" s="148"/>
      <c r="AR65" s="160" t="e">
        <f t="shared" ca="1" si="84"/>
        <v>#REF!</v>
      </c>
      <c r="AS65" s="161" t="e">
        <f t="shared" ca="1" si="85"/>
        <v>#REF!</v>
      </c>
      <c r="AT65" s="161" t="e">
        <f t="shared" ca="1" si="86"/>
        <v>#REF!</v>
      </c>
      <c r="AU65" s="161" t="e">
        <f t="shared" ca="1" si="87"/>
        <v>#REF!</v>
      </c>
      <c r="AV65" s="161" t="e">
        <f t="shared" ca="1" si="88"/>
        <v>#REF!</v>
      </c>
      <c r="AW65" s="161" t="e">
        <f t="shared" ca="1" si="89"/>
        <v>#REF!</v>
      </c>
      <c r="AX65" s="161" t="e">
        <f t="shared" ca="1" si="90"/>
        <v>#REF!</v>
      </c>
      <c r="AY65" s="161" t="e">
        <f t="shared" ca="1" si="91"/>
        <v>#REF!</v>
      </c>
      <c r="AZ65" s="161" t="e">
        <f t="shared" ca="1" si="92"/>
        <v>#REF!</v>
      </c>
      <c r="BA65" s="162" t="e">
        <f t="shared" ca="1" si="93"/>
        <v>#REF!</v>
      </c>
      <c r="BB65" s="163" t="e">
        <f t="shared" ca="1" si="79"/>
        <v>#REF!</v>
      </c>
      <c r="BC65" s="148"/>
      <c r="BD65" s="163" t="e">
        <f t="shared" ca="1" si="80"/>
        <v>#REF!</v>
      </c>
    </row>
    <row r="66" spans="2:92" ht="17.100000000000001" customHeight="1">
      <c r="B66" s="577"/>
      <c r="C66" s="577"/>
      <c r="D66" s="25"/>
      <c r="E66" s="571"/>
      <c r="F66" s="571"/>
      <c r="G66" s="571"/>
      <c r="H66" s="571"/>
      <c r="I66" s="571"/>
      <c r="J66" s="571"/>
      <c r="K66" s="25"/>
      <c r="L66" s="25"/>
      <c r="M66" s="25"/>
      <c r="N66" s="571"/>
      <c r="O66" s="571"/>
      <c r="P66" s="571"/>
      <c r="Q66" s="571"/>
      <c r="R66" s="571"/>
      <c r="S66" s="571"/>
      <c r="T66" s="25"/>
      <c r="U66" s="25"/>
      <c r="V66" s="25"/>
      <c r="W66" s="571"/>
      <c r="X66" s="571"/>
      <c r="Y66" s="571"/>
      <c r="Z66" s="571"/>
      <c r="AA66" s="571"/>
      <c r="AB66" s="571"/>
      <c r="AC66" s="573"/>
      <c r="AD66" s="62" t="s">
        <v>42</v>
      </c>
      <c r="AE66" s="148"/>
      <c r="AF66" s="160" t="e">
        <f t="shared" ca="1" si="83"/>
        <v>#REF!</v>
      </c>
      <c r="AG66" s="161" t="e">
        <f t="shared" ca="1" si="94"/>
        <v>#REF!</v>
      </c>
      <c r="AH66" s="161" t="e">
        <f t="shared" ca="1" si="94"/>
        <v>#REF!</v>
      </c>
      <c r="AI66" s="161" t="e">
        <f t="shared" ca="1" si="94"/>
        <v>#REF!</v>
      </c>
      <c r="AJ66" s="161" t="e">
        <f t="shared" ca="1" si="94"/>
        <v>#REF!</v>
      </c>
      <c r="AK66" s="161" t="e">
        <f t="shared" ca="1" si="94"/>
        <v>#REF!</v>
      </c>
      <c r="AL66" s="161" t="e">
        <f t="shared" ca="1" si="94"/>
        <v>#REF!</v>
      </c>
      <c r="AM66" s="161" t="e">
        <f t="shared" ca="1" si="94"/>
        <v>#REF!</v>
      </c>
      <c r="AN66" s="161" t="e">
        <f t="shared" ca="1" si="94"/>
        <v>#REF!</v>
      </c>
      <c r="AO66" s="162" t="e">
        <f t="shared" ca="1" si="94"/>
        <v>#REF!</v>
      </c>
      <c r="AP66" s="163" t="e">
        <f t="shared" ca="1" si="77"/>
        <v>#REF!</v>
      </c>
      <c r="AQ66" s="148"/>
      <c r="AR66" s="160" t="e">
        <f t="shared" ca="1" si="84"/>
        <v>#REF!</v>
      </c>
      <c r="AS66" s="161" t="e">
        <f t="shared" ca="1" si="85"/>
        <v>#REF!</v>
      </c>
      <c r="AT66" s="161" t="e">
        <f t="shared" ca="1" si="86"/>
        <v>#REF!</v>
      </c>
      <c r="AU66" s="161" t="e">
        <f t="shared" ca="1" si="87"/>
        <v>#REF!</v>
      </c>
      <c r="AV66" s="161" t="e">
        <f t="shared" ca="1" si="88"/>
        <v>#REF!</v>
      </c>
      <c r="AW66" s="161" t="e">
        <f t="shared" ca="1" si="89"/>
        <v>#REF!</v>
      </c>
      <c r="AX66" s="161" t="e">
        <f t="shared" ca="1" si="90"/>
        <v>#REF!</v>
      </c>
      <c r="AY66" s="161" t="e">
        <f t="shared" ca="1" si="91"/>
        <v>#REF!</v>
      </c>
      <c r="AZ66" s="161" t="e">
        <f t="shared" ca="1" si="92"/>
        <v>#REF!</v>
      </c>
      <c r="BA66" s="162" t="e">
        <f t="shared" ca="1" si="93"/>
        <v>#REF!</v>
      </c>
      <c r="BB66" s="163" t="e">
        <f t="shared" ca="1" si="79"/>
        <v>#REF!</v>
      </c>
      <c r="BC66" s="148"/>
      <c r="BD66" s="163" t="e">
        <f t="shared" ca="1" si="80"/>
        <v>#REF!</v>
      </c>
    </row>
    <row r="67" spans="2:92" ht="17.100000000000001" customHeight="1">
      <c r="B67" s="577"/>
      <c r="C67" s="577"/>
      <c r="D67" s="25"/>
      <c r="E67" s="571"/>
      <c r="F67" s="571"/>
      <c r="G67" s="571"/>
      <c r="H67" s="571"/>
      <c r="I67" s="571"/>
      <c r="J67" s="571"/>
      <c r="K67" s="25"/>
      <c r="L67" s="25"/>
      <c r="M67" s="25"/>
      <c r="N67" s="571"/>
      <c r="O67" s="571"/>
      <c r="P67" s="571"/>
      <c r="Q67" s="571"/>
      <c r="R67" s="571"/>
      <c r="S67" s="571"/>
      <c r="T67" s="25"/>
      <c r="U67" s="25"/>
      <c r="V67" s="25"/>
      <c r="W67" s="571"/>
      <c r="X67" s="571"/>
      <c r="Y67" s="571"/>
      <c r="Z67" s="571"/>
      <c r="AA67" s="571"/>
      <c r="AB67" s="571"/>
      <c r="AC67" s="573"/>
      <c r="AD67" s="62" t="s">
        <v>43</v>
      </c>
      <c r="AE67" s="148"/>
      <c r="AF67" s="160" t="e">
        <f t="shared" ca="1" si="83"/>
        <v>#REF!</v>
      </c>
      <c r="AG67" s="161" t="e">
        <f t="shared" ca="1" si="94"/>
        <v>#REF!</v>
      </c>
      <c r="AH67" s="161" t="e">
        <f t="shared" ca="1" si="94"/>
        <v>#REF!</v>
      </c>
      <c r="AI67" s="161" t="e">
        <f t="shared" ca="1" si="94"/>
        <v>#REF!</v>
      </c>
      <c r="AJ67" s="161" t="e">
        <f t="shared" ca="1" si="94"/>
        <v>#REF!</v>
      </c>
      <c r="AK67" s="161" t="e">
        <f t="shared" ca="1" si="94"/>
        <v>#REF!</v>
      </c>
      <c r="AL67" s="161" t="e">
        <f t="shared" ca="1" si="94"/>
        <v>#REF!</v>
      </c>
      <c r="AM67" s="161" t="e">
        <f t="shared" ca="1" si="94"/>
        <v>#REF!</v>
      </c>
      <c r="AN67" s="161" t="e">
        <f t="shared" ca="1" si="94"/>
        <v>#REF!</v>
      </c>
      <c r="AO67" s="162" t="e">
        <f t="shared" ca="1" si="94"/>
        <v>#REF!</v>
      </c>
      <c r="AP67" s="163" t="e">
        <f t="shared" ca="1" si="77"/>
        <v>#REF!</v>
      </c>
      <c r="AQ67" s="148"/>
      <c r="AR67" s="160" t="e">
        <f t="shared" ca="1" si="84"/>
        <v>#REF!</v>
      </c>
      <c r="AS67" s="161" t="e">
        <f t="shared" ca="1" si="85"/>
        <v>#REF!</v>
      </c>
      <c r="AT67" s="161" t="e">
        <f t="shared" ca="1" si="86"/>
        <v>#REF!</v>
      </c>
      <c r="AU67" s="161" t="e">
        <f t="shared" ca="1" si="87"/>
        <v>#REF!</v>
      </c>
      <c r="AV67" s="161" t="e">
        <f t="shared" ca="1" si="88"/>
        <v>#REF!</v>
      </c>
      <c r="AW67" s="161" t="e">
        <f t="shared" ca="1" si="89"/>
        <v>#REF!</v>
      </c>
      <c r="AX67" s="161" t="e">
        <f t="shared" ca="1" si="90"/>
        <v>#REF!</v>
      </c>
      <c r="AY67" s="161" t="e">
        <f t="shared" ca="1" si="91"/>
        <v>#REF!</v>
      </c>
      <c r="AZ67" s="161" t="e">
        <f t="shared" ca="1" si="92"/>
        <v>#REF!</v>
      </c>
      <c r="BA67" s="162" t="e">
        <f t="shared" ca="1" si="93"/>
        <v>#REF!</v>
      </c>
      <c r="BB67" s="163" t="e">
        <f t="shared" ca="1" si="79"/>
        <v>#REF!</v>
      </c>
      <c r="BC67" s="148"/>
      <c r="BD67" s="163" t="e">
        <f t="shared" ca="1" si="80"/>
        <v>#REF!</v>
      </c>
    </row>
    <row r="68" spans="2:92" ht="17.100000000000001" customHeight="1">
      <c r="B68" s="577"/>
      <c r="C68" s="577"/>
      <c r="D68" s="25"/>
      <c r="E68" s="571"/>
      <c r="F68" s="571"/>
      <c r="G68" s="571"/>
      <c r="H68" s="571"/>
      <c r="I68" s="571"/>
      <c r="J68" s="571"/>
      <c r="K68" s="25"/>
      <c r="L68" s="25"/>
      <c r="M68" s="25"/>
      <c r="N68" s="571"/>
      <c r="O68" s="571"/>
      <c r="P68" s="571"/>
      <c r="Q68" s="571"/>
      <c r="R68" s="571"/>
      <c r="S68" s="571"/>
      <c r="T68" s="25"/>
      <c r="U68" s="25"/>
      <c r="V68" s="25"/>
      <c r="W68" s="571"/>
      <c r="X68" s="571"/>
      <c r="Y68" s="571"/>
      <c r="Z68" s="571"/>
      <c r="AA68" s="571"/>
      <c r="AB68" s="571"/>
      <c r="AC68" s="573"/>
      <c r="AD68" s="62" t="s">
        <v>44</v>
      </c>
      <c r="AE68" s="148"/>
      <c r="AF68" s="160" t="e">
        <f t="shared" ca="1" si="83"/>
        <v>#REF!</v>
      </c>
      <c r="AG68" s="161" t="e">
        <f t="shared" ca="1" si="94"/>
        <v>#REF!</v>
      </c>
      <c r="AH68" s="161" t="e">
        <f t="shared" ca="1" si="94"/>
        <v>#REF!</v>
      </c>
      <c r="AI68" s="161" t="e">
        <f t="shared" ca="1" si="94"/>
        <v>#REF!</v>
      </c>
      <c r="AJ68" s="161" t="e">
        <f t="shared" ca="1" si="94"/>
        <v>#REF!</v>
      </c>
      <c r="AK68" s="161" t="e">
        <f t="shared" ca="1" si="94"/>
        <v>#REF!</v>
      </c>
      <c r="AL68" s="161" t="e">
        <f t="shared" ca="1" si="94"/>
        <v>#REF!</v>
      </c>
      <c r="AM68" s="161" t="e">
        <f t="shared" ca="1" si="94"/>
        <v>#REF!</v>
      </c>
      <c r="AN68" s="161" t="e">
        <f t="shared" ca="1" si="94"/>
        <v>#REF!</v>
      </c>
      <c r="AO68" s="162" t="e">
        <f t="shared" ca="1" si="94"/>
        <v>#REF!</v>
      </c>
      <c r="AP68" s="163" t="e">
        <f t="shared" ca="1" si="77"/>
        <v>#REF!</v>
      </c>
      <c r="AQ68" s="148"/>
      <c r="AR68" s="160" t="e">
        <f t="shared" ca="1" si="84"/>
        <v>#REF!</v>
      </c>
      <c r="AS68" s="161" t="e">
        <f t="shared" ca="1" si="85"/>
        <v>#REF!</v>
      </c>
      <c r="AT68" s="161" t="e">
        <f t="shared" ca="1" si="86"/>
        <v>#REF!</v>
      </c>
      <c r="AU68" s="161" t="e">
        <f t="shared" ca="1" si="87"/>
        <v>#REF!</v>
      </c>
      <c r="AV68" s="161" t="e">
        <f t="shared" ca="1" si="88"/>
        <v>#REF!</v>
      </c>
      <c r="AW68" s="161" t="e">
        <f t="shared" ca="1" si="89"/>
        <v>#REF!</v>
      </c>
      <c r="AX68" s="161" t="e">
        <f t="shared" ca="1" si="90"/>
        <v>#REF!</v>
      </c>
      <c r="AY68" s="161" t="e">
        <f t="shared" ca="1" si="91"/>
        <v>#REF!</v>
      </c>
      <c r="AZ68" s="161" t="e">
        <f t="shared" ca="1" si="92"/>
        <v>#REF!</v>
      </c>
      <c r="BA68" s="162" t="e">
        <f t="shared" ca="1" si="93"/>
        <v>#REF!</v>
      </c>
      <c r="BB68" s="163" t="e">
        <f t="shared" ca="1" si="79"/>
        <v>#REF!</v>
      </c>
      <c r="BC68" s="148"/>
      <c r="BD68" s="163" t="e">
        <f t="shared" ca="1" si="80"/>
        <v>#REF!</v>
      </c>
    </row>
    <row r="69" spans="2:92" ht="17.100000000000001" customHeight="1">
      <c r="B69" s="577"/>
      <c r="C69" s="577"/>
      <c r="D69" s="25"/>
      <c r="E69" s="571"/>
      <c r="F69" s="571"/>
      <c r="G69" s="571"/>
      <c r="H69" s="571"/>
      <c r="I69" s="571"/>
      <c r="J69" s="571"/>
      <c r="K69" s="25"/>
      <c r="L69" s="25"/>
      <c r="M69" s="25"/>
      <c r="N69" s="571"/>
      <c r="O69" s="571"/>
      <c r="P69" s="571"/>
      <c r="Q69" s="571"/>
      <c r="R69" s="571"/>
      <c r="S69" s="571"/>
      <c r="T69" s="25"/>
      <c r="U69" s="25"/>
      <c r="V69" s="25"/>
      <c r="W69" s="571"/>
      <c r="X69" s="571"/>
      <c r="Y69" s="571"/>
      <c r="Z69" s="571"/>
      <c r="AA69" s="571"/>
      <c r="AB69" s="571"/>
      <c r="AC69" s="573"/>
      <c r="AD69" s="62" t="s">
        <v>45</v>
      </c>
      <c r="AE69" s="148"/>
      <c r="AF69" s="160" t="e">
        <f t="shared" ca="1" si="83"/>
        <v>#REF!</v>
      </c>
      <c r="AG69" s="161" t="e">
        <f t="shared" ca="1" si="94"/>
        <v>#REF!</v>
      </c>
      <c r="AH69" s="161" t="e">
        <f t="shared" ca="1" si="94"/>
        <v>#REF!</v>
      </c>
      <c r="AI69" s="161" t="e">
        <f t="shared" ca="1" si="94"/>
        <v>#REF!</v>
      </c>
      <c r="AJ69" s="161" t="e">
        <f t="shared" ca="1" si="94"/>
        <v>#REF!</v>
      </c>
      <c r="AK69" s="161" t="e">
        <f t="shared" ca="1" si="94"/>
        <v>#REF!</v>
      </c>
      <c r="AL69" s="161" t="e">
        <f t="shared" ca="1" si="94"/>
        <v>#REF!</v>
      </c>
      <c r="AM69" s="161" t="e">
        <f t="shared" ca="1" si="94"/>
        <v>#REF!</v>
      </c>
      <c r="AN69" s="161" t="e">
        <f t="shared" ca="1" si="94"/>
        <v>#REF!</v>
      </c>
      <c r="AO69" s="162" t="e">
        <f t="shared" ca="1" si="94"/>
        <v>#REF!</v>
      </c>
      <c r="AP69" s="163" t="e">
        <f t="shared" ca="1" si="77"/>
        <v>#REF!</v>
      </c>
      <c r="AQ69" s="148"/>
      <c r="AR69" s="160" t="e">
        <f t="shared" ca="1" si="84"/>
        <v>#REF!</v>
      </c>
      <c r="AS69" s="161" t="e">
        <f t="shared" ca="1" si="85"/>
        <v>#REF!</v>
      </c>
      <c r="AT69" s="161" t="e">
        <f t="shared" ca="1" si="86"/>
        <v>#REF!</v>
      </c>
      <c r="AU69" s="161" t="e">
        <f t="shared" ca="1" si="87"/>
        <v>#REF!</v>
      </c>
      <c r="AV69" s="161" t="e">
        <f t="shared" ca="1" si="88"/>
        <v>#REF!</v>
      </c>
      <c r="AW69" s="161" t="e">
        <f t="shared" ca="1" si="89"/>
        <v>#REF!</v>
      </c>
      <c r="AX69" s="161" t="e">
        <f t="shared" ca="1" si="90"/>
        <v>#REF!</v>
      </c>
      <c r="AY69" s="161" t="e">
        <f t="shared" ca="1" si="91"/>
        <v>#REF!</v>
      </c>
      <c r="AZ69" s="161" t="e">
        <f t="shared" ca="1" si="92"/>
        <v>#REF!</v>
      </c>
      <c r="BA69" s="162" t="e">
        <f t="shared" ca="1" si="93"/>
        <v>#REF!</v>
      </c>
      <c r="BB69" s="163" t="e">
        <f t="shared" ca="1" si="79"/>
        <v>#REF!</v>
      </c>
      <c r="BC69" s="148"/>
      <c r="BD69" s="163" t="e">
        <f t="shared" ca="1" si="80"/>
        <v>#REF!</v>
      </c>
    </row>
    <row r="70" spans="2:92" ht="17.100000000000001" customHeight="1">
      <c r="B70" s="577"/>
      <c r="C70" s="577"/>
      <c r="D70" s="25"/>
      <c r="E70" s="571"/>
      <c r="F70" s="571"/>
      <c r="G70" s="571"/>
      <c r="H70" s="571"/>
      <c r="I70" s="571"/>
      <c r="J70" s="571"/>
      <c r="K70" s="25"/>
      <c r="L70" s="25"/>
      <c r="M70" s="25"/>
      <c r="N70" s="571"/>
      <c r="O70" s="571"/>
      <c r="P70" s="571"/>
      <c r="Q70" s="571"/>
      <c r="R70" s="571"/>
      <c r="S70" s="571"/>
      <c r="T70" s="25"/>
      <c r="U70" s="25"/>
      <c r="V70" s="25"/>
      <c r="W70" s="571"/>
      <c r="X70" s="571"/>
      <c r="Y70" s="571"/>
      <c r="Z70" s="571"/>
      <c r="AA70" s="571"/>
      <c r="AB70" s="571"/>
      <c r="AC70" s="573"/>
      <c r="AD70" s="62" t="s">
        <v>46</v>
      </c>
      <c r="AE70" s="148"/>
      <c r="AF70" s="160" t="e">
        <f t="shared" ca="1" si="83"/>
        <v>#REF!</v>
      </c>
      <c r="AG70" s="161" t="e">
        <f t="shared" ca="1" si="94"/>
        <v>#REF!</v>
      </c>
      <c r="AH70" s="161" t="e">
        <f t="shared" ca="1" si="94"/>
        <v>#REF!</v>
      </c>
      <c r="AI70" s="161" t="e">
        <f t="shared" ca="1" si="94"/>
        <v>#REF!</v>
      </c>
      <c r="AJ70" s="161" t="e">
        <f t="shared" ca="1" si="94"/>
        <v>#REF!</v>
      </c>
      <c r="AK70" s="161" t="e">
        <f t="shared" ca="1" si="94"/>
        <v>#REF!</v>
      </c>
      <c r="AL70" s="161" t="e">
        <f t="shared" ca="1" si="94"/>
        <v>#REF!</v>
      </c>
      <c r="AM70" s="161" t="e">
        <f t="shared" ca="1" si="94"/>
        <v>#REF!</v>
      </c>
      <c r="AN70" s="161" t="e">
        <f t="shared" ca="1" si="94"/>
        <v>#REF!</v>
      </c>
      <c r="AO70" s="162" t="e">
        <f t="shared" ca="1" si="94"/>
        <v>#REF!</v>
      </c>
      <c r="AP70" s="163" t="e">
        <f t="shared" ca="1" si="77"/>
        <v>#REF!</v>
      </c>
      <c r="AQ70" s="148"/>
      <c r="AR70" s="160" t="e">
        <f t="shared" ca="1" si="84"/>
        <v>#REF!</v>
      </c>
      <c r="AS70" s="161" t="e">
        <f t="shared" ca="1" si="85"/>
        <v>#REF!</v>
      </c>
      <c r="AT70" s="161" t="e">
        <f t="shared" ca="1" si="86"/>
        <v>#REF!</v>
      </c>
      <c r="AU70" s="161" t="e">
        <f t="shared" ca="1" si="87"/>
        <v>#REF!</v>
      </c>
      <c r="AV70" s="161" t="e">
        <f t="shared" ca="1" si="88"/>
        <v>#REF!</v>
      </c>
      <c r="AW70" s="161" t="e">
        <f t="shared" ca="1" si="89"/>
        <v>#REF!</v>
      </c>
      <c r="AX70" s="161" t="e">
        <f t="shared" ca="1" si="90"/>
        <v>#REF!</v>
      </c>
      <c r="AY70" s="161" t="e">
        <f t="shared" ca="1" si="91"/>
        <v>#REF!</v>
      </c>
      <c r="AZ70" s="161" t="e">
        <f t="shared" ca="1" si="92"/>
        <v>#REF!</v>
      </c>
      <c r="BA70" s="162" t="e">
        <f t="shared" ca="1" si="93"/>
        <v>#REF!</v>
      </c>
      <c r="BB70" s="163" t="e">
        <f t="shared" ca="1" si="79"/>
        <v>#REF!</v>
      </c>
      <c r="BC70" s="148"/>
      <c r="BD70" s="163" t="e">
        <f t="shared" ca="1" si="80"/>
        <v>#REF!</v>
      </c>
    </row>
    <row r="71" spans="2:92" ht="17.100000000000001" customHeight="1" thickBot="1">
      <c r="B71" s="577"/>
      <c r="C71" s="577"/>
      <c r="D71" s="223"/>
      <c r="E71" s="572"/>
      <c r="F71" s="572"/>
      <c r="G71" s="572"/>
      <c r="H71" s="572"/>
      <c r="I71" s="572"/>
      <c r="J71" s="572"/>
      <c r="K71" s="223"/>
      <c r="L71" s="223"/>
      <c r="M71" s="223"/>
      <c r="N71" s="572"/>
      <c r="O71" s="572"/>
      <c r="P71" s="572"/>
      <c r="Q71" s="572"/>
      <c r="R71" s="572"/>
      <c r="S71" s="572"/>
      <c r="T71" s="223"/>
      <c r="U71" s="223"/>
      <c r="V71" s="223"/>
      <c r="W71" s="572"/>
      <c r="X71" s="572"/>
      <c r="Y71" s="572"/>
      <c r="Z71" s="572"/>
      <c r="AA71" s="572"/>
      <c r="AB71" s="572"/>
      <c r="AC71" s="573"/>
      <c r="AD71" s="171" t="s">
        <v>24</v>
      </c>
      <c r="AE71" s="148"/>
      <c r="AF71" s="172" t="e">
        <f t="shared" ca="1" si="83"/>
        <v>#REF!</v>
      </c>
      <c r="AG71" s="173" t="e">
        <f t="shared" ca="1" si="94"/>
        <v>#REF!</v>
      </c>
      <c r="AH71" s="173" t="e">
        <f t="shared" ca="1" si="94"/>
        <v>#REF!</v>
      </c>
      <c r="AI71" s="173" t="e">
        <f t="shared" ca="1" si="94"/>
        <v>#REF!</v>
      </c>
      <c r="AJ71" s="173" t="e">
        <f t="shared" ca="1" si="94"/>
        <v>#REF!</v>
      </c>
      <c r="AK71" s="173" t="e">
        <f t="shared" ca="1" si="94"/>
        <v>#REF!</v>
      </c>
      <c r="AL71" s="173" t="e">
        <f t="shared" ca="1" si="94"/>
        <v>#REF!</v>
      </c>
      <c r="AM71" s="173" t="e">
        <f t="shared" ca="1" si="94"/>
        <v>#REF!</v>
      </c>
      <c r="AN71" s="173" t="e">
        <f t="shared" ca="1" si="94"/>
        <v>#REF!</v>
      </c>
      <c r="AO71" s="174" t="e">
        <f t="shared" ca="1" si="94"/>
        <v>#REF!</v>
      </c>
      <c r="AP71" s="175" t="e">
        <f t="shared" ca="1" si="77"/>
        <v>#REF!</v>
      </c>
      <c r="AQ71" s="148"/>
      <c r="AR71" s="172" t="e">
        <f t="shared" ca="1" si="84"/>
        <v>#REF!</v>
      </c>
      <c r="AS71" s="173" t="e">
        <f t="shared" ca="1" si="85"/>
        <v>#REF!</v>
      </c>
      <c r="AT71" s="173" t="e">
        <f t="shared" ca="1" si="86"/>
        <v>#REF!</v>
      </c>
      <c r="AU71" s="173" t="e">
        <f t="shared" ca="1" si="87"/>
        <v>#REF!</v>
      </c>
      <c r="AV71" s="173" t="e">
        <f t="shared" ca="1" si="88"/>
        <v>#REF!</v>
      </c>
      <c r="AW71" s="173" t="e">
        <f t="shared" ca="1" si="89"/>
        <v>#REF!</v>
      </c>
      <c r="AX71" s="173" t="e">
        <f t="shared" ca="1" si="90"/>
        <v>#REF!</v>
      </c>
      <c r="AY71" s="173" t="e">
        <f t="shared" ca="1" si="91"/>
        <v>#REF!</v>
      </c>
      <c r="AZ71" s="173" t="e">
        <f t="shared" ca="1" si="92"/>
        <v>#REF!</v>
      </c>
      <c r="BA71" s="174" t="e">
        <f t="shared" ca="1" si="93"/>
        <v>#REF!</v>
      </c>
      <c r="BB71" s="175" t="e">
        <f t="shared" ca="1" si="79"/>
        <v>#REF!</v>
      </c>
      <c r="BC71" s="148"/>
      <c r="BD71" s="175" t="e">
        <f t="shared" ca="1" si="80"/>
        <v>#REF!</v>
      </c>
    </row>
    <row r="72" spans="2:92" ht="17.100000000000001" customHeight="1" thickBot="1">
      <c r="B72" s="577"/>
      <c r="C72" s="577"/>
      <c r="D72" s="223"/>
      <c r="E72" s="221"/>
      <c r="F72" s="221"/>
      <c r="G72" s="221"/>
      <c r="H72" s="221"/>
      <c r="I72" s="221"/>
      <c r="J72" s="221"/>
      <c r="K72" s="223"/>
      <c r="L72" s="223"/>
      <c r="M72" s="223"/>
      <c r="N72" s="221"/>
      <c r="O72" s="221"/>
      <c r="P72" s="221"/>
      <c r="Q72" s="221"/>
      <c r="R72" s="221"/>
      <c r="S72" s="221"/>
      <c r="T72" s="223"/>
      <c r="U72" s="223"/>
      <c r="V72" s="223"/>
      <c r="W72" s="221"/>
      <c r="X72" s="221"/>
      <c r="Y72" s="221"/>
      <c r="Z72" s="221"/>
      <c r="AA72" s="221"/>
      <c r="AB72" s="221"/>
      <c r="AC72" s="573"/>
      <c r="AD72" s="183" t="s">
        <v>47</v>
      </c>
      <c r="AE72" s="184"/>
      <c r="AF72" s="185" t="e">
        <f t="shared" ref="AF72:AO72" ca="1" si="95">SUM(AF48:AF71)</f>
        <v>#REF!</v>
      </c>
      <c r="AG72" s="185" t="e">
        <f t="shared" ca="1" si="95"/>
        <v>#REF!</v>
      </c>
      <c r="AH72" s="185" t="e">
        <f t="shared" ca="1" si="95"/>
        <v>#REF!</v>
      </c>
      <c r="AI72" s="185" t="e">
        <f t="shared" ca="1" si="95"/>
        <v>#REF!</v>
      </c>
      <c r="AJ72" s="185" t="e">
        <f t="shared" ca="1" si="95"/>
        <v>#REF!</v>
      </c>
      <c r="AK72" s="185" t="e">
        <f t="shared" ca="1" si="95"/>
        <v>#REF!</v>
      </c>
      <c r="AL72" s="185" t="e">
        <f t="shared" ca="1" si="95"/>
        <v>#REF!</v>
      </c>
      <c r="AM72" s="185" t="e">
        <f t="shared" ca="1" si="95"/>
        <v>#REF!</v>
      </c>
      <c r="AN72" s="185" t="e">
        <f t="shared" ca="1" si="95"/>
        <v>#REF!</v>
      </c>
      <c r="AO72" s="185" t="e">
        <f t="shared" ca="1" si="95"/>
        <v>#REF!</v>
      </c>
      <c r="AP72" s="186" t="e">
        <f t="shared" ca="1" si="77"/>
        <v>#REF!</v>
      </c>
      <c r="AQ72" s="184"/>
      <c r="AR72" s="185" t="e">
        <f t="shared" ref="AR72:BA72" ca="1" si="96">SUM(AR48:AR71)</f>
        <v>#REF!</v>
      </c>
      <c r="AS72" s="185" t="e">
        <f t="shared" ca="1" si="96"/>
        <v>#REF!</v>
      </c>
      <c r="AT72" s="185" t="e">
        <f t="shared" ca="1" si="96"/>
        <v>#REF!</v>
      </c>
      <c r="AU72" s="185" t="e">
        <f t="shared" ca="1" si="96"/>
        <v>#REF!</v>
      </c>
      <c r="AV72" s="185" t="e">
        <f t="shared" ca="1" si="96"/>
        <v>#REF!</v>
      </c>
      <c r="AW72" s="185" t="e">
        <f t="shared" ca="1" si="96"/>
        <v>#REF!</v>
      </c>
      <c r="AX72" s="185" t="e">
        <f t="shared" ca="1" si="96"/>
        <v>#REF!</v>
      </c>
      <c r="AY72" s="185" t="e">
        <f t="shared" ca="1" si="96"/>
        <v>#REF!</v>
      </c>
      <c r="AZ72" s="185" t="e">
        <f t="shared" ca="1" si="96"/>
        <v>#REF!</v>
      </c>
      <c r="BA72" s="185" t="e">
        <f t="shared" ca="1" si="96"/>
        <v>#REF!</v>
      </c>
      <c r="BB72" s="186" t="e">
        <f t="shared" ca="1" si="79"/>
        <v>#REF!</v>
      </c>
      <c r="BC72" s="184"/>
      <c r="BD72" s="187" t="e">
        <f t="shared" ca="1" si="80"/>
        <v>#REF!</v>
      </c>
    </row>
    <row r="73" spans="2:92" ht="18.899999999999999" customHeight="1">
      <c r="B73" s="577"/>
      <c r="C73" s="577"/>
      <c r="D73" s="223"/>
      <c r="E73" s="223"/>
      <c r="F73" s="223"/>
      <c r="G73" s="223"/>
      <c r="H73" s="223"/>
      <c r="I73" s="223"/>
      <c r="J73" s="223"/>
      <c r="K73" s="223"/>
      <c r="L73" s="223"/>
      <c r="M73" s="223"/>
      <c r="N73" s="223"/>
      <c r="O73" s="222"/>
      <c r="P73" s="223"/>
      <c r="Q73" s="223"/>
      <c r="R73" s="223"/>
      <c r="S73" s="223"/>
      <c r="T73" s="223"/>
      <c r="U73" s="223"/>
      <c r="V73" s="223"/>
      <c r="W73" s="223"/>
      <c r="X73" s="223"/>
      <c r="Y73" s="223"/>
      <c r="Z73" s="223"/>
      <c r="AA73" s="222"/>
      <c r="AB73" s="236"/>
      <c r="AC73" s="93"/>
      <c r="AD73" s="90"/>
      <c r="AE73" s="91"/>
      <c r="AF73" s="92"/>
      <c r="AG73" s="92"/>
      <c r="AH73" s="92"/>
      <c r="AI73" s="92"/>
      <c r="AJ73" s="92"/>
      <c r="AK73" s="92"/>
      <c r="AL73" s="92"/>
      <c r="AM73" s="92"/>
      <c r="AN73" s="92"/>
      <c r="AO73" s="92"/>
      <c r="AP73" s="92"/>
      <c r="AQ73" s="91"/>
      <c r="AR73" s="92"/>
      <c r="AS73" s="92"/>
      <c r="AT73" s="92"/>
      <c r="AU73" s="92"/>
      <c r="AV73" s="92"/>
      <c r="AW73" s="92"/>
      <c r="AX73" s="92"/>
      <c r="AY73" s="92"/>
      <c r="AZ73" s="92"/>
      <c r="BA73" s="92"/>
      <c r="BB73" s="92"/>
      <c r="BC73" s="91"/>
      <c r="BD73" s="93"/>
    </row>
    <row r="74" spans="2:92" ht="18.899999999999999" customHeight="1">
      <c r="B74" s="221"/>
      <c r="C74" s="222"/>
      <c r="D74" s="223"/>
      <c r="E74" s="223"/>
      <c r="F74" s="223"/>
      <c r="G74" s="223"/>
      <c r="H74" s="223"/>
      <c r="I74" s="223"/>
      <c r="J74" s="223"/>
      <c r="K74" s="223"/>
      <c r="L74" s="223"/>
      <c r="M74" s="223"/>
      <c r="N74" s="223"/>
      <c r="O74" s="222"/>
      <c r="P74" s="223"/>
      <c r="Q74" s="223"/>
      <c r="R74" s="223"/>
      <c r="S74" s="223"/>
      <c r="T74" s="223"/>
      <c r="U74" s="223"/>
      <c r="V74" s="223"/>
      <c r="W74" s="223"/>
      <c r="X74" s="223"/>
      <c r="Y74" s="223"/>
      <c r="Z74" s="223"/>
      <c r="AA74" s="605" t="s">
        <v>5</v>
      </c>
      <c r="AB74" s="605"/>
      <c r="AC74" s="93"/>
      <c r="AD74" s="90"/>
      <c r="AE74" s="91"/>
      <c r="AF74" s="92"/>
      <c r="AG74" s="92"/>
      <c r="AH74" s="92"/>
      <c r="AI74" s="92"/>
      <c r="AJ74" s="92"/>
      <c r="AK74" s="92"/>
      <c r="AL74" s="92"/>
      <c r="AM74" s="92"/>
      <c r="AN74" s="92"/>
      <c r="AO74" s="92"/>
      <c r="AP74" s="92"/>
      <c r="AQ74" s="91"/>
      <c r="AR74" s="92"/>
      <c r="AS74" s="92"/>
      <c r="AT74" s="92"/>
      <c r="AU74" s="92"/>
      <c r="AV74" s="92"/>
      <c r="AW74" s="92"/>
      <c r="AX74" s="92"/>
      <c r="AY74" s="92"/>
      <c r="AZ74" s="92"/>
      <c r="BA74" s="92"/>
      <c r="BB74" s="92"/>
      <c r="BC74" s="91"/>
      <c r="BD74" s="93"/>
    </row>
    <row r="75" spans="2:92" ht="30" customHeight="1">
      <c r="B75" s="576" t="s">
        <v>53</v>
      </c>
      <c r="C75" s="576"/>
      <c r="D75" s="576"/>
      <c r="E75" s="576"/>
      <c r="F75" s="576"/>
      <c r="G75" s="576"/>
      <c r="H75" s="576"/>
      <c r="I75" s="576"/>
      <c r="J75" s="576"/>
      <c r="K75" s="576"/>
      <c r="L75" s="576"/>
      <c r="M75" s="576"/>
      <c r="N75" s="576"/>
      <c r="O75" s="576"/>
      <c r="P75" s="576"/>
      <c r="Q75" s="576"/>
      <c r="R75" s="576"/>
      <c r="S75" s="576"/>
      <c r="T75" s="576"/>
      <c r="U75" s="576"/>
      <c r="V75" s="576"/>
      <c r="W75" s="576"/>
      <c r="X75" s="576"/>
      <c r="Y75" s="576"/>
      <c r="Z75" s="576"/>
      <c r="AA75" s="576"/>
      <c r="AB75" s="576"/>
      <c r="AC75" s="94"/>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row>
    <row r="76" spans="2:92" ht="18" customHeight="1">
      <c r="B76" s="237"/>
      <c r="C76" s="237"/>
      <c r="D76" s="225"/>
      <c r="E76" s="225"/>
      <c r="F76" s="225"/>
      <c r="G76" s="225"/>
      <c r="H76" s="225"/>
      <c r="I76" s="225"/>
      <c r="J76" s="225"/>
      <c r="K76" s="225"/>
      <c r="L76" s="225"/>
      <c r="M76" s="225"/>
      <c r="N76" s="226"/>
      <c r="O76" s="227"/>
      <c r="P76" s="225"/>
      <c r="Q76" s="225"/>
      <c r="R76" s="225"/>
      <c r="S76" s="225"/>
      <c r="T76" s="225"/>
      <c r="U76" s="225"/>
      <c r="V76" s="225"/>
      <c r="W76" s="225"/>
      <c r="X76" s="225"/>
      <c r="Y76" s="225"/>
      <c r="Z76" s="226"/>
      <c r="AA76" s="227"/>
      <c r="AB76" s="226"/>
      <c r="AC76" s="103"/>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row>
    <row r="77" spans="2:92" s="107" customFormat="1" ht="9.9" customHeight="1" thickBot="1">
      <c r="B77" s="237"/>
      <c r="C77" s="237"/>
      <c r="D77" s="230"/>
      <c r="E77" s="228"/>
      <c r="F77" s="228"/>
      <c r="G77" s="229"/>
      <c r="H77" s="229"/>
      <c r="I77" s="229"/>
      <c r="J77" s="229"/>
      <c r="K77" s="229"/>
      <c r="L77" s="229"/>
      <c r="M77" s="229"/>
      <c r="N77" s="229"/>
      <c r="O77" s="229"/>
      <c r="P77" s="228"/>
      <c r="Q77" s="228"/>
      <c r="R77" s="228"/>
      <c r="S77" s="229"/>
      <c r="T77" s="229"/>
      <c r="U77" s="229"/>
      <c r="V77" s="229"/>
      <c r="W77" s="229"/>
      <c r="X77" s="229"/>
      <c r="Y77" s="229"/>
      <c r="Z77" s="229"/>
      <c r="AA77" s="229"/>
      <c r="AB77" s="229"/>
      <c r="AC77" s="108"/>
      <c r="AE77" s="108"/>
      <c r="AF77" s="109">
        <f>23-ROW(AF84)</f>
        <v>-61</v>
      </c>
      <c r="AK77" s="108"/>
      <c r="AL77" s="108"/>
      <c r="AM77" s="108"/>
      <c r="AN77" s="108"/>
      <c r="AO77" s="108"/>
      <c r="AP77" s="108"/>
      <c r="AQ77" s="108"/>
      <c r="AU77" s="108"/>
      <c r="AV77" s="108"/>
      <c r="AW77" s="108"/>
      <c r="AX77" s="108"/>
      <c r="AY77" s="108"/>
      <c r="AZ77" s="108"/>
      <c r="BA77" s="108"/>
      <c r="BB77" s="108"/>
      <c r="BC77" s="108"/>
      <c r="BD77" s="108"/>
      <c r="BG77" s="111"/>
      <c r="BH77" s="111"/>
      <c r="BI77" s="111"/>
      <c r="CH77" s="108"/>
      <c r="CI77" s="108"/>
      <c r="CJ77" s="108"/>
      <c r="CK77" s="108"/>
      <c r="CL77" s="108"/>
      <c r="CM77" s="108"/>
      <c r="CN77" s="108"/>
    </row>
    <row r="78" spans="2:92" ht="18" customHeight="1" thickBot="1">
      <c r="B78" s="635" t="s">
        <v>11</v>
      </c>
      <c r="C78" s="637" t="str">
        <f>CN8</f>
        <v>GESAMTSUMME</v>
      </c>
      <c r="D78" s="638"/>
      <c r="E78" s="645" t="str">
        <f ca="1">CK8</f>
        <v>SUMME Besucherverkehr</v>
      </c>
      <c r="F78" s="645" t="str">
        <f ca="1">CL8</f>
        <v>SUMME Bewohnerverkehr</v>
      </c>
      <c r="G78" s="645" t="str">
        <f>CM8</f>
        <v>SUMME Wirtschaftsverkehr</v>
      </c>
      <c r="H78"/>
      <c r="I78"/>
      <c r="J78" s="588" t="e">
        <f ca="1">"Auf dem Gelände sind mindestens "&amp;TEXT(ROUND((C107+2.5)*2,-1)/2,"#.##0")&amp;" Stellplätze erforderlich, um die tägliche Nachfrage bewältigen zu können."</f>
        <v>#REF!</v>
      </c>
      <c r="K78" s="588"/>
      <c r="L78" s="588"/>
      <c r="M78" s="588"/>
      <c r="N78" s="588"/>
      <c r="O78" s="588"/>
      <c r="P78" s="588"/>
      <c r="Q78" s="588"/>
      <c r="R78" s="588"/>
      <c r="S78" s="588"/>
      <c r="T78" s="588"/>
      <c r="U78" s="588"/>
      <c r="V78" s="588"/>
      <c r="W78" s="588"/>
      <c r="X78" s="588"/>
      <c r="Y78" s="588"/>
      <c r="Z78" s="588"/>
      <c r="AA78" s="588"/>
      <c r="AB78" s="588"/>
      <c r="AC78" s="573" t="str">
        <f ca="1">W9</f>
        <v>ohne Berücksichtigung von abmindernden Effekten im Kundenverkehr</v>
      </c>
      <c r="AD78" s="574" t="s">
        <v>11</v>
      </c>
      <c r="AE78" s="115"/>
      <c r="AF78" s="116" t="s">
        <v>12</v>
      </c>
      <c r="AG78" s="117"/>
      <c r="AH78" s="117"/>
      <c r="AI78" s="117"/>
      <c r="AJ78" s="117"/>
      <c r="AK78" s="117"/>
      <c r="AL78" s="117"/>
      <c r="AM78" s="117"/>
      <c r="AN78" s="117"/>
      <c r="AO78" s="117"/>
      <c r="AP78" s="118"/>
      <c r="AQ78" s="115"/>
      <c r="AR78" s="116" t="s">
        <v>13</v>
      </c>
      <c r="AS78" s="117"/>
      <c r="AT78" s="117"/>
      <c r="AU78" s="117"/>
      <c r="AV78" s="117"/>
      <c r="AW78" s="117"/>
      <c r="AX78" s="117"/>
      <c r="AY78" s="117"/>
      <c r="AZ78" s="117"/>
      <c r="BA78" s="117"/>
      <c r="BB78" s="118"/>
      <c r="BC78" s="115"/>
      <c r="BD78" s="569" t="s">
        <v>14</v>
      </c>
    </row>
    <row r="79" spans="2:92" ht="50.1" customHeight="1">
      <c r="B79" s="636"/>
      <c r="C79" s="639"/>
      <c r="D79" s="640"/>
      <c r="E79" s="646"/>
      <c r="F79" s="646"/>
      <c r="G79" s="646"/>
      <c r="H79"/>
      <c r="I79"/>
      <c r="J79" s="588"/>
      <c r="K79" s="588"/>
      <c r="L79" s="588"/>
      <c r="M79" s="588"/>
      <c r="N79" s="588"/>
      <c r="O79" s="588"/>
      <c r="P79" s="588"/>
      <c r="Q79" s="588"/>
      <c r="R79" s="588"/>
      <c r="S79" s="588"/>
      <c r="T79" s="588"/>
      <c r="U79" s="588"/>
      <c r="V79" s="588"/>
      <c r="W79" s="588"/>
      <c r="X79" s="588"/>
      <c r="Y79" s="588"/>
      <c r="Z79" s="588"/>
      <c r="AA79" s="588"/>
      <c r="AB79" s="588"/>
      <c r="AC79" s="573"/>
      <c r="AD79" s="575"/>
      <c r="AE79" s="115"/>
      <c r="AF79" s="124" t="s">
        <v>16</v>
      </c>
      <c r="AG79" s="199"/>
      <c r="AH79" s="199"/>
      <c r="AI79" s="199"/>
      <c r="AJ79" s="199"/>
      <c r="AK79" s="199"/>
      <c r="AL79" s="199"/>
      <c r="AM79" s="199"/>
      <c r="AN79" s="199"/>
      <c r="AO79" s="200"/>
      <c r="AP79" s="569" t="str">
        <f>AP8</f>
        <v>SUMME d. Nutzungen</v>
      </c>
      <c r="AQ79" s="115"/>
      <c r="AR79" s="124" t="s">
        <v>16</v>
      </c>
      <c r="AS79" s="125"/>
      <c r="AT79" s="125"/>
      <c r="AU79" s="125"/>
      <c r="AV79" s="125"/>
      <c r="AW79" s="125"/>
      <c r="AX79" s="125"/>
      <c r="AY79" s="125"/>
      <c r="AZ79" s="125"/>
      <c r="BA79" s="126"/>
      <c r="BB79" s="569" t="str">
        <f>BB8</f>
        <v>SUMME d. Nutzungen</v>
      </c>
      <c r="BC79" s="115"/>
      <c r="BD79" s="570"/>
    </row>
    <row r="80" spans="2:92" ht="18" customHeight="1">
      <c r="B80" s="636"/>
      <c r="C80" s="639"/>
      <c r="D80" s="640"/>
      <c r="E80" s="646"/>
      <c r="F80" s="646"/>
      <c r="G80" s="646"/>
      <c r="H80"/>
      <c r="I80"/>
      <c r="J80" s="588"/>
      <c r="K80" s="588"/>
      <c r="L80" s="588"/>
      <c r="M80" s="588"/>
      <c r="N80" s="588"/>
      <c r="O80" s="588"/>
      <c r="P80" s="588"/>
      <c r="Q80" s="588"/>
      <c r="R80" s="588"/>
      <c r="S80" s="588"/>
      <c r="T80" s="588"/>
      <c r="U80" s="588"/>
      <c r="V80" s="588"/>
      <c r="W80" s="588"/>
      <c r="X80" s="588"/>
      <c r="Y80" s="588"/>
      <c r="Z80" s="588"/>
      <c r="AA80" s="588"/>
      <c r="AB80" s="588"/>
      <c r="AC80" s="573"/>
      <c r="AD80" s="575"/>
      <c r="AE80" s="127"/>
      <c r="AF80" s="128" t="e">
        <f ca="1">AF9</f>
        <v>#REF!</v>
      </c>
      <c r="AG80" s="128" t="e">
        <f t="shared" ref="AG80:AO81" ca="1" si="97">AG9</f>
        <v>#REF!</v>
      </c>
      <c r="AH80" s="128" t="e">
        <f t="shared" ca="1" si="97"/>
        <v>#REF!</v>
      </c>
      <c r="AI80" s="128" t="e">
        <f t="shared" ca="1" si="97"/>
        <v>#REF!</v>
      </c>
      <c r="AJ80" s="128" t="e">
        <f t="shared" ca="1" si="97"/>
        <v>#REF!</v>
      </c>
      <c r="AK80" s="128" t="e">
        <f t="shared" ca="1" si="97"/>
        <v>#REF!</v>
      </c>
      <c r="AL80" s="128" t="e">
        <f t="shared" ca="1" si="97"/>
        <v>#REF!</v>
      </c>
      <c r="AM80" s="128" t="e">
        <f t="shared" ca="1" si="97"/>
        <v>#REF!</v>
      </c>
      <c r="AN80" s="128" t="e">
        <f t="shared" ca="1" si="97"/>
        <v>#REF!</v>
      </c>
      <c r="AO80" s="128" t="e">
        <f t="shared" ca="1" si="97"/>
        <v>#REF!</v>
      </c>
      <c r="AP80" s="570"/>
      <c r="AQ80" s="127"/>
      <c r="AR80" s="128" t="e">
        <f t="shared" ref="AR80:BA80" ca="1" si="98">AF80</f>
        <v>#REF!</v>
      </c>
      <c r="AS80" s="128" t="e">
        <f t="shared" ca="1" si="98"/>
        <v>#REF!</v>
      </c>
      <c r="AT80" s="128" t="e">
        <f t="shared" ca="1" si="98"/>
        <v>#REF!</v>
      </c>
      <c r="AU80" s="128" t="e">
        <f t="shared" ca="1" si="98"/>
        <v>#REF!</v>
      </c>
      <c r="AV80" s="128" t="e">
        <f t="shared" ca="1" si="98"/>
        <v>#REF!</v>
      </c>
      <c r="AW80" s="128" t="e">
        <f t="shared" ca="1" si="98"/>
        <v>#REF!</v>
      </c>
      <c r="AX80" s="128" t="e">
        <f t="shared" ca="1" si="98"/>
        <v>#REF!</v>
      </c>
      <c r="AY80" s="128" t="e">
        <f t="shared" ca="1" si="98"/>
        <v>#REF!</v>
      </c>
      <c r="AZ80" s="128" t="e">
        <f t="shared" ca="1" si="98"/>
        <v>#REF!</v>
      </c>
      <c r="BA80" s="128" t="e">
        <f t="shared" ca="1" si="98"/>
        <v>#REF!</v>
      </c>
      <c r="BB80" s="570"/>
      <c r="BC80" s="127"/>
      <c r="BD80" s="570"/>
    </row>
    <row r="81" spans="2:56" ht="60" customHeight="1">
      <c r="B81" s="636"/>
      <c r="C81" s="639"/>
      <c r="D81" s="640"/>
      <c r="E81" s="646"/>
      <c r="F81" s="646"/>
      <c r="G81" s="646"/>
      <c r="H81"/>
      <c r="I81"/>
      <c r="J81" s="588"/>
      <c r="K81" s="588"/>
      <c r="L81" s="588"/>
      <c r="M81" s="588"/>
      <c r="N81" s="588"/>
      <c r="O81" s="588"/>
      <c r="P81" s="588"/>
      <c r="Q81" s="588"/>
      <c r="R81" s="588"/>
      <c r="S81" s="588"/>
      <c r="T81" s="588"/>
      <c r="U81" s="588"/>
      <c r="V81" s="588"/>
      <c r="W81" s="588"/>
      <c r="X81" s="588"/>
      <c r="Y81" s="588"/>
      <c r="Z81" s="588"/>
      <c r="AA81" s="588"/>
      <c r="AB81" s="588"/>
      <c r="AC81" s="573"/>
      <c r="AD81" s="575"/>
      <c r="AE81" s="127"/>
      <c r="AF81" s="129" t="e">
        <f ca="1">AF10</f>
        <v>#REF!</v>
      </c>
      <c r="AG81" s="129" t="e">
        <f t="shared" ca="1" si="97"/>
        <v>#REF!</v>
      </c>
      <c r="AH81" s="129" t="e">
        <f t="shared" ca="1" si="97"/>
        <v>#REF!</v>
      </c>
      <c r="AI81" s="129" t="e">
        <f t="shared" ca="1" si="97"/>
        <v>#REF!</v>
      </c>
      <c r="AJ81" s="129" t="e">
        <f t="shared" ca="1" si="97"/>
        <v>#REF!</v>
      </c>
      <c r="AK81" s="129" t="e">
        <f t="shared" ca="1" si="97"/>
        <v>#REF!</v>
      </c>
      <c r="AL81" s="129" t="e">
        <f t="shared" ca="1" si="97"/>
        <v>#REF!</v>
      </c>
      <c r="AM81" s="129" t="e">
        <f t="shared" ca="1" si="97"/>
        <v>#REF!</v>
      </c>
      <c r="AN81" s="129" t="e">
        <f t="shared" ca="1" si="97"/>
        <v>#REF!</v>
      </c>
      <c r="AO81" s="129" t="e">
        <f t="shared" ca="1" si="97"/>
        <v>#REF!</v>
      </c>
      <c r="AP81" s="570"/>
      <c r="AQ81" s="127"/>
      <c r="AR81" s="130" t="e">
        <f t="shared" ref="AR81:BA81" ca="1" si="99">AF81</f>
        <v>#REF!</v>
      </c>
      <c r="AS81" s="129" t="e">
        <f t="shared" ca="1" si="99"/>
        <v>#REF!</v>
      </c>
      <c r="AT81" s="129" t="e">
        <f t="shared" ca="1" si="99"/>
        <v>#REF!</v>
      </c>
      <c r="AU81" s="129" t="e">
        <f t="shared" ca="1" si="99"/>
        <v>#REF!</v>
      </c>
      <c r="AV81" s="129" t="e">
        <f t="shared" ca="1" si="99"/>
        <v>#REF!</v>
      </c>
      <c r="AW81" s="129" t="e">
        <f t="shared" ca="1" si="99"/>
        <v>#REF!</v>
      </c>
      <c r="AX81" s="129" t="e">
        <f t="shared" ca="1" si="99"/>
        <v>#REF!</v>
      </c>
      <c r="AY81" s="129" t="e">
        <f t="shared" ca="1" si="99"/>
        <v>#REF!</v>
      </c>
      <c r="AZ81" s="129" t="e">
        <f t="shared" ca="1" si="99"/>
        <v>#REF!</v>
      </c>
      <c r="BA81" s="131" t="e">
        <f t="shared" ca="1" si="99"/>
        <v>#REF!</v>
      </c>
      <c r="BB81" s="570"/>
      <c r="BC81" s="127"/>
      <c r="BD81" s="570"/>
    </row>
    <row r="82" spans="2:56" ht="3.9" customHeight="1" thickBot="1">
      <c r="B82" s="388"/>
      <c r="C82" s="642"/>
      <c r="D82" s="643"/>
      <c r="E82" s="389"/>
      <c r="F82" s="389"/>
      <c r="G82" s="389"/>
      <c r="H82"/>
      <c r="I82"/>
      <c r="J82"/>
      <c r="K82"/>
      <c r="L82" s="234"/>
      <c r="M82" s="234"/>
      <c r="N82" s="377"/>
      <c r="O82" s="377"/>
      <c r="P82" s="377"/>
      <c r="Q82" s="377"/>
      <c r="R82" s="377"/>
      <c r="S82" s="377"/>
      <c r="T82" s="233"/>
      <c r="U82" s="233"/>
      <c r="V82" s="233"/>
      <c r="W82" s="377"/>
      <c r="X82" s="377"/>
      <c r="Y82" s="377"/>
      <c r="Z82" s="377"/>
      <c r="AA82" s="377"/>
      <c r="AB82" s="377"/>
      <c r="AC82" s="573"/>
      <c r="AD82" s="133"/>
      <c r="AE82" s="127"/>
      <c r="AF82" s="134"/>
      <c r="AG82" s="132"/>
      <c r="AH82" s="132"/>
      <c r="AI82" s="132"/>
      <c r="AJ82" s="132"/>
      <c r="AK82" s="132"/>
      <c r="AL82" s="132"/>
      <c r="AM82" s="132"/>
      <c r="AN82" s="132"/>
      <c r="AO82" s="135"/>
      <c r="AP82" s="136"/>
      <c r="AQ82" s="127"/>
      <c r="AR82" s="130"/>
      <c r="AS82" s="129"/>
      <c r="AT82" s="129"/>
      <c r="AU82" s="129"/>
      <c r="AV82" s="129"/>
      <c r="AW82" s="129"/>
      <c r="AX82" s="129"/>
      <c r="AY82" s="129"/>
      <c r="AZ82" s="129"/>
      <c r="BA82" s="131"/>
      <c r="BB82" s="136"/>
      <c r="BC82" s="127"/>
      <c r="BD82" s="136"/>
    </row>
    <row r="83" spans="2:56" ht="17.100000000000001" customHeight="1">
      <c r="B83" s="386" t="s">
        <v>23</v>
      </c>
      <c r="C83" s="611" t="e">
        <f ca="1">CN12</f>
        <v>#REF!</v>
      </c>
      <c r="D83" s="612"/>
      <c r="E83" s="387" t="e">
        <f ca="1">CK12</f>
        <v>#REF!</v>
      </c>
      <c r="F83" s="387" t="e">
        <f ca="1">CL12</f>
        <v>#REF!</v>
      </c>
      <c r="G83" s="387" t="e">
        <f ca="1">CM12</f>
        <v>#REF!</v>
      </c>
      <c r="H83" s="641" t="s">
        <v>54</v>
      </c>
      <c r="I83" s="52"/>
      <c r="J83"/>
      <c r="K83"/>
      <c r="L83" s="25"/>
      <c r="M83" s="25"/>
      <c r="N83" s="378"/>
      <c r="O83" s="378"/>
      <c r="P83" s="378"/>
      <c r="Q83" s="378"/>
      <c r="R83" s="378"/>
      <c r="S83" s="378"/>
      <c r="T83" s="25"/>
      <c r="U83" s="25"/>
      <c r="V83" s="25"/>
      <c r="W83" s="378"/>
      <c r="X83" s="378"/>
      <c r="Y83" s="378"/>
      <c r="Z83" s="378"/>
      <c r="AA83" s="378"/>
      <c r="AB83" s="378"/>
      <c r="AC83" s="573"/>
      <c r="AD83" s="147" t="s">
        <v>24</v>
      </c>
      <c r="AE83" s="148"/>
      <c r="AF83" s="149" t="e">
        <f ca="1">AF107</f>
        <v>#REF!</v>
      </c>
      <c r="AG83" s="150" t="e">
        <f t="shared" ref="AG83:AO83" ca="1" si="100">AG107</f>
        <v>#REF!</v>
      </c>
      <c r="AH83" s="150" t="e">
        <f t="shared" ca="1" si="100"/>
        <v>#REF!</v>
      </c>
      <c r="AI83" s="150" t="e">
        <f t="shared" ca="1" si="100"/>
        <v>#REF!</v>
      </c>
      <c r="AJ83" s="150" t="e">
        <f t="shared" ca="1" si="100"/>
        <v>#REF!</v>
      </c>
      <c r="AK83" s="150" t="e">
        <f t="shared" ca="1" si="100"/>
        <v>#REF!</v>
      </c>
      <c r="AL83" s="150" t="e">
        <f t="shared" ca="1" si="100"/>
        <v>#REF!</v>
      </c>
      <c r="AM83" s="150" t="e">
        <f t="shared" ca="1" si="100"/>
        <v>#REF!</v>
      </c>
      <c r="AN83" s="150" t="e">
        <f t="shared" ca="1" si="100"/>
        <v>#REF!</v>
      </c>
      <c r="AO83" s="151" t="e">
        <f t="shared" ca="1" si="100"/>
        <v>#REF!</v>
      </c>
      <c r="AP83" s="152" t="e">
        <f ca="1">SUM(AF83:AO83)</f>
        <v>#REF!</v>
      </c>
      <c r="AQ83" s="148"/>
      <c r="AR83" s="149" t="e">
        <f ca="1">AR107</f>
        <v>#REF!</v>
      </c>
      <c r="AS83" s="150" t="e">
        <f t="shared" ref="AS83:BA83" ca="1" si="101">AS107</f>
        <v>#REF!</v>
      </c>
      <c r="AT83" s="150" t="e">
        <f t="shared" ca="1" si="101"/>
        <v>#REF!</v>
      </c>
      <c r="AU83" s="150" t="e">
        <f t="shared" ca="1" si="101"/>
        <v>#REF!</v>
      </c>
      <c r="AV83" s="150" t="e">
        <f t="shared" ca="1" si="101"/>
        <v>#REF!</v>
      </c>
      <c r="AW83" s="150" t="e">
        <f t="shared" ca="1" si="101"/>
        <v>#REF!</v>
      </c>
      <c r="AX83" s="150" t="e">
        <f t="shared" ca="1" si="101"/>
        <v>#REF!</v>
      </c>
      <c r="AY83" s="150" t="e">
        <f t="shared" ca="1" si="101"/>
        <v>#REF!</v>
      </c>
      <c r="AZ83" s="150" t="e">
        <f t="shared" ca="1" si="101"/>
        <v>#REF!</v>
      </c>
      <c r="BA83" s="151" t="e">
        <f t="shared" ca="1" si="101"/>
        <v>#REF!</v>
      </c>
      <c r="BB83" s="152" t="e">
        <f ca="1">SUM(AR83:BA83)</f>
        <v>#REF!</v>
      </c>
      <c r="BC83" s="148"/>
      <c r="BD83" s="152" t="e">
        <f ca="1">AP83+BB83</f>
        <v>#REF!</v>
      </c>
    </row>
    <row r="84" spans="2:56" ht="17.100000000000001" customHeight="1">
      <c r="B84" s="380" t="s">
        <v>25</v>
      </c>
      <c r="C84" s="611" t="e">
        <f t="shared" ref="C84:C106" ca="1" si="102">CN13</f>
        <v>#REF!</v>
      </c>
      <c r="D84" s="612"/>
      <c r="E84" s="382" t="e">
        <f t="shared" ref="E84:E106" ca="1" si="103">CK13</f>
        <v>#REF!</v>
      </c>
      <c r="F84" s="382" t="e">
        <f t="shared" ref="F84:G106" ca="1" si="104">CL13</f>
        <v>#REF!</v>
      </c>
      <c r="G84" s="382" t="e">
        <f t="shared" ca="1" si="104"/>
        <v>#REF!</v>
      </c>
      <c r="H84" s="641"/>
      <c r="I84" s="52"/>
      <c r="J84"/>
      <c r="K84"/>
      <c r="L84" s="25"/>
      <c r="M84" s="25"/>
      <c r="N84" s="378"/>
      <c r="O84" s="378"/>
      <c r="P84" s="378"/>
      <c r="Q84" s="378"/>
      <c r="R84" s="378"/>
      <c r="S84" s="378"/>
      <c r="T84" s="25"/>
      <c r="U84" s="25"/>
      <c r="V84" s="25"/>
      <c r="W84" s="378"/>
      <c r="X84" s="378"/>
      <c r="Y84" s="378"/>
      <c r="Z84" s="378"/>
      <c r="AA84" s="378"/>
      <c r="AB84" s="378"/>
      <c r="AC84" s="573"/>
      <c r="AD84" s="62" t="s">
        <v>23</v>
      </c>
      <c r="AE84" s="148"/>
      <c r="AF84" s="160" t="e">
        <f t="shared" ref="AF84:AF107" ca="1" si="105">IF(AF$81&lt;&gt;"",INDIRECT(ADDRESS(ROW()+$AF$77,73,,,AF$45)),"")</f>
        <v>#REF!</v>
      </c>
      <c r="AG84" s="161" t="e">
        <f t="shared" ref="AG84:AO99" ca="1" si="106">IF(AG$81&lt;&gt;"",INDIRECT(ADDRESS(ROW()+$AF$77,73,,,AG$45)),"")</f>
        <v>#REF!</v>
      </c>
      <c r="AH84" s="161" t="e">
        <f t="shared" ca="1" si="106"/>
        <v>#REF!</v>
      </c>
      <c r="AI84" s="161" t="e">
        <f t="shared" ca="1" si="106"/>
        <v>#REF!</v>
      </c>
      <c r="AJ84" s="161" t="e">
        <f t="shared" ca="1" si="106"/>
        <v>#REF!</v>
      </c>
      <c r="AK84" s="161" t="e">
        <f t="shared" ca="1" si="106"/>
        <v>#REF!</v>
      </c>
      <c r="AL84" s="161" t="e">
        <f t="shared" ca="1" si="106"/>
        <v>#REF!</v>
      </c>
      <c r="AM84" s="161" t="e">
        <f t="shared" ca="1" si="106"/>
        <v>#REF!</v>
      </c>
      <c r="AN84" s="161" t="e">
        <f t="shared" ca="1" si="106"/>
        <v>#REF!</v>
      </c>
      <c r="AO84" s="162" t="e">
        <f t="shared" ca="1" si="106"/>
        <v>#REF!</v>
      </c>
      <c r="AP84" s="163" t="e">
        <f t="shared" ref="AP84:AP107" ca="1" si="107">SUM(AF84:AO84)</f>
        <v>#REF!</v>
      </c>
      <c r="AQ84" s="148"/>
      <c r="AR84" s="160" t="e">
        <f ca="1">IF(AR$81&lt;&gt;"",INDIRECT(ADDRESS(ROW()+$AF$77,74,,,AF$45)),"")</f>
        <v>#REF!</v>
      </c>
      <c r="AS84" s="161" t="e">
        <f t="shared" ref="AS84:BA84" ca="1" si="108">IF(AS$81&lt;&gt;"",INDIRECT(ADDRESS(ROW()+$AF$77,74,,,AG$45)),"")</f>
        <v>#REF!</v>
      </c>
      <c r="AT84" s="161" t="e">
        <f t="shared" ca="1" si="108"/>
        <v>#REF!</v>
      </c>
      <c r="AU84" s="161" t="e">
        <f t="shared" ca="1" si="108"/>
        <v>#REF!</v>
      </c>
      <c r="AV84" s="161" t="e">
        <f t="shared" ca="1" si="108"/>
        <v>#REF!</v>
      </c>
      <c r="AW84" s="161" t="e">
        <f t="shared" ca="1" si="108"/>
        <v>#REF!</v>
      </c>
      <c r="AX84" s="161" t="e">
        <f t="shared" ca="1" si="108"/>
        <v>#REF!</v>
      </c>
      <c r="AY84" s="161" t="e">
        <f t="shared" ca="1" si="108"/>
        <v>#REF!</v>
      </c>
      <c r="AZ84" s="161" t="e">
        <f t="shared" ca="1" si="108"/>
        <v>#REF!</v>
      </c>
      <c r="BA84" s="162" t="e">
        <f t="shared" ca="1" si="108"/>
        <v>#REF!</v>
      </c>
      <c r="BB84" s="163" t="e">
        <f t="shared" ref="BB84:BB107" ca="1" si="109">SUM(AR84:BA84)</f>
        <v>#REF!</v>
      </c>
      <c r="BC84" s="148"/>
      <c r="BD84" s="163" t="e">
        <f t="shared" ref="BD84:BD108" ca="1" si="110">AP84+BB84</f>
        <v>#REF!</v>
      </c>
    </row>
    <row r="85" spans="2:56" ht="17.100000000000001" customHeight="1">
      <c r="B85" s="380" t="s">
        <v>26</v>
      </c>
      <c r="C85" s="611" t="e">
        <f t="shared" ca="1" si="102"/>
        <v>#REF!</v>
      </c>
      <c r="D85" s="612"/>
      <c r="E85" s="382" t="e">
        <f t="shared" ca="1" si="103"/>
        <v>#REF!</v>
      </c>
      <c r="F85" s="382" t="e">
        <f t="shared" ca="1" si="104"/>
        <v>#REF!</v>
      </c>
      <c r="G85" s="382" t="e">
        <f t="shared" ca="1" si="104"/>
        <v>#REF!</v>
      </c>
      <c r="H85" s="641"/>
      <c r="I85" s="52"/>
      <c r="J85"/>
      <c r="K85"/>
      <c r="L85" s="25"/>
      <c r="M85" s="25"/>
      <c r="N85" s="378"/>
      <c r="O85" s="378"/>
      <c r="P85" s="378"/>
      <c r="Q85" s="378"/>
      <c r="R85" s="378"/>
      <c r="S85" s="378"/>
      <c r="T85" s="25"/>
      <c r="U85" s="25"/>
      <c r="V85" s="25"/>
      <c r="W85" s="378"/>
      <c r="X85" s="378"/>
      <c r="Y85" s="378"/>
      <c r="Z85" s="378"/>
      <c r="AA85" s="378"/>
      <c r="AB85" s="378"/>
      <c r="AC85" s="573"/>
      <c r="AD85" s="62" t="s">
        <v>25</v>
      </c>
      <c r="AE85" s="148"/>
      <c r="AF85" s="160" t="e">
        <f t="shared" ca="1" si="105"/>
        <v>#REF!</v>
      </c>
      <c r="AG85" s="161" t="e">
        <f t="shared" ca="1" si="106"/>
        <v>#REF!</v>
      </c>
      <c r="AH85" s="161" t="e">
        <f t="shared" ca="1" si="106"/>
        <v>#REF!</v>
      </c>
      <c r="AI85" s="161" t="e">
        <f t="shared" ca="1" si="106"/>
        <v>#REF!</v>
      </c>
      <c r="AJ85" s="161" t="e">
        <f t="shared" ca="1" si="106"/>
        <v>#REF!</v>
      </c>
      <c r="AK85" s="161" t="e">
        <f t="shared" ca="1" si="106"/>
        <v>#REF!</v>
      </c>
      <c r="AL85" s="161" t="e">
        <f t="shared" ca="1" si="106"/>
        <v>#REF!</v>
      </c>
      <c r="AM85" s="161" t="e">
        <f t="shared" ca="1" si="106"/>
        <v>#REF!</v>
      </c>
      <c r="AN85" s="161" t="e">
        <f t="shared" ca="1" si="106"/>
        <v>#REF!</v>
      </c>
      <c r="AO85" s="162" t="e">
        <f t="shared" ca="1" si="106"/>
        <v>#REF!</v>
      </c>
      <c r="AP85" s="163" t="e">
        <f t="shared" ca="1" si="107"/>
        <v>#REF!</v>
      </c>
      <c r="AQ85" s="148"/>
      <c r="AR85" s="160" t="e">
        <f t="shared" ref="AR85:AR107" ca="1" si="111">IF(AR$81&lt;&gt;"",INDIRECT(ADDRESS(ROW()+$AF$77,74,,,AF$45)),"")</f>
        <v>#REF!</v>
      </c>
      <c r="AS85" s="161" t="e">
        <f t="shared" ref="AS85:AS107" ca="1" si="112">IF(AS$81&lt;&gt;"",INDIRECT(ADDRESS(ROW()+$AF$77,74,,,AG$45)),"")</f>
        <v>#REF!</v>
      </c>
      <c r="AT85" s="161" t="e">
        <f t="shared" ref="AT85:AT107" ca="1" si="113">IF(AT$81&lt;&gt;"",INDIRECT(ADDRESS(ROW()+$AF$77,74,,,AH$45)),"")</f>
        <v>#REF!</v>
      </c>
      <c r="AU85" s="161" t="e">
        <f t="shared" ref="AU85:AU107" ca="1" si="114">IF(AU$81&lt;&gt;"",INDIRECT(ADDRESS(ROW()+$AF$77,74,,,AI$45)),"")</f>
        <v>#REF!</v>
      </c>
      <c r="AV85" s="161" t="e">
        <f t="shared" ref="AV85:AV107" ca="1" si="115">IF(AV$81&lt;&gt;"",INDIRECT(ADDRESS(ROW()+$AF$77,74,,,AJ$45)),"")</f>
        <v>#REF!</v>
      </c>
      <c r="AW85" s="161" t="e">
        <f t="shared" ref="AW85:AW107" ca="1" si="116">IF(AW$81&lt;&gt;"",INDIRECT(ADDRESS(ROW()+$AF$77,74,,,AK$45)),"")</f>
        <v>#REF!</v>
      </c>
      <c r="AX85" s="161" t="e">
        <f t="shared" ref="AX85:AX107" ca="1" si="117">IF(AX$81&lt;&gt;"",INDIRECT(ADDRESS(ROW()+$AF$77,74,,,AL$45)),"")</f>
        <v>#REF!</v>
      </c>
      <c r="AY85" s="161" t="e">
        <f t="shared" ref="AY85:AY107" ca="1" si="118">IF(AY$81&lt;&gt;"",INDIRECT(ADDRESS(ROW()+$AF$77,74,,,AM$45)),"")</f>
        <v>#REF!</v>
      </c>
      <c r="AZ85" s="161" t="e">
        <f t="shared" ref="AZ85:AZ107" ca="1" si="119">IF(AZ$81&lt;&gt;"",INDIRECT(ADDRESS(ROW()+$AF$77,74,,,AN$45)),"")</f>
        <v>#REF!</v>
      </c>
      <c r="BA85" s="162" t="e">
        <f t="shared" ref="BA85:BA107" ca="1" si="120">IF(BA$81&lt;&gt;"",INDIRECT(ADDRESS(ROW()+$AF$77,74,,,AO$45)),"")</f>
        <v>#REF!</v>
      </c>
      <c r="BB85" s="163" t="e">
        <f t="shared" ca="1" si="109"/>
        <v>#REF!</v>
      </c>
      <c r="BC85" s="148"/>
      <c r="BD85" s="163" t="e">
        <f t="shared" ca="1" si="110"/>
        <v>#REF!</v>
      </c>
    </row>
    <row r="86" spans="2:56" ht="17.100000000000001" customHeight="1">
      <c r="B86" s="380" t="s">
        <v>27</v>
      </c>
      <c r="C86" s="611" t="e">
        <f t="shared" ca="1" si="102"/>
        <v>#REF!</v>
      </c>
      <c r="D86" s="612"/>
      <c r="E86" s="382" t="e">
        <f t="shared" ca="1" si="103"/>
        <v>#REF!</v>
      </c>
      <c r="F86" s="382" t="e">
        <f t="shared" ca="1" si="104"/>
        <v>#REF!</v>
      </c>
      <c r="G86" s="382" t="e">
        <f t="shared" ca="1" si="104"/>
        <v>#REF!</v>
      </c>
      <c r="H86" s="641"/>
      <c r="I86" s="52"/>
      <c r="J86"/>
      <c r="K86"/>
      <c r="L86" s="25"/>
      <c r="M86" s="25"/>
      <c r="N86" s="378"/>
      <c r="O86" s="378"/>
      <c r="P86" s="378"/>
      <c r="Q86" s="378"/>
      <c r="R86" s="378"/>
      <c r="S86" s="378"/>
      <c r="T86" s="25"/>
      <c r="U86" s="25"/>
      <c r="V86" s="25"/>
      <c r="W86" s="378"/>
      <c r="X86" s="378"/>
      <c r="Y86" s="378"/>
      <c r="Z86" s="378"/>
      <c r="AA86" s="378"/>
      <c r="AB86" s="378"/>
      <c r="AC86" s="573"/>
      <c r="AD86" s="62" t="s">
        <v>26</v>
      </c>
      <c r="AE86" s="148"/>
      <c r="AF86" s="160" t="e">
        <f t="shared" ca="1" si="105"/>
        <v>#REF!</v>
      </c>
      <c r="AG86" s="161" t="e">
        <f t="shared" ca="1" si="106"/>
        <v>#REF!</v>
      </c>
      <c r="AH86" s="161" t="e">
        <f t="shared" ca="1" si="106"/>
        <v>#REF!</v>
      </c>
      <c r="AI86" s="161" t="e">
        <f t="shared" ca="1" si="106"/>
        <v>#REF!</v>
      </c>
      <c r="AJ86" s="161" t="e">
        <f t="shared" ca="1" si="106"/>
        <v>#REF!</v>
      </c>
      <c r="AK86" s="161" t="e">
        <f t="shared" ca="1" si="106"/>
        <v>#REF!</v>
      </c>
      <c r="AL86" s="161" t="e">
        <f t="shared" ca="1" si="106"/>
        <v>#REF!</v>
      </c>
      <c r="AM86" s="161" t="e">
        <f t="shared" ca="1" si="106"/>
        <v>#REF!</v>
      </c>
      <c r="AN86" s="161" t="e">
        <f t="shared" ca="1" si="106"/>
        <v>#REF!</v>
      </c>
      <c r="AO86" s="162" t="e">
        <f t="shared" ca="1" si="106"/>
        <v>#REF!</v>
      </c>
      <c r="AP86" s="163" t="e">
        <f t="shared" ca="1" si="107"/>
        <v>#REF!</v>
      </c>
      <c r="AQ86" s="148"/>
      <c r="AR86" s="160" t="e">
        <f t="shared" ca="1" si="111"/>
        <v>#REF!</v>
      </c>
      <c r="AS86" s="161" t="e">
        <f t="shared" ca="1" si="112"/>
        <v>#REF!</v>
      </c>
      <c r="AT86" s="161" t="e">
        <f t="shared" ca="1" si="113"/>
        <v>#REF!</v>
      </c>
      <c r="AU86" s="161" t="e">
        <f t="shared" ca="1" si="114"/>
        <v>#REF!</v>
      </c>
      <c r="AV86" s="161" t="e">
        <f t="shared" ca="1" si="115"/>
        <v>#REF!</v>
      </c>
      <c r="AW86" s="161" t="e">
        <f t="shared" ca="1" si="116"/>
        <v>#REF!</v>
      </c>
      <c r="AX86" s="161" t="e">
        <f t="shared" ca="1" si="117"/>
        <v>#REF!</v>
      </c>
      <c r="AY86" s="161" t="e">
        <f t="shared" ca="1" si="118"/>
        <v>#REF!</v>
      </c>
      <c r="AZ86" s="161" t="e">
        <f t="shared" ca="1" si="119"/>
        <v>#REF!</v>
      </c>
      <c r="BA86" s="162" t="e">
        <f t="shared" ca="1" si="120"/>
        <v>#REF!</v>
      </c>
      <c r="BB86" s="163" t="e">
        <f t="shared" ca="1" si="109"/>
        <v>#REF!</v>
      </c>
      <c r="BC86" s="148"/>
      <c r="BD86" s="163" t="e">
        <f t="shared" ca="1" si="110"/>
        <v>#REF!</v>
      </c>
    </row>
    <row r="87" spans="2:56" ht="17.100000000000001" customHeight="1">
      <c r="B87" s="380" t="s">
        <v>28</v>
      </c>
      <c r="C87" s="611" t="e">
        <f t="shared" ca="1" si="102"/>
        <v>#REF!</v>
      </c>
      <c r="D87" s="612"/>
      <c r="E87" s="382" t="e">
        <f t="shared" ca="1" si="103"/>
        <v>#REF!</v>
      </c>
      <c r="F87" s="382" t="e">
        <f t="shared" ca="1" si="104"/>
        <v>#REF!</v>
      </c>
      <c r="G87" s="382" t="e">
        <f t="shared" ca="1" si="104"/>
        <v>#REF!</v>
      </c>
      <c r="H87" s="641"/>
      <c r="I87" s="52"/>
      <c r="J87"/>
      <c r="K87"/>
      <c r="L87" s="25"/>
      <c r="M87" s="25"/>
      <c r="N87" s="378"/>
      <c r="O87" s="378"/>
      <c r="P87" s="378"/>
      <c r="Q87" s="378"/>
      <c r="R87" s="378"/>
      <c r="S87" s="378"/>
      <c r="T87" s="25"/>
      <c r="U87" s="25"/>
      <c r="V87" s="25"/>
      <c r="W87" s="378"/>
      <c r="X87" s="378"/>
      <c r="Y87" s="378"/>
      <c r="Z87" s="378"/>
      <c r="AA87" s="378"/>
      <c r="AB87" s="378"/>
      <c r="AC87" s="573"/>
      <c r="AD87" s="62" t="s">
        <v>27</v>
      </c>
      <c r="AE87" s="148"/>
      <c r="AF87" s="160" t="e">
        <f t="shared" ca="1" si="105"/>
        <v>#REF!</v>
      </c>
      <c r="AG87" s="161" t="e">
        <f t="shared" ca="1" si="106"/>
        <v>#REF!</v>
      </c>
      <c r="AH87" s="161" t="e">
        <f t="shared" ca="1" si="106"/>
        <v>#REF!</v>
      </c>
      <c r="AI87" s="161" t="e">
        <f t="shared" ca="1" si="106"/>
        <v>#REF!</v>
      </c>
      <c r="AJ87" s="161" t="e">
        <f t="shared" ca="1" si="106"/>
        <v>#REF!</v>
      </c>
      <c r="AK87" s="161" t="e">
        <f t="shared" ca="1" si="106"/>
        <v>#REF!</v>
      </c>
      <c r="AL87" s="161" t="e">
        <f t="shared" ca="1" si="106"/>
        <v>#REF!</v>
      </c>
      <c r="AM87" s="161" t="e">
        <f t="shared" ca="1" si="106"/>
        <v>#REF!</v>
      </c>
      <c r="AN87" s="161" t="e">
        <f t="shared" ca="1" si="106"/>
        <v>#REF!</v>
      </c>
      <c r="AO87" s="162" t="e">
        <f t="shared" ca="1" si="106"/>
        <v>#REF!</v>
      </c>
      <c r="AP87" s="163" t="e">
        <f t="shared" ca="1" si="107"/>
        <v>#REF!</v>
      </c>
      <c r="AQ87" s="148"/>
      <c r="AR87" s="160" t="e">
        <f t="shared" ca="1" si="111"/>
        <v>#REF!</v>
      </c>
      <c r="AS87" s="161" t="e">
        <f t="shared" ca="1" si="112"/>
        <v>#REF!</v>
      </c>
      <c r="AT87" s="161" t="e">
        <f t="shared" ca="1" si="113"/>
        <v>#REF!</v>
      </c>
      <c r="AU87" s="161" t="e">
        <f t="shared" ca="1" si="114"/>
        <v>#REF!</v>
      </c>
      <c r="AV87" s="161" t="e">
        <f t="shared" ca="1" si="115"/>
        <v>#REF!</v>
      </c>
      <c r="AW87" s="161" t="e">
        <f t="shared" ca="1" si="116"/>
        <v>#REF!</v>
      </c>
      <c r="AX87" s="161" t="e">
        <f t="shared" ca="1" si="117"/>
        <v>#REF!</v>
      </c>
      <c r="AY87" s="161" t="e">
        <f t="shared" ca="1" si="118"/>
        <v>#REF!</v>
      </c>
      <c r="AZ87" s="161" t="e">
        <f t="shared" ca="1" si="119"/>
        <v>#REF!</v>
      </c>
      <c r="BA87" s="162" t="e">
        <f t="shared" ca="1" si="120"/>
        <v>#REF!</v>
      </c>
      <c r="BB87" s="163" t="e">
        <f t="shared" ca="1" si="109"/>
        <v>#REF!</v>
      </c>
      <c r="BC87" s="148"/>
      <c r="BD87" s="163" t="e">
        <f t="shared" ca="1" si="110"/>
        <v>#REF!</v>
      </c>
    </row>
    <row r="88" spans="2:56" ht="17.100000000000001" customHeight="1">
      <c r="B88" s="380" t="s">
        <v>29</v>
      </c>
      <c r="C88" s="611" t="e">
        <f t="shared" ca="1" si="102"/>
        <v>#REF!</v>
      </c>
      <c r="D88" s="612"/>
      <c r="E88" s="382" t="e">
        <f t="shared" ca="1" si="103"/>
        <v>#REF!</v>
      </c>
      <c r="F88" s="382" t="e">
        <f t="shared" ca="1" si="104"/>
        <v>#REF!</v>
      </c>
      <c r="G88" s="382" t="e">
        <f t="shared" ca="1" si="104"/>
        <v>#REF!</v>
      </c>
      <c r="H88" s="641"/>
      <c r="I88" s="52"/>
      <c r="J88"/>
      <c r="K88"/>
      <c r="L88" s="25"/>
      <c r="M88" s="25"/>
      <c r="N88" s="378"/>
      <c r="O88" s="378"/>
      <c r="P88" s="378"/>
      <c r="Q88" s="378"/>
      <c r="R88" s="378"/>
      <c r="S88" s="378"/>
      <c r="T88" s="25"/>
      <c r="U88" s="25"/>
      <c r="V88" s="25"/>
      <c r="W88" s="378"/>
      <c r="X88" s="378"/>
      <c r="Y88" s="378"/>
      <c r="Z88" s="378"/>
      <c r="AA88" s="378"/>
      <c r="AB88" s="378"/>
      <c r="AC88" s="573"/>
      <c r="AD88" s="62" t="s">
        <v>28</v>
      </c>
      <c r="AE88" s="148"/>
      <c r="AF88" s="160" t="e">
        <f t="shared" ca="1" si="105"/>
        <v>#REF!</v>
      </c>
      <c r="AG88" s="161" t="e">
        <f t="shared" ca="1" si="106"/>
        <v>#REF!</v>
      </c>
      <c r="AH88" s="161" t="e">
        <f t="shared" ca="1" si="106"/>
        <v>#REF!</v>
      </c>
      <c r="AI88" s="161" t="e">
        <f t="shared" ca="1" si="106"/>
        <v>#REF!</v>
      </c>
      <c r="AJ88" s="161" t="e">
        <f t="shared" ca="1" si="106"/>
        <v>#REF!</v>
      </c>
      <c r="AK88" s="161" t="e">
        <f t="shared" ca="1" si="106"/>
        <v>#REF!</v>
      </c>
      <c r="AL88" s="161" t="e">
        <f t="shared" ca="1" si="106"/>
        <v>#REF!</v>
      </c>
      <c r="AM88" s="161" t="e">
        <f t="shared" ca="1" si="106"/>
        <v>#REF!</v>
      </c>
      <c r="AN88" s="161" t="e">
        <f t="shared" ca="1" si="106"/>
        <v>#REF!</v>
      </c>
      <c r="AO88" s="162" t="e">
        <f t="shared" ca="1" si="106"/>
        <v>#REF!</v>
      </c>
      <c r="AP88" s="163" t="e">
        <f t="shared" ca="1" si="107"/>
        <v>#REF!</v>
      </c>
      <c r="AQ88" s="148"/>
      <c r="AR88" s="160" t="e">
        <f t="shared" ca="1" si="111"/>
        <v>#REF!</v>
      </c>
      <c r="AS88" s="161" t="e">
        <f t="shared" ca="1" si="112"/>
        <v>#REF!</v>
      </c>
      <c r="AT88" s="161" t="e">
        <f t="shared" ca="1" si="113"/>
        <v>#REF!</v>
      </c>
      <c r="AU88" s="161" t="e">
        <f t="shared" ca="1" si="114"/>
        <v>#REF!</v>
      </c>
      <c r="AV88" s="161" t="e">
        <f t="shared" ca="1" si="115"/>
        <v>#REF!</v>
      </c>
      <c r="AW88" s="161" t="e">
        <f t="shared" ca="1" si="116"/>
        <v>#REF!</v>
      </c>
      <c r="AX88" s="161" t="e">
        <f t="shared" ca="1" si="117"/>
        <v>#REF!</v>
      </c>
      <c r="AY88" s="161" t="e">
        <f t="shared" ca="1" si="118"/>
        <v>#REF!</v>
      </c>
      <c r="AZ88" s="161" t="e">
        <f t="shared" ca="1" si="119"/>
        <v>#REF!</v>
      </c>
      <c r="BA88" s="162" t="e">
        <f t="shared" ca="1" si="120"/>
        <v>#REF!</v>
      </c>
      <c r="BB88" s="163" t="e">
        <f t="shared" ca="1" si="109"/>
        <v>#REF!</v>
      </c>
      <c r="BC88" s="148"/>
      <c r="BD88" s="163" t="e">
        <f t="shared" ca="1" si="110"/>
        <v>#REF!</v>
      </c>
    </row>
    <row r="89" spans="2:56" ht="17.100000000000001" customHeight="1">
      <c r="B89" s="380" t="s">
        <v>30</v>
      </c>
      <c r="C89" s="611" t="e">
        <f t="shared" ca="1" si="102"/>
        <v>#REF!</v>
      </c>
      <c r="D89" s="612"/>
      <c r="E89" s="382" t="e">
        <f t="shared" ca="1" si="103"/>
        <v>#REF!</v>
      </c>
      <c r="F89" s="382" t="e">
        <f t="shared" ca="1" si="104"/>
        <v>#REF!</v>
      </c>
      <c r="G89" s="382" t="e">
        <f t="shared" ca="1" si="104"/>
        <v>#REF!</v>
      </c>
      <c r="H89" s="641"/>
      <c r="I89" s="52"/>
      <c r="J89"/>
      <c r="K89"/>
      <c r="L89" s="25"/>
      <c r="M89" s="25"/>
      <c r="N89" s="378"/>
      <c r="O89" s="378"/>
      <c r="P89" s="378"/>
      <c r="Q89" s="378"/>
      <c r="R89" s="378"/>
      <c r="S89" s="378"/>
      <c r="T89" s="25"/>
      <c r="U89" s="25"/>
      <c r="V89" s="25"/>
      <c r="W89" s="378"/>
      <c r="X89" s="378"/>
      <c r="Y89" s="378"/>
      <c r="Z89" s="378"/>
      <c r="AA89" s="378"/>
      <c r="AB89" s="378"/>
      <c r="AC89" s="573"/>
      <c r="AD89" s="62" t="s">
        <v>29</v>
      </c>
      <c r="AE89" s="148"/>
      <c r="AF89" s="160" t="e">
        <f t="shared" ca="1" si="105"/>
        <v>#REF!</v>
      </c>
      <c r="AG89" s="161" t="e">
        <f t="shared" ca="1" si="106"/>
        <v>#REF!</v>
      </c>
      <c r="AH89" s="161" t="e">
        <f t="shared" ca="1" si="106"/>
        <v>#REF!</v>
      </c>
      <c r="AI89" s="161" t="e">
        <f t="shared" ca="1" si="106"/>
        <v>#REF!</v>
      </c>
      <c r="AJ89" s="161" t="e">
        <f t="shared" ca="1" si="106"/>
        <v>#REF!</v>
      </c>
      <c r="AK89" s="161" t="e">
        <f t="shared" ca="1" si="106"/>
        <v>#REF!</v>
      </c>
      <c r="AL89" s="161" t="e">
        <f t="shared" ca="1" si="106"/>
        <v>#REF!</v>
      </c>
      <c r="AM89" s="161" t="e">
        <f t="shared" ca="1" si="106"/>
        <v>#REF!</v>
      </c>
      <c r="AN89" s="161" t="e">
        <f t="shared" ca="1" si="106"/>
        <v>#REF!</v>
      </c>
      <c r="AO89" s="162" t="e">
        <f t="shared" ca="1" si="106"/>
        <v>#REF!</v>
      </c>
      <c r="AP89" s="163" t="e">
        <f t="shared" ca="1" si="107"/>
        <v>#REF!</v>
      </c>
      <c r="AQ89" s="148"/>
      <c r="AR89" s="160" t="e">
        <f t="shared" ca="1" si="111"/>
        <v>#REF!</v>
      </c>
      <c r="AS89" s="161" t="e">
        <f t="shared" ca="1" si="112"/>
        <v>#REF!</v>
      </c>
      <c r="AT89" s="161" t="e">
        <f t="shared" ca="1" si="113"/>
        <v>#REF!</v>
      </c>
      <c r="AU89" s="161" t="e">
        <f t="shared" ca="1" si="114"/>
        <v>#REF!</v>
      </c>
      <c r="AV89" s="161" t="e">
        <f t="shared" ca="1" si="115"/>
        <v>#REF!</v>
      </c>
      <c r="AW89" s="161" t="e">
        <f t="shared" ca="1" si="116"/>
        <v>#REF!</v>
      </c>
      <c r="AX89" s="161" t="e">
        <f t="shared" ca="1" si="117"/>
        <v>#REF!</v>
      </c>
      <c r="AY89" s="161" t="e">
        <f t="shared" ca="1" si="118"/>
        <v>#REF!</v>
      </c>
      <c r="AZ89" s="161" t="e">
        <f t="shared" ca="1" si="119"/>
        <v>#REF!</v>
      </c>
      <c r="BA89" s="162" t="e">
        <f t="shared" ca="1" si="120"/>
        <v>#REF!</v>
      </c>
      <c r="BB89" s="163" t="e">
        <f t="shared" ca="1" si="109"/>
        <v>#REF!</v>
      </c>
      <c r="BC89" s="148"/>
      <c r="BD89" s="163" t="e">
        <f t="shared" ca="1" si="110"/>
        <v>#REF!</v>
      </c>
    </row>
    <row r="90" spans="2:56" ht="17.100000000000001" customHeight="1">
      <c r="B90" s="380" t="s">
        <v>31</v>
      </c>
      <c r="C90" s="611" t="e">
        <f t="shared" ca="1" si="102"/>
        <v>#REF!</v>
      </c>
      <c r="D90" s="612"/>
      <c r="E90" s="382" t="e">
        <f t="shared" ca="1" si="103"/>
        <v>#REF!</v>
      </c>
      <c r="F90" s="382" t="e">
        <f t="shared" ca="1" si="104"/>
        <v>#REF!</v>
      </c>
      <c r="G90" s="382" t="e">
        <f t="shared" ca="1" si="104"/>
        <v>#REF!</v>
      </c>
      <c r="H90" s="641"/>
      <c r="I90" s="52"/>
      <c r="J90" s="24"/>
      <c r="K90" s="24"/>
      <c r="L90" s="25"/>
      <c r="M90" s="25"/>
      <c r="N90" s="378"/>
      <c r="O90" s="378"/>
      <c r="P90" s="378"/>
      <c r="Q90" s="378"/>
      <c r="R90" s="378"/>
      <c r="S90" s="378"/>
      <c r="T90" s="25"/>
      <c r="U90" s="25"/>
      <c r="V90" s="25"/>
      <c r="W90" s="378"/>
      <c r="X90" s="378"/>
      <c r="Y90" s="378"/>
      <c r="Z90" s="378"/>
      <c r="AA90" s="378"/>
      <c r="AB90" s="378"/>
      <c r="AC90" s="573"/>
      <c r="AD90" s="62" t="s">
        <v>30</v>
      </c>
      <c r="AE90" s="148"/>
      <c r="AF90" s="160" t="e">
        <f t="shared" ca="1" si="105"/>
        <v>#REF!</v>
      </c>
      <c r="AG90" s="161" t="e">
        <f t="shared" ca="1" si="106"/>
        <v>#REF!</v>
      </c>
      <c r="AH90" s="161" t="e">
        <f t="shared" ca="1" si="106"/>
        <v>#REF!</v>
      </c>
      <c r="AI90" s="161" t="e">
        <f t="shared" ca="1" si="106"/>
        <v>#REF!</v>
      </c>
      <c r="AJ90" s="161" t="e">
        <f t="shared" ca="1" si="106"/>
        <v>#REF!</v>
      </c>
      <c r="AK90" s="161" t="e">
        <f t="shared" ca="1" si="106"/>
        <v>#REF!</v>
      </c>
      <c r="AL90" s="161" t="e">
        <f t="shared" ca="1" si="106"/>
        <v>#REF!</v>
      </c>
      <c r="AM90" s="161" t="e">
        <f t="shared" ca="1" si="106"/>
        <v>#REF!</v>
      </c>
      <c r="AN90" s="161" t="e">
        <f t="shared" ca="1" si="106"/>
        <v>#REF!</v>
      </c>
      <c r="AO90" s="162" t="e">
        <f t="shared" ca="1" si="106"/>
        <v>#REF!</v>
      </c>
      <c r="AP90" s="163" t="e">
        <f t="shared" ca="1" si="107"/>
        <v>#REF!</v>
      </c>
      <c r="AQ90" s="148"/>
      <c r="AR90" s="160" t="e">
        <f t="shared" ca="1" si="111"/>
        <v>#REF!</v>
      </c>
      <c r="AS90" s="161" t="e">
        <f t="shared" ca="1" si="112"/>
        <v>#REF!</v>
      </c>
      <c r="AT90" s="161" t="e">
        <f t="shared" ca="1" si="113"/>
        <v>#REF!</v>
      </c>
      <c r="AU90" s="161" t="e">
        <f t="shared" ca="1" si="114"/>
        <v>#REF!</v>
      </c>
      <c r="AV90" s="161" t="e">
        <f t="shared" ca="1" si="115"/>
        <v>#REF!</v>
      </c>
      <c r="AW90" s="161" t="e">
        <f t="shared" ca="1" si="116"/>
        <v>#REF!</v>
      </c>
      <c r="AX90" s="161" t="e">
        <f t="shared" ca="1" si="117"/>
        <v>#REF!</v>
      </c>
      <c r="AY90" s="161" t="e">
        <f t="shared" ca="1" si="118"/>
        <v>#REF!</v>
      </c>
      <c r="AZ90" s="161" t="e">
        <f t="shared" ca="1" si="119"/>
        <v>#REF!</v>
      </c>
      <c r="BA90" s="162" t="e">
        <f t="shared" ca="1" si="120"/>
        <v>#REF!</v>
      </c>
      <c r="BB90" s="163" t="e">
        <f t="shared" ca="1" si="109"/>
        <v>#REF!</v>
      </c>
      <c r="BC90" s="148"/>
      <c r="BD90" s="163" t="e">
        <f t="shared" ca="1" si="110"/>
        <v>#REF!</v>
      </c>
    </row>
    <row r="91" spans="2:56" ht="17.100000000000001" customHeight="1">
      <c r="B91" s="380" t="s">
        <v>32</v>
      </c>
      <c r="C91" s="611" t="e">
        <f t="shared" ca="1" si="102"/>
        <v>#REF!</v>
      </c>
      <c r="D91" s="612"/>
      <c r="E91" s="382" t="e">
        <f t="shared" ca="1" si="103"/>
        <v>#REF!</v>
      </c>
      <c r="F91" s="382" t="e">
        <f t="shared" ca="1" si="104"/>
        <v>#REF!</v>
      </c>
      <c r="G91" s="382" t="e">
        <f t="shared" ca="1" si="104"/>
        <v>#REF!</v>
      </c>
      <c r="H91" s="641"/>
      <c r="I91" s="52"/>
      <c r="J91"/>
      <c r="K91"/>
      <c r="L91" s="25"/>
      <c r="M91" s="25"/>
      <c r="N91" s="378"/>
      <c r="O91" s="378"/>
      <c r="P91" s="378"/>
      <c r="Q91" s="378"/>
      <c r="R91" s="378"/>
      <c r="S91" s="378"/>
      <c r="T91" s="25"/>
      <c r="U91" s="25"/>
      <c r="V91" s="25"/>
      <c r="W91" s="378"/>
      <c r="X91" s="378"/>
      <c r="Y91" s="378"/>
      <c r="Z91" s="378"/>
      <c r="AA91" s="378"/>
      <c r="AB91" s="378"/>
      <c r="AC91" s="573"/>
      <c r="AD91" s="62" t="s">
        <v>31</v>
      </c>
      <c r="AE91" s="148"/>
      <c r="AF91" s="160" t="e">
        <f t="shared" ca="1" si="105"/>
        <v>#REF!</v>
      </c>
      <c r="AG91" s="161" t="e">
        <f t="shared" ca="1" si="106"/>
        <v>#REF!</v>
      </c>
      <c r="AH91" s="161" t="e">
        <f t="shared" ca="1" si="106"/>
        <v>#REF!</v>
      </c>
      <c r="AI91" s="161" t="e">
        <f t="shared" ca="1" si="106"/>
        <v>#REF!</v>
      </c>
      <c r="AJ91" s="161" t="e">
        <f t="shared" ca="1" si="106"/>
        <v>#REF!</v>
      </c>
      <c r="AK91" s="161" t="e">
        <f t="shared" ca="1" si="106"/>
        <v>#REF!</v>
      </c>
      <c r="AL91" s="161" t="e">
        <f t="shared" ca="1" si="106"/>
        <v>#REF!</v>
      </c>
      <c r="AM91" s="161" t="e">
        <f t="shared" ca="1" si="106"/>
        <v>#REF!</v>
      </c>
      <c r="AN91" s="161" t="e">
        <f t="shared" ca="1" si="106"/>
        <v>#REF!</v>
      </c>
      <c r="AO91" s="162" t="e">
        <f t="shared" ca="1" si="106"/>
        <v>#REF!</v>
      </c>
      <c r="AP91" s="163" t="e">
        <f t="shared" ca="1" si="107"/>
        <v>#REF!</v>
      </c>
      <c r="AQ91" s="148"/>
      <c r="AR91" s="160" t="e">
        <f t="shared" ca="1" si="111"/>
        <v>#REF!</v>
      </c>
      <c r="AS91" s="161" t="e">
        <f t="shared" ca="1" si="112"/>
        <v>#REF!</v>
      </c>
      <c r="AT91" s="161" t="e">
        <f t="shared" ca="1" si="113"/>
        <v>#REF!</v>
      </c>
      <c r="AU91" s="161" t="e">
        <f t="shared" ca="1" si="114"/>
        <v>#REF!</v>
      </c>
      <c r="AV91" s="161" t="e">
        <f t="shared" ca="1" si="115"/>
        <v>#REF!</v>
      </c>
      <c r="AW91" s="161" t="e">
        <f t="shared" ca="1" si="116"/>
        <v>#REF!</v>
      </c>
      <c r="AX91" s="161" t="e">
        <f t="shared" ca="1" si="117"/>
        <v>#REF!</v>
      </c>
      <c r="AY91" s="161" t="e">
        <f t="shared" ca="1" si="118"/>
        <v>#REF!</v>
      </c>
      <c r="AZ91" s="161" t="e">
        <f t="shared" ca="1" si="119"/>
        <v>#REF!</v>
      </c>
      <c r="BA91" s="162" t="e">
        <f t="shared" ca="1" si="120"/>
        <v>#REF!</v>
      </c>
      <c r="BB91" s="163" t="e">
        <f t="shared" ca="1" si="109"/>
        <v>#REF!</v>
      </c>
      <c r="BC91" s="148"/>
      <c r="BD91" s="163" t="e">
        <f t="shared" ca="1" si="110"/>
        <v>#REF!</v>
      </c>
    </row>
    <row r="92" spans="2:56" ht="17.100000000000001" customHeight="1">
      <c r="B92" s="380" t="s">
        <v>33</v>
      </c>
      <c r="C92" s="611" t="e">
        <f t="shared" ca="1" si="102"/>
        <v>#REF!</v>
      </c>
      <c r="D92" s="612"/>
      <c r="E92" s="382" t="e">
        <f t="shared" ca="1" si="103"/>
        <v>#REF!</v>
      </c>
      <c r="F92" s="382" t="e">
        <f t="shared" ca="1" si="104"/>
        <v>#REF!</v>
      </c>
      <c r="G92" s="382" t="e">
        <f t="shared" ca="1" si="104"/>
        <v>#REF!</v>
      </c>
      <c r="H92" s="641"/>
      <c r="I92" s="52"/>
      <c r="J92"/>
      <c r="K92"/>
      <c r="L92" s="25"/>
      <c r="M92" s="25"/>
      <c r="N92" s="378"/>
      <c r="O92" s="378"/>
      <c r="P92" s="378"/>
      <c r="Q92" s="378"/>
      <c r="R92" s="378"/>
      <c r="S92" s="378"/>
      <c r="T92" s="25"/>
      <c r="U92" s="25"/>
      <c r="V92" s="25"/>
      <c r="W92" s="378"/>
      <c r="X92" s="378"/>
      <c r="Y92" s="378"/>
      <c r="Z92" s="378"/>
      <c r="AA92" s="378"/>
      <c r="AB92" s="378"/>
      <c r="AC92" s="573"/>
      <c r="AD92" s="62" t="s">
        <v>32</v>
      </c>
      <c r="AE92" s="148"/>
      <c r="AF92" s="160" t="e">
        <f t="shared" ca="1" si="105"/>
        <v>#REF!</v>
      </c>
      <c r="AG92" s="161" t="e">
        <f t="shared" ca="1" si="106"/>
        <v>#REF!</v>
      </c>
      <c r="AH92" s="161" t="e">
        <f t="shared" ca="1" si="106"/>
        <v>#REF!</v>
      </c>
      <c r="AI92" s="161" t="e">
        <f t="shared" ca="1" si="106"/>
        <v>#REF!</v>
      </c>
      <c r="AJ92" s="161" t="e">
        <f t="shared" ca="1" si="106"/>
        <v>#REF!</v>
      </c>
      <c r="AK92" s="161" t="e">
        <f t="shared" ca="1" si="106"/>
        <v>#REF!</v>
      </c>
      <c r="AL92" s="161" t="e">
        <f t="shared" ca="1" si="106"/>
        <v>#REF!</v>
      </c>
      <c r="AM92" s="161" t="e">
        <f t="shared" ca="1" si="106"/>
        <v>#REF!</v>
      </c>
      <c r="AN92" s="161" t="e">
        <f t="shared" ca="1" si="106"/>
        <v>#REF!</v>
      </c>
      <c r="AO92" s="162" t="e">
        <f t="shared" ca="1" si="106"/>
        <v>#REF!</v>
      </c>
      <c r="AP92" s="163" t="e">
        <f t="shared" ca="1" si="107"/>
        <v>#REF!</v>
      </c>
      <c r="AQ92" s="148"/>
      <c r="AR92" s="160" t="e">
        <f t="shared" ca="1" si="111"/>
        <v>#REF!</v>
      </c>
      <c r="AS92" s="161" t="e">
        <f t="shared" ca="1" si="112"/>
        <v>#REF!</v>
      </c>
      <c r="AT92" s="161" t="e">
        <f t="shared" ca="1" si="113"/>
        <v>#REF!</v>
      </c>
      <c r="AU92" s="161" t="e">
        <f t="shared" ca="1" si="114"/>
        <v>#REF!</v>
      </c>
      <c r="AV92" s="161" t="e">
        <f t="shared" ca="1" si="115"/>
        <v>#REF!</v>
      </c>
      <c r="AW92" s="161" t="e">
        <f t="shared" ca="1" si="116"/>
        <v>#REF!</v>
      </c>
      <c r="AX92" s="161" t="e">
        <f t="shared" ca="1" si="117"/>
        <v>#REF!</v>
      </c>
      <c r="AY92" s="161" t="e">
        <f t="shared" ca="1" si="118"/>
        <v>#REF!</v>
      </c>
      <c r="AZ92" s="161" t="e">
        <f t="shared" ca="1" si="119"/>
        <v>#REF!</v>
      </c>
      <c r="BA92" s="162" t="e">
        <f t="shared" ca="1" si="120"/>
        <v>#REF!</v>
      </c>
      <c r="BB92" s="163" t="e">
        <f t="shared" ca="1" si="109"/>
        <v>#REF!</v>
      </c>
      <c r="BC92" s="148"/>
      <c r="BD92" s="163" t="e">
        <f t="shared" ca="1" si="110"/>
        <v>#REF!</v>
      </c>
    </row>
    <row r="93" spans="2:56" ht="17.100000000000001" customHeight="1">
      <c r="B93" s="380" t="s">
        <v>34</v>
      </c>
      <c r="C93" s="611" t="e">
        <f t="shared" ca="1" si="102"/>
        <v>#REF!</v>
      </c>
      <c r="D93" s="612"/>
      <c r="E93" s="382" t="e">
        <f t="shared" ca="1" si="103"/>
        <v>#REF!</v>
      </c>
      <c r="F93" s="382" t="e">
        <f t="shared" ca="1" si="104"/>
        <v>#REF!</v>
      </c>
      <c r="G93" s="382" t="e">
        <f t="shared" ca="1" si="104"/>
        <v>#REF!</v>
      </c>
      <c r="H93" s="641"/>
      <c r="I93" s="52"/>
      <c r="J93"/>
      <c r="K93"/>
      <c r="L93" s="25"/>
      <c r="M93" s="25"/>
      <c r="N93" s="378"/>
      <c r="O93" s="378"/>
      <c r="P93" s="378"/>
      <c r="Q93" s="378"/>
      <c r="R93" s="378"/>
      <c r="S93" s="378"/>
      <c r="T93" s="25"/>
      <c r="U93" s="25"/>
      <c r="V93" s="25"/>
      <c r="W93" s="378"/>
      <c r="X93" s="378"/>
      <c r="Y93" s="378"/>
      <c r="Z93" s="378"/>
      <c r="AA93" s="378"/>
      <c r="AB93" s="378"/>
      <c r="AC93" s="573"/>
      <c r="AD93" s="62" t="s">
        <v>33</v>
      </c>
      <c r="AE93" s="148"/>
      <c r="AF93" s="160" t="e">
        <f t="shared" ca="1" si="105"/>
        <v>#REF!</v>
      </c>
      <c r="AG93" s="161" t="e">
        <f t="shared" ca="1" si="106"/>
        <v>#REF!</v>
      </c>
      <c r="AH93" s="161" t="e">
        <f t="shared" ca="1" si="106"/>
        <v>#REF!</v>
      </c>
      <c r="AI93" s="161" t="e">
        <f t="shared" ca="1" si="106"/>
        <v>#REF!</v>
      </c>
      <c r="AJ93" s="161" t="e">
        <f t="shared" ca="1" si="106"/>
        <v>#REF!</v>
      </c>
      <c r="AK93" s="161" t="e">
        <f t="shared" ca="1" si="106"/>
        <v>#REF!</v>
      </c>
      <c r="AL93" s="161" t="e">
        <f t="shared" ca="1" si="106"/>
        <v>#REF!</v>
      </c>
      <c r="AM93" s="161" t="e">
        <f t="shared" ca="1" si="106"/>
        <v>#REF!</v>
      </c>
      <c r="AN93" s="161" t="e">
        <f t="shared" ca="1" si="106"/>
        <v>#REF!</v>
      </c>
      <c r="AO93" s="162" t="e">
        <f t="shared" ca="1" si="106"/>
        <v>#REF!</v>
      </c>
      <c r="AP93" s="163" t="e">
        <f t="shared" ca="1" si="107"/>
        <v>#REF!</v>
      </c>
      <c r="AQ93" s="148"/>
      <c r="AR93" s="160" t="e">
        <f t="shared" ca="1" si="111"/>
        <v>#REF!</v>
      </c>
      <c r="AS93" s="161" t="e">
        <f t="shared" ca="1" si="112"/>
        <v>#REF!</v>
      </c>
      <c r="AT93" s="161" t="e">
        <f t="shared" ca="1" si="113"/>
        <v>#REF!</v>
      </c>
      <c r="AU93" s="161" t="e">
        <f t="shared" ca="1" si="114"/>
        <v>#REF!</v>
      </c>
      <c r="AV93" s="161" t="e">
        <f t="shared" ca="1" si="115"/>
        <v>#REF!</v>
      </c>
      <c r="AW93" s="161" t="e">
        <f t="shared" ca="1" si="116"/>
        <v>#REF!</v>
      </c>
      <c r="AX93" s="161" t="e">
        <f t="shared" ca="1" si="117"/>
        <v>#REF!</v>
      </c>
      <c r="AY93" s="161" t="e">
        <f t="shared" ca="1" si="118"/>
        <v>#REF!</v>
      </c>
      <c r="AZ93" s="161" t="e">
        <f t="shared" ca="1" si="119"/>
        <v>#REF!</v>
      </c>
      <c r="BA93" s="162" t="e">
        <f t="shared" ca="1" si="120"/>
        <v>#REF!</v>
      </c>
      <c r="BB93" s="163" t="e">
        <f t="shared" ca="1" si="109"/>
        <v>#REF!</v>
      </c>
      <c r="BC93" s="148"/>
      <c r="BD93" s="163" t="e">
        <f t="shared" ca="1" si="110"/>
        <v>#REF!</v>
      </c>
    </row>
    <row r="94" spans="2:56" ht="17.100000000000001" customHeight="1">
      <c r="B94" s="380" t="s">
        <v>35</v>
      </c>
      <c r="C94" s="611" t="e">
        <f t="shared" ca="1" si="102"/>
        <v>#REF!</v>
      </c>
      <c r="D94" s="612"/>
      <c r="E94" s="382" t="e">
        <f t="shared" ca="1" si="103"/>
        <v>#REF!</v>
      </c>
      <c r="F94" s="382" t="e">
        <f t="shared" ca="1" si="104"/>
        <v>#REF!</v>
      </c>
      <c r="G94" s="382" t="e">
        <f t="shared" ca="1" si="104"/>
        <v>#REF!</v>
      </c>
      <c r="H94" s="641"/>
      <c r="I94" s="52"/>
      <c r="J94"/>
      <c r="K94"/>
      <c r="L94" s="25"/>
      <c r="M94" s="25"/>
      <c r="N94" s="378"/>
      <c r="O94" s="378"/>
      <c r="P94" s="378"/>
      <c r="Q94" s="378"/>
      <c r="R94" s="378"/>
      <c r="S94" s="378"/>
      <c r="T94" s="25"/>
      <c r="U94" s="25"/>
      <c r="V94" s="25"/>
      <c r="W94" s="378"/>
      <c r="X94" s="378"/>
      <c r="Y94" s="378"/>
      <c r="Z94" s="378"/>
      <c r="AA94" s="378"/>
      <c r="AB94" s="378"/>
      <c r="AC94" s="573"/>
      <c r="AD94" s="62" t="s">
        <v>34</v>
      </c>
      <c r="AE94" s="148"/>
      <c r="AF94" s="160" t="e">
        <f t="shared" ca="1" si="105"/>
        <v>#REF!</v>
      </c>
      <c r="AG94" s="161" t="e">
        <f t="shared" ca="1" si="106"/>
        <v>#REF!</v>
      </c>
      <c r="AH94" s="161" t="e">
        <f t="shared" ca="1" si="106"/>
        <v>#REF!</v>
      </c>
      <c r="AI94" s="161" t="e">
        <f t="shared" ca="1" si="106"/>
        <v>#REF!</v>
      </c>
      <c r="AJ94" s="161" t="e">
        <f t="shared" ca="1" si="106"/>
        <v>#REF!</v>
      </c>
      <c r="AK94" s="161" t="e">
        <f t="shared" ca="1" si="106"/>
        <v>#REF!</v>
      </c>
      <c r="AL94" s="161" t="e">
        <f t="shared" ca="1" si="106"/>
        <v>#REF!</v>
      </c>
      <c r="AM94" s="161" t="e">
        <f t="shared" ca="1" si="106"/>
        <v>#REF!</v>
      </c>
      <c r="AN94" s="161" t="e">
        <f t="shared" ca="1" si="106"/>
        <v>#REF!</v>
      </c>
      <c r="AO94" s="162" t="e">
        <f t="shared" ca="1" si="106"/>
        <v>#REF!</v>
      </c>
      <c r="AP94" s="163" t="e">
        <f t="shared" ca="1" si="107"/>
        <v>#REF!</v>
      </c>
      <c r="AQ94" s="148"/>
      <c r="AR94" s="160" t="e">
        <f t="shared" ca="1" si="111"/>
        <v>#REF!</v>
      </c>
      <c r="AS94" s="161" t="e">
        <f t="shared" ca="1" si="112"/>
        <v>#REF!</v>
      </c>
      <c r="AT94" s="161" t="e">
        <f t="shared" ca="1" si="113"/>
        <v>#REF!</v>
      </c>
      <c r="AU94" s="161" t="e">
        <f t="shared" ca="1" si="114"/>
        <v>#REF!</v>
      </c>
      <c r="AV94" s="161" t="e">
        <f t="shared" ca="1" si="115"/>
        <v>#REF!</v>
      </c>
      <c r="AW94" s="161" t="e">
        <f t="shared" ca="1" si="116"/>
        <v>#REF!</v>
      </c>
      <c r="AX94" s="161" t="e">
        <f t="shared" ca="1" si="117"/>
        <v>#REF!</v>
      </c>
      <c r="AY94" s="161" t="e">
        <f t="shared" ca="1" si="118"/>
        <v>#REF!</v>
      </c>
      <c r="AZ94" s="161" t="e">
        <f t="shared" ca="1" si="119"/>
        <v>#REF!</v>
      </c>
      <c r="BA94" s="162" t="e">
        <f t="shared" ca="1" si="120"/>
        <v>#REF!</v>
      </c>
      <c r="BB94" s="163" t="e">
        <f t="shared" ca="1" si="109"/>
        <v>#REF!</v>
      </c>
      <c r="BC94" s="148"/>
      <c r="BD94" s="163" t="e">
        <f t="shared" ca="1" si="110"/>
        <v>#REF!</v>
      </c>
    </row>
    <row r="95" spans="2:56" ht="17.100000000000001" customHeight="1">
      <c r="B95" s="380" t="s">
        <v>36</v>
      </c>
      <c r="C95" s="611" t="e">
        <f t="shared" ca="1" si="102"/>
        <v>#REF!</v>
      </c>
      <c r="D95" s="612"/>
      <c r="E95" s="382" t="e">
        <f t="shared" ca="1" si="103"/>
        <v>#REF!</v>
      </c>
      <c r="F95" s="382" t="e">
        <f t="shared" ca="1" si="104"/>
        <v>#REF!</v>
      </c>
      <c r="G95" s="382" t="e">
        <f t="shared" ca="1" si="104"/>
        <v>#REF!</v>
      </c>
      <c r="H95" s="641"/>
      <c r="I95" s="52"/>
      <c r="J95"/>
      <c r="K95"/>
      <c r="L95" s="25"/>
      <c r="M95" s="25"/>
      <c r="N95" s="378"/>
      <c r="O95" s="378"/>
      <c r="P95" s="378"/>
      <c r="Q95" s="378"/>
      <c r="R95" s="378"/>
      <c r="S95" s="378"/>
      <c r="T95" s="25"/>
      <c r="U95" s="25"/>
      <c r="V95" s="25"/>
      <c r="W95" s="378"/>
      <c r="X95" s="378"/>
      <c r="Y95" s="378"/>
      <c r="Z95" s="378"/>
      <c r="AA95" s="378"/>
      <c r="AB95" s="378"/>
      <c r="AC95" s="573"/>
      <c r="AD95" s="62" t="s">
        <v>35</v>
      </c>
      <c r="AE95" s="148"/>
      <c r="AF95" s="160" t="e">
        <f t="shared" ca="1" si="105"/>
        <v>#REF!</v>
      </c>
      <c r="AG95" s="161" t="e">
        <f t="shared" ca="1" si="106"/>
        <v>#REF!</v>
      </c>
      <c r="AH95" s="161" t="e">
        <f t="shared" ca="1" si="106"/>
        <v>#REF!</v>
      </c>
      <c r="AI95" s="161" t="e">
        <f t="shared" ca="1" si="106"/>
        <v>#REF!</v>
      </c>
      <c r="AJ95" s="161" t="e">
        <f t="shared" ca="1" si="106"/>
        <v>#REF!</v>
      </c>
      <c r="AK95" s="161" t="e">
        <f t="shared" ca="1" si="106"/>
        <v>#REF!</v>
      </c>
      <c r="AL95" s="161" t="e">
        <f t="shared" ca="1" si="106"/>
        <v>#REF!</v>
      </c>
      <c r="AM95" s="161" t="e">
        <f t="shared" ca="1" si="106"/>
        <v>#REF!</v>
      </c>
      <c r="AN95" s="161" t="e">
        <f t="shared" ca="1" si="106"/>
        <v>#REF!</v>
      </c>
      <c r="AO95" s="162" t="e">
        <f t="shared" ca="1" si="106"/>
        <v>#REF!</v>
      </c>
      <c r="AP95" s="163" t="e">
        <f t="shared" ca="1" si="107"/>
        <v>#REF!</v>
      </c>
      <c r="AQ95" s="148"/>
      <c r="AR95" s="160" t="e">
        <f t="shared" ca="1" si="111"/>
        <v>#REF!</v>
      </c>
      <c r="AS95" s="161" t="e">
        <f t="shared" ca="1" si="112"/>
        <v>#REF!</v>
      </c>
      <c r="AT95" s="161" t="e">
        <f t="shared" ca="1" si="113"/>
        <v>#REF!</v>
      </c>
      <c r="AU95" s="161" t="e">
        <f t="shared" ca="1" si="114"/>
        <v>#REF!</v>
      </c>
      <c r="AV95" s="161" t="e">
        <f t="shared" ca="1" si="115"/>
        <v>#REF!</v>
      </c>
      <c r="AW95" s="161" t="e">
        <f t="shared" ca="1" si="116"/>
        <v>#REF!</v>
      </c>
      <c r="AX95" s="161" t="e">
        <f t="shared" ca="1" si="117"/>
        <v>#REF!</v>
      </c>
      <c r="AY95" s="161" t="e">
        <f t="shared" ca="1" si="118"/>
        <v>#REF!</v>
      </c>
      <c r="AZ95" s="161" t="e">
        <f t="shared" ca="1" si="119"/>
        <v>#REF!</v>
      </c>
      <c r="BA95" s="162" t="e">
        <f t="shared" ca="1" si="120"/>
        <v>#REF!</v>
      </c>
      <c r="BB95" s="163" t="e">
        <f t="shared" ca="1" si="109"/>
        <v>#REF!</v>
      </c>
      <c r="BC95" s="148"/>
      <c r="BD95" s="163" t="e">
        <f t="shared" ca="1" si="110"/>
        <v>#REF!</v>
      </c>
    </row>
    <row r="96" spans="2:56" ht="17.100000000000001" customHeight="1">
      <c r="B96" s="380" t="s">
        <v>37</v>
      </c>
      <c r="C96" s="611" t="e">
        <f t="shared" ca="1" si="102"/>
        <v>#REF!</v>
      </c>
      <c r="D96" s="612"/>
      <c r="E96" s="382" t="e">
        <f t="shared" ca="1" si="103"/>
        <v>#REF!</v>
      </c>
      <c r="F96" s="382" t="e">
        <f t="shared" ca="1" si="104"/>
        <v>#REF!</v>
      </c>
      <c r="G96" s="382" t="e">
        <f t="shared" ca="1" si="104"/>
        <v>#REF!</v>
      </c>
      <c r="H96" s="641"/>
      <c r="I96" s="52"/>
      <c r="J96"/>
      <c r="K96"/>
      <c r="L96" s="25"/>
      <c r="M96" s="25"/>
      <c r="N96" s="378"/>
      <c r="O96" s="378"/>
      <c r="P96" s="378"/>
      <c r="Q96" s="378"/>
      <c r="R96" s="378"/>
      <c r="S96" s="378"/>
      <c r="T96" s="25"/>
      <c r="U96" s="25"/>
      <c r="V96" s="25"/>
      <c r="W96" s="378"/>
      <c r="X96" s="378"/>
      <c r="Y96" s="378"/>
      <c r="Z96" s="378"/>
      <c r="AA96" s="378"/>
      <c r="AB96" s="378"/>
      <c r="AC96" s="573"/>
      <c r="AD96" s="62" t="s">
        <v>36</v>
      </c>
      <c r="AE96" s="148"/>
      <c r="AF96" s="160" t="e">
        <f t="shared" ca="1" si="105"/>
        <v>#REF!</v>
      </c>
      <c r="AG96" s="161" t="e">
        <f t="shared" ca="1" si="106"/>
        <v>#REF!</v>
      </c>
      <c r="AH96" s="161" t="e">
        <f t="shared" ca="1" si="106"/>
        <v>#REF!</v>
      </c>
      <c r="AI96" s="161" t="e">
        <f t="shared" ca="1" si="106"/>
        <v>#REF!</v>
      </c>
      <c r="AJ96" s="161" t="e">
        <f t="shared" ca="1" si="106"/>
        <v>#REF!</v>
      </c>
      <c r="AK96" s="161" t="e">
        <f t="shared" ca="1" si="106"/>
        <v>#REF!</v>
      </c>
      <c r="AL96" s="161" t="e">
        <f t="shared" ca="1" si="106"/>
        <v>#REF!</v>
      </c>
      <c r="AM96" s="161" t="e">
        <f t="shared" ca="1" si="106"/>
        <v>#REF!</v>
      </c>
      <c r="AN96" s="161" t="e">
        <f t="shared" ca="1" si="106"/>
        <v>#REF!</v>
      </c>
      <c r="AO96" s="162" t="e">
        <f t="shared" ca="1" si="106"/>
        <v>#REF!</v>
      </c>
      <c r="AP96" s="163" t="e">
        <f t="shared" ca="1" si="107"/>
        <v>#REF!</v>
      </c>
      <c r="AQ96" s="148"/>
      <c r="AR96" s="160" t="e">
        <f t="shared" ca="1" si="111"/>
        <v>#REF!</v>
      </c>
      <c r="AS96" s="161" t="e">
        <f t="shared" ca="1" si="112"/>
        <v>#REF!</v>
      </c>
      <c r="AT96" s="161" t="e">
        <f t="shared" ca="1" si="113"/>
        <v>#REF!</v>
      </c>
      <c r="AU96" s="161" t="e">
        <f t="shared" ca="1" si="114"/>
        <v>#REF!</v>
      </c>
      <c r="AV96" s="161" t="e">
        <f t="shared" ca="1" si="115"/>
        <v>#REF!</v>
      </c>
      <c r="AW96" s="161" t="e">
        <f t="shared" ca="1" si="116"/>
        <v>#REF!</v>
      </c>
      <c r="AX96" s="161" t="e">
        <f t="shared" ca="1" si="117"/>
        <v>#REF!</v>
      </c>
      <c r="AY96" s="161" t="e">
        <f t="shared" ca="1" si="118"/>
        <v>#REF!</v>
      </c>
      <c r="AZ96" s="161" t="e">
        <f t="shared" ca="1" si="119"/>
        <v>#REF!</v>
      </c>
      <c r="BA96" s="162" t="e">
        <f t="shared" ca="1" si="120"/>
        <v>#REF!</v>
      </c>
      <c r="BB96" s="163" t="e">
        <f t="shared" ca="1" si="109"/>
        <v>#REF!</v>
      </c>
      <c r="BC96" s="148"/>
      <c r="BD96" s="163" t="e">
        <f t="shared" ca="1" si="110"/>
        <v>#REF!</v>
      </c>
    </row>
    <row r="97" spans="2:92" ht="17.100000000000001" customHeight="1">
      <c r="B97" s="380" t="s">
        <v>38</v>
      </c>
      <c r="C97" s="611" t="e">
        <f t="shared" ca="1" si="102"/>
        <v>#REF!</v>
      </c>
      <c r="D97" s="612"/>
      <c r="E97" s="382" t="e">
        <f t="shared" ca="1" si="103"/>
        <v>#REF!</v>
      </c>
      <c r="F97" s="382" t="e">
        <f t="shared" ca="1" si="104"/>
        <v>#REF!</v>
      </c>
      <c r="G97" s="382" t="e">
        <f t="shared" ca="1" si="104"/>
        <v>#REF!</v>
      </c>
      <c r="H97" s="641"/>
      <c r="I97" s="52"/>
      <c r="J97"/>
      <c r="K97"/>
      <c r="L97" s="25"/>
      <c r="M97" s="25"/>
      <c r="N97" s="378"/>
      <c r="O97" s="378"/>
      <c r="P97" s="378"/>
      <c r="Q97" s="378"/>
      <c r="R97" s="378"/>
      <c r="S97" s="378"/>
      <c r="T97" s="25"/>
      <c r="U97" s="25"/>
      <c r="V97" s="25"/>
      <c r="W97" s="378"/>
      <c r="X97" s="378"/>
      <c r="Y97" s="378"/>
      <c r="Z97" s="378"/>
      <c r="AA97" s="378"/>
      <c r="AB97" s="378"/>
      <c r="AC97" s="573"/>
      <c r="AD97" s="62" t="s">
        <v>37</v>
      </c>
      <c r="AE97" s="148"/>
      <c r="AF97" s="160" t="e">
        <f t="shared" ca="1" si="105"/>
        <v>#REF!</v>
      </c>
      <c r="AG97" s="161" t="e">
        <f t="shared" ca="1" si="106"/>
        <v>#REF!</v>
      </c>
      <c r="AH97" s="161" t="e">
        <f t="shared" ca="1" si="106"/>
        <v>#REF!</v>
      </c>
      <c r="AI97" s="161" t="e">
        <f t="shared" ca="1" si="106"/>
        <v>#REF!</v>
      </c>
      <c r="AJ97" s="161" t="e">
        <f t="shared" ca="1" si="106"/>
        <v>#REF!</v>
      </c>
      <c r="AK97" s="161" t="e">
        <f t="shared" ca="1" si="106"/>
        <v>#REF!</v>
      </c>
      <c r="AL97" s="161" t="e">
        <f t="shared" ca="1" si="106"/>
        <v>#REF!</v>
      </c>
      <c r="AM97" s="161" t="e">
        <f t="shared" ca="1" si="106"/>
        <v>#REF!</v>
      </c>
      <c r="AN97" s="161" t="e">
        <f t="shared" ca="1" si="106"/>
        <v>#REF!</v>
      </c>
      <c r="AO97" s="162" t="e">
        <f t="shared" ca="1" si="106"/>
        <v>#REF!</v>
      </c>
      <c r="AP97" s="163" t="e">
        <f t="shared" ca="1" si="107"/>
        <v>#REF!</v>
      </c>
      <c r="AQ97" s="148"/>
      <c r="AR97" s="160" t="e">
        <f t="shared" ca="1" si="111"/>
        <v>#REF!</v>
      </c>
      <c r="AS97" s="161" t="e">
        <f t="shared" ca="1" si="112"/>
        <v>#REF!</v>
      </c>
      <c r="AT97" s="161" t="e">
        <f t="shared" ca="1" si="113"/>
        <v>#REF!</v>
      </c>
      <c r="AU97" s="161" t="e">
        <f t="shared" ca="1" si="114"/>
        <v>#REF!</v>
      </c>
      <c r="AV97" s="161" t="e">
        <f t="shared" ca="1" si="115"/>
        <v>#REF!</v>
      </c>
      <c r="AW97" s="161" t="e">
        <f t="shared" ca="1" si="116"/>
        <v>#REF!</v>
      </c>
      <c r="AX97" s="161" t="e">
        <f t="shared" ca="1" si="117"/>
        <v>#REF!</v>
      </c>
      <c r="AY97" s="161" t="e">
        <f t="shared" ca="1" si="118"/>
        <v>#REF!</v>
      </c>
      <c r="AZ97" s="161" t="e">
        <f t="shared" ca="1" si="119"/>
        <v>#REF!</v>
      </c>
      <c r="BA97" s="162" t="e">
        <f t="shared" ca="1" si="120"/>
        <v>#REF!</v>
      </c>
      <c r="BB97" s="163" t="e">
        <f t="shared" ca="1" si="109"/>
        <v>#REF!</v>
      </c>
      <c r="BC97" s="148"/>
      <c r="BD97" s="163" t="e">
        <f t="shared" ca="1" si="110"/>
        <v>#REF!</v>
      </c>
    </row>
    <row r="98" spans="2:92" ht="17.100000000000001" customHeight="1">
      <c r="B98" s="380" t="s">
        <v>39</v>
      </c>
      <c r="C98" s="611" t="e">
        <f t="shared" ca="1" si="102"/>
        <v>#REF!</v>
      </c>
      <c r="D98" s="612"/>
      <c r="E98" s="382" t="e">
        <f t="shared" ca="1" si="103"/>
        <v>#REF!</v>
      </c>
      <c r="F98" s="382" t="e">
        <f t="shared" ca="1" si="104"/>
        <v>#REF!</v>
      </c>
      <c r="G98" s="382" t="e">
        <f t="shared" ca="1" si="104"/>
        <v>#REF!</v>
      </c>
      <c r="H98" s="641"/>
      <c r="I98" s="52"/>
      <c r="J98"/>
      <c r="K98"/>
      <c r="L98" s="25"/>
      <c r="M98" s="25"/>
      <c r="N98" s="378"/>
      <c r="O98" s="378"/>
      <c r="P98" s="378"/>
      <c r="Q98" s="378"/>
      <c r="R98" s="378"/>
      <c r="S98" s="378"/>
      <c r="T98" s="25"/>
      <c r="U98" s="25"/>
      <c r="V98" s="25"/>
      <c r="W98" s="378"/>
      <c r="X98" s="378"/>
      <c r="Y98" s="378"/>
      <c r="Z98" s="378"/>
      <c r="AA98" s="378"/>
      <c r="AB98" s="378"/>
      <c r="AC98" s="573"/>
      <c r="AD98" s="62" t="s">
        <v>38</v>
      </c>
      <c r="AE98" s="148"/>
      <c r="AF98" s="160" t="e">
        <f t="shared" ca="1" si="105"/>
        <v>#REF!</v>
      </c>
      <c r="AG98" s="161" t="e">
        <f t="shared" ca="1" si="106"/>
        <v>#REF!</v>
      </c>
      <c r="AH98" s="161" t="e">
        <f t="shared" ca="1" si="106"/>
        <v>#REF!</v>
      </c>
      <c r="AI98" s="161" t="e">
        <f t="shared" ca="1" si="106"/>
        <v>#REF!</v>
      </c>
      <c r="AJ98" s="161" t="e">
        <f t="shared" ca="1" si="106"/>
        <v>#REF!</v>
      </c>
      <c r="AK98" s="161" t="e">
        <f t="shared" ca="1" si="106"/>
        <v>#REF!</v>
      </c>
      <c r="AL98" s="161" t="e">
        <f t="shared" ca="1" si="106"/>
        <v>#REF!</v>
      </c>
      <c r="AM98" s="161" t="e">
        <f t="shared" ca="1" si="106"/>
        <v>#REF!</v>
      </c>
      <c r="AN98" s="161" t="e">
        <f t="shared" ca="1" si="106"/>
        <v>#REF!</v>
      </c>
      <c r="AO98" s="162" t="e">
        <f t="shared" ca="1" si="106"/>
        <v>#REF!</v>
      </c>
      <c r="AP98" s="163" t="e">
        <f t="shared" ca="1" si="107"/>
        <v>#REF!</v>
      </c>
      <c r="AQ98" s="148"/>
      <c r="AR98" s="160" t="e">
        <f t="shared" ca="1" si="111"/>
        <v>#REF!</v>
      </c>
      <c r="AS98" s="161" t="e">
        <f t="shared" ca="1" si="112"/>
        <v>#REF!</v>
      </c>
      <c r="AT98" s="161" t="e">
        <f t="shared" ca="1" si="113"/>
        <v>#REF!</v>
      </c>
      <c r="AU98" s="161" t="e">
        <f t="shared" ca="1" si="114"/>
        <v>#REF!</v>
      </c>
      <c r="AV98" s="161" t="e">
        <f t="shared" ca="1" si="115"/>
        <v>#REF!</v>
      </c>
      <c r="AW98" s="161" t="e">
        <f t="shared" ca="1" si="116"/>
        <v>#REF!</v>
      </c>
      <c r="AX98" s="161" t="e">
        <f t="shared" ca="1" si="117"/>
        <v>#REF!</v>
      </c>
      <c r="AY98" s="161" t="e">
        <f t="shared" ca="1" si="118"/>
        <v>#REF!</v>
      </c>
      <c r="AZ98" s="161" t="e">
        <f t="shared" ca="1" si="119"/>
        <v>#REF!</v>
      </c>
      <c r="BA98" s="162" t="e">
        <f t="shared" ca="1" si="120"/>
        <v>#REF!</v>
      </c>
      <c r="BB98" s="163" t="e">
        <f t="shared" ca="1" si="109"/>
        <v>#REF!</v>
      </c>
      <c r="BC98" s="148"/>
      <c r="BD98" s="163" t="e">
        <f t="shared" ca="1" si="110"/>
        <v>#REF!</v>
      </c>
    </row>
    <row r="99" spans="2:92" ht="17.100000000000001" customHeight="1">
      <c r="B99" s="380" t="s">
        <v>40</v>
      </c>
      <c r="C99" s="611" t="e">
        <f t="shared" ca="1" si="102"/>
        <v>#REF!</v>
      </c>
      <c r="D99" s="612"/>
      <c r="E99" s="382" t="e">
        <f t="shared" ca="1" si="103"/>
        <v>#REF!</v>
      </c>
      <c r="F99" s="382" t="e">
        <f t="shared" ca="1" si="104"/>
        <v>#REF!</v>
      </c>
      <c r="G99" s="382" t="e">
        <f t="shared" ca="1" si="104"/>
        <v>#REF!</v>
      </c>
      <c r="H99" s="641"/>
      <c r="I99" s="52"/>
      <c r="J99" s="24"/>
      <c r="K99" s="24"/>
      <c r="L99" s="25"/>
      <c r="M99" s="25"/>
      <c r="N99" s="378"/>
      <c r="O99" s="378"/>
      <c r="P99" s="378"/>
      <c r="Q99" s="378"/>
      <c r="R99" s="378"/>
      <c r="S99" s="378"/>
      <c r="T99" s="25"/>
      <c r="U99" s="25"/>
      <c r="V99" s="25"/>
      <c r="W99" s="378"/>
      <c r="X99" s="378"/>
      <c r="Y99" s="378"/>
      <c r="Z99" s="378"/>
      <c r="AA99" s="378"/>
      <c r="AB99" s="378"/>
      <c r="AC99" s="573"/>
      <c r="AD99" s="62" t="s">
        <v>39</v>
      </c>
      <c r="AE99" s="148"/>
      <c r="AF99" s="160" t="e">
        <f t="shared" ca="1" si="105"/>
        <v>#REF!</v>
      </c>
      <c r="AG99" s="161" t="e">
        <f t="shared" ca="1" si="106"/>
        <v>#REF!</v>
      </c>
      <c r="AH99" s="161" t="e">
        <f t="shared" ca="1" si="106"/>
        <v>#REF!</v>
      </c>
      <c r="AI99" s="161" t="e">
        <f t="shared" ca="1" si="106"/>
        <v>#REF!</v>
      </c>
      <c r="AJ99" s="161" t="e">
        <f t="shared" ca="1" si="106"/>
        <v>#REF!</v>
      </c>
      <c r="AK99" s="161" t="e">
        <f t="shared" ca="1" si="106"/>
        <v>#REF!</v>
      </c>
      <c r="AL99" s="161" t="e">
        <f t="shared" ca="1" si="106"/>
        <v>#REF!</v>
      </c>
      <c r="AM99" s="161" t="e">
        <f t="shared" ca="1" si="106"/>
        <v>#REF!</v>
      </c>
      <c r="AN99" s="161" t="e">
        <f t="shared" ca="1" si="106"/>
        <v>#REF!</v>
      </c>
      <c r="AO99" s="162" t="e">
        <f t="shared" ca="1" si="106"/>
        <v>#REF!</v>
      </c>
      <c r="AP99" s="163" t="e">
        <f t="shared" ca="1" si="107"/>
        <v>#REF!</v>
      </c>
      <c r="AQ99" s="148"/>
      <c r="AR99" s="160" t="e">
        <f t="shared" ca="1" si="111"/>
        <v>#REF!</v>
      </c>
      <c r="AS99" s="161" t="e">
        <f t="shared" ca="1" si="112"/>
        <v>#REF!</v>
      </c>
      <c r="AT99" s="161" t="e">
        <f t="shared" ca="1" si="113"/>
        <v>#REF!</v>
      </c>
      <c r="AU99" s="161" t="e">
        <f t="shared" ca="1" si="114"/>
        <v>#REF!</v>
      </c>
      <c r="AV99" s="161" t="e">
        <f t="shared" ca="1" si="115"/>
        <v>#REF!</v>
      </c>
      <c r="AW99" s="161" t="e">
        <f t="shared" ca="1" si="116"/>
        <v>#REF!</v>
      </c>
      <c r="AX99" s="161" t="e">
        <f t="shared" ca="1" si="117"/>
        <v>#REF!</v>
      </c>
      <c r="AY99" s="161" t="e">
        <f t="shared" ca="1" si="118"/>
        <v>#REF!</v>
      </c>
      <c r="AZ99" s="161" t="e">
        <f t="shared" ca="1" si="119"/>
        <v>#REF!</v>
      </c>
      <c r="BA99" s="162" t="e">
        <f t="shared" ca="1" si="120"/>
        <v>#REF!</v>
      </c>
      <c r="BB99" s="163" t="e">
        <f t="shared" ca="1" si="109"/>
        <v>#REF!</v>
      </c>
      <c r="BC99" s="148"/>
      <c r="BD99" s="163" t="e">
        <f t="shared" ca="1" si="110"/>
        <v>#REF!</v>
      </c>
    </row>
    <row r="100" spans="2:92" ht="17.100000000000001" customHeight="1">
      <c r="B100" s="380" t="s">
        <v>41</v>
      </c>
      <c r="C100" s="611" t="e">
        <f t="shared" ca="1" si="102"/>
        <v>#REF!</v>
      </c>
      <c r="D100" s="612"/>
      <c r="E100" s="382" t="e">
        <f t="shared" ca="1" si="103"/>
        <v>#REF!</v>
      </c>
      <c r="F100" s="382" t="e">
        <f t="shared" ca="1" si="104"/>
        <v>#REF!</v>
      </c>
      <c r="G100" s="382" t="e">
        <f t="shared" ca="1" si="104"/>
        <v>#REF!</v>
      </c>
      <c r="H100" s="641"/>
      <c r="I100" s="52"/>
      <c r="J100"/>
      <c r="K100"/>
      <c r="L100" s="25"/>
      <c r="M100" s="25"/>
      <c r="N100" s="378"/>
      <c r="O100" s="378"/>
      <c r="P100" s="378"/>
      <c r="Q100" s="378"/>
      <c r="R100" s="378"/>
      <c r="S100" s="378"/>
      <c r="T100" s="25"/>
      <c r="U100" s="25"/>
      <c r="V100" s="25"/>
      <c r="W100" s="378"/>
      <c r="X100" s="378"/>
      <c r="Y100" s="378"/>
      <c r="Z100" s="378"/>
      <c r="AA100" s="378"/>
      <c r="AB100" s="378"/>
      <c r="AC100" s="573"/>
      <c r="AD100" s="62" t="s">
        <v>40</v>
      </c>
      <c r="AE100" s="148"/>
      <c r="AF100" s="160" t="e">
        <f t="shared" ca="1" si="105"/>
        <v>#REF!</v>
      </c>
      <c r="AG100" s="161" t="e">
        <f t="shared" ref="AG100:AO107" ca="1" si="121">IF(AG$81&lt;&gt;"",INDIRECT(ADDRESS(ROW()+$AF$77,73,,,AG$45)),"")</f>
        <v>#REF!</v>
      </c>
      <c r="AH100" s="161" t="e">
        <f t="shared" ca="1" si="121"/>
        <v>#REF!</v>
      </c>
      <c r="AI100" s="161" t="e">
        <f t="shared" ca="1" si="121"/>
        <v>#REF!</v>
      </c>
      <c r="AJ100" s="161" t="e">
        <f t="shared" ca="1" si="121"/>
        <v>#REF!</v>
      </c>
      <c r="AK100" s="161" t="e">
        <f t="shared" ca="1" si="121"/>
        <v>#REF!</v>
      </c>
      <c r="AL100" s="161" t="e">
        <f t="shared" ca="1" si="121"/>
        <v>#REF!</v>
      </c>
      <c r="AM100" s="161" t="e">
        <f t="shared" ca="1" si="121"/>
        <v>#REF!</v>
      </c>
      <c r="AN100" s="161" t="e">
        <f t="shared" ca="1" si="121"/>
        <v>#REF!</v>
      </c>
      <c r="AO100" s="162" t="e">
        <f t="shared" ca="1" si="121"/>
        <v>#REF!</v>
      </c>
      <c r="AP100" s="163" t="e">
        <f t="shared" ca="1" si="107"/>
        <v>#REF!</v>
      </c>
      <c r="AQ100" s="148"/>
      <c r="AR100" s="160" t="e">
        <f t="shared" ca="1" si="111"/>
        <v>#REF!</v>
      </c>
      <c r="AS100" s="161" t="e">
        <f t="shared" ca="1" si="112"/>
        <v>#REF!</v>
      </c>
      <c r="AT100" s="161" t="e">
        <f t="shared" ca="1" si="113"/>
        <v>#REF!</v>
      </c>
      <c r="AU100" s="161" t="e">
        <f t="shared" ca="1" si="114"/>
        <v>#REF!</v>
      </c>
      <c r="AV100" s="161" t="e">
        <f t="shared" ca="1" si="115"/>
        <v>#REF!</v>
      </c>
      <c r="AW100" s="161" t="e">
        <f t="shared" ca="1" si="116"/>
        <v>#REF!</v>
      </c>
      <c r="AX100" s="161" t="e">
        <f t="shared" ca="1" si="117"/>
        <v>#REF!</v>
      </c>
      <c r="AY100" s="161" t="e">
        <f t="shared" ca="1" si="118"/>
        <v>#REF!</v>
      </c>
      <c r="AZ100" s="161" t="e">
        <f t="shared" ca="1" si="119"/>
        <v>#REF!</v>
      </c>
      <c r="BA100" s="162" t="e">
        <f t="shared" ca="1" si="120"/>
        <v>#REF!</v>
      </c>
      <c r="BB100" s="163" t="e">
        <f t="shared" ca="1" si="109"/>
        <v>#REF!</v>
      </c>
      <c r="BC100" s="148"/>
      <c r="BD100" s="163" t="e">
        <f t="shared" ca="1" si="110"/>
        <v>#REF!</v>
      </c>
    </row>
    <row r="101" spans="2:92" ht="17.100000000000001" customHeight="1">
      <c r="B101" s="380" t="s">
        <v>42</v>
      </c>
      <c r="C101" s="611" t="e">
        <f t="shared" ca="1" si="102"/>
        <v>#REF!</v>
      </c>
      <c r="D101" s="612"/>
      <c r="E101" s="382" t="e">
        <f t="shared" ca="1" si="103"/>
        <v>#REF!</v>
      </c>
      <c r="F101" s="382" t="e">
        <f t="shared" ca="1" si="104"/>
        <v>#REF!</v>
      </c>
      <c r="G101" s="382" t="e">
        <f t="shared" ca="1" si="104"/>
        <v>#REF!</v>
      </c>
      <c r="H101" s="641"/>
      <c r="I101" s="52"/>
      <c r="J101"/>
      <c r="K101"/>
      <c r="L101" s="25"/>
      <c r="M101" s="25"/>
      <c r="N101" s="378"/>
      <c r="O101" s="378"/>
      <c r="P101" s="378"/>
      <c r="Q101" s="378"/>
      <c r="R101" s="378"/>
      <c r="S101" s="378"/>
      <c r="T101" s="25"/>
      <c r="U101" s="25"/>
      <c r="V101" s="25"/>
      <c r="W101" s="378"/>
      <c r="X101" s="378"/>
      <c r="Y101" s="378"/>
      <c r="Z101" s="378"/>
      <c r="AA101" s="378"/>
      <c r="AB101" s="378"/>
      <c r="AC101" s="573"/>
      <c r="AD101" s="62" t="s">
        <v>41</v>
      </c>
      <c r="AE101" s="148"/>
      <c r="AF101" s="160" t="e">
        <f t="shared" ca="1" si="105"/>
        <v>#REF!</v>
      </c>
      <c r="AG101" s="161" t="e">
        <f t="shared" ca="1" si="121"/>
        <v>#REF!</v>
      </c>
      <c r="AH101" s="161" t="e">
        <f t="shared" ca="1" si="121"/>
        <v>#REF!</v>
      </c>
      <c r="AI101" s="161" t="e">
        <f t="shared" ca="1" si="121"/>
        <v>#REF!</v>
      </c>
      <c r="AJ101" s="161" t="e">
        <f t="shared" ca="1" si="121"/>
        <v>#REF!</v>
      </c>
      <c r="AK101" s="161" t="e">
        <f t="shared" ca="1" si="121"/>
        <v>#REF!</v>
      </c>
      <c r="AL101" s="161" t="e">
        <f t="shared" ca="1" si="121"/>
        <v>#REF!</v>
      </c>
      <c r="AM101" s="161" t="e">
        <f t="shared" ca="1" si="121"/>
        <v>#REF!</v>
      </c>
      <c r="AN101" s="161" t="e">
        <f t="shared" ca="1" si="121"/>
        <v>#REF!</v>
      </c>
      <c r="AO101" s="162" t="e">
        <f t="shared" ca="1" si="121"/>
        <v>#REF!</v>
      </c>
      <c r="AP101" s="163" t="e">
        <f t="shared" ca="1" si="107"/>
        <v>#REF!</v>
      </c>
      <c r="AQ101" s="148"/>
      <c r="AR101" s="160" t="e">
        <f t="shared" ca="1" si="111"/>
        <v>#REF!</v>
      </c>
      <c r="AS101" s="161" t="e">
        <f t="shared" ca="1" si="112"/>
        <v>#REF!</v>
      </c>
      <c r="AT101" s="161" t="e">
        <f t="shared" ca="1" si="113"/>
        <v>#REF!</v>
      </c>
      <c r="AU101" s="161" t="e">
        <f t="shared" ca="1" si="114"/>
        <v>#REF!</v>
      </c>
      <c r="AV101" s="161" t="e">
        <f t="shared" ca="1" si="115"/>
        <v>#REF!</v>
      </c>
      <c r="AW101" s="161" t="e">
        <f t="shared" ca="1" si="116"/>
        <v>#REF!</v>
      </c>
      <c r="AX101" s="161" t="e">
        <f t="shared" ca="1" si="117"/>
        <v>#REF!</v>
      </c>
      <c r="AY101" s="161" t="e">
        <f t="shared" ca="1" si="118"/>
        <v>#REF!</v>
      </c>
      <c r="AZ101" s="161" t="e">
        <f t="shared" ca="1" si="119"/>
        <v>#REF!</v>
      </c>
      <c r="BA101" s="162" t="e">
        <f t="shared" ca="1" si="120"/>
        <v>#REF!</v>
      </c>
      <c r="BB101" s="163" t="e">
        <f t="shared" ca="1" si="109"/>
        <v>#REF!</v>
      </c>
      <c r="BC101" s="148"/>
      <c r="BD101" s="163" t="e">
        <f t="shared" ca="1" si="110"/>
        <v>#REF!</v>
      </c>
    </row>
    <row r="102" spans="2:92" ht="17.100000000000001" customHeight="1">
      <c r="B102" s="380" t="s">
        <v>43</v>
      </c>
      <c r="C102" s="611" t="e">
        <f t="shared" ca="1" si="102"/>
        <v>#REF!</v>
      </c>
      <c r="D102" s="612"/>
      <c r="E102" s="382" t="e">
        <f t="shared" ca="1" si="103"/>
        <v>#REF!</v>
      </c>
      <c r="F102" s="382" t="e">
        <f t="shared" ca="1" si="104"/>
        <v>#REF!</v>
      </c>
      <c r="G102" s="382" t="e">
        <f t="shared" ca="1" si="104"/>
        <v>#REF!</v>
      </c>
      <c r="H102" s="641"/>
      <c r="I102" s="52"/>
      <c r="J102"/>
      <c r="K102"/>
      <c r="L102" s="25"/>
      <c r="M102" s="25"/>
      <c r="N102" s="378"/>
      <c r="O102" s="378"/>
      <c r="P102" s="378"/>
      <c r="Q102" s="378"/>
      <c r="R102" s="378"/>
      <c r="S102" s="378"/>
      <c r="T102" s="25"/>
      <c r="U102" s="25"/>
      <c r="V102" s="25"/>
      <c r="W102" s="378"/>
      <c r="X102" s="378"/>
      <c r="Y102" s="378"/>
      <c r="Z102" s="378"/>
      <c r="AA102" s="378"/>
      <c r="AB102" s="378"/>
      <c r="AC102" s="573"/>
      <c r="AD102" s="62" t="s">
        <v>42</v>
      </c>
      <c r="AE102" s="148"/>
      <c r="AF102" s="160" t="e">
        <f t="shared" ca="1" si="105"/>
        <v>#REF!</v>
      </c>
      <c r="AG102" s="161" t="e">
        <f t="shared" ca="1" si="121"/>
        <v>#REF!</v>
      </c>
      <c r="AH102" s="161" t="e">
        <f t="shared" ca="1" si="121"/>
        <v>#REF!</v>
      </c>
      <c r="AI102" s="161" t="e">
        <f t="shared" ca="1" si="121"/>
        <v>#REF!</v>
      </c>
      <c r="AJ102" s="161" t="e">
        <f t="shared" ca="1" si="121"/>
        <v>#REF!</v>
      </c>
      <c r="AK102" s="161" t="e">
        <f t="shared" ca="1" si="121"/>
        <v>#REF!</v>
      </c>
      <c r="AL102" s="161" t="e">
        <f t="shared" ca="1" si="121"/>
        <v>#REF!</v>
      </c>
      <c r="AM102" s="161" t="e">
        <f t="shared" ca="1" si="121"/>
        <v>#REF!</v>
      </c>
      <c r="AN102" s="161" t="e">
        <f t="shared" ca="1" si="121"/>
        <v>#REF!</v>
      </c>
      <c r="AO102" s="162" t="e">
        <f t="shared" ca="1" si="121"/>
        <v>#REF!</v>
      </c>
      <c r="AP102" s="163" t="e">
        <f t="shared" ca="1" si="107"/>
        <v>#REF!</v>
      </c>
      <c r="AQ102" s="148"/>
      <c r="AR102" s="160" t="e">
        <f t="shared" ca="1" si="111"/>
        <v>#REF!</v>
      </c>
      <c r="AS102" s="161" t="e">
        <f t="shared" ca="1" si="112"/>
        <v>#REF!</v>
      </c>
      <c r="AT102" s="161" t="e">
        <f t="shared" ca="1" si="113"/>
        <v>#REF!</v>
      </c>
      <c r="AU102" s="161" t="e">
        <f t="shared" ca="1" si="114"/>
        <v>#REF!</v>
      </c>
      <c r="AV102" s="161" t="e">
        <f t="shared" ca="1" si="115"/>
        <v>#REF!</v>
      </c>
      <c r="AW102" s="161" t="e">
        <f t="shared" ca="1" si="116"/>
        <v>#REF!</v>
      </c>
      <c r="AX102" s="161" t="e">
        <f t="shared" ca="1" si="117"/>
        <v>#REF!</v>
      </c>
      <c r="AY102" s="161" t="e">
        <f t="shared" ca="1" si="118"/>
        <v>#REF!</v>
      </c>
      <c r="AZ102" s="161" t="e">
        <f t="shared" ca="1" si="119"/>
        <v>#REF!</v>
      </c>
      <c r="BA102" s="162" t="e">
        <f t="shared" ca="1" si="120"/>
        <v>#REF!</v>
      </c>
      <c r="BB102" s="163" t="e">
        <f t="shared" ca="1" si="109"/>
        <v>#REF!</v>
      </c>
      <c r="BC102" s="148"/>
      <c r="BD102" s="163" t="e">
        <f t="shared" ca="1" si="110"/>
        <v>#REF!</v>
      </c>
    </row>
    <row r="103" spans="2:92" ht="17.100000000000001" customHeight="1">
      <c r="B103" s="380" t="s">
        <v>44</v>
      </c>
      <c r="C103" s="611" t="e">
        <f t="shared" ca="1" si="102"/>
        <v>#REF!</v>
      </c>
      <c r="D103" s="612"/>
      <c r="E103" s="382" t="e">
        <f t="shared" ca="1" si="103"/>
        <v>#REF!</v>
      </c>
      <c r="F103" s="382" t="e">
        <f t="shared" ca="1" si="104"/>
        <v>#REF!</v>
      </c>
      <c r="G103" s="382" t="e">
        <f t="shared" ca="1" si="104"/>
        <v>#REF!</v>
      </c>
      <c r="H103" s="641"/>
      <c r="I103" s="52"/>
      <c r="J103"/>
      <c r="K103"/>
      <c r="L103" s="25"/>
      <c r="M103" s="25"/>
      <c r="N103" s="378"/>
      <c r="O103" s="378"/>
      <c r="P103" s="378"/>
      <c r="Q103" s="378"/>
      <c r="R103" s="378"/>
      <c r="S103" s="378"/>
      <c r="T103" s="25"/>
      <c r="U103" s="25"/>
      <c r="V103" s="25"/>
      <c r="W103" s="378"/>
      <c r="X103" s="378"/>
      <c r="Y103" s="378"/>
      <c r="Z103" s="378"/>
      <c r="AA103" s="378"/>
      <c r="AB103" s="378"/>
      <c r="AC103" s="573"/>
      <c r="AD103" s="62" t="s">
        <v>43</v>
      </c>
      <c r="AE103" s="148"/>
      <c r="AF103" s="160" t="e">
        <f t="shared" ca="1" si="105"/>
        <v>#REF!</v>
      </c>
      <c r="AG103" s="161" t="e">
        <f t="shared" ca="1" si="121"/>
        <v>#REF!</v>
      </c>
      <c r="AH103" s="161" t="e">
        <f t="shared" ca="1" si="121"/>
        <v>#REF!</v>
      </c>
      <c r="AI103" s="161" t="e">
        <f t="shared" ca="1" si="121"/>
        <v>#REF!</v>
      </c>
      <c r="AJ103" s="161" t="e">
        <f t="shared" ca="1" si="121"/>
        <v>#REF!</v>
      </c>
      <c r="AK103" s="161" t="e">
        <f t="shared" ca="1" si="121"/>
        <v>#REF!</v>
      </c>
      <c r="AL103" s="161" t="e">
        <f t="shared" ca="1" si="121"/>
        <v>#REF!</v>
      </c>
      <c r="AM103" s="161" t="e">
        <f t="shared" ca="1" si="121"/>
        <v>#REF!</v>
      </c>
      <c r="AN103" s="161" t="e">
        <f t="shared" ca="1" si="121"/>
        <v>#REF!</v>
      </c>
      <c r="AO103" s="162" t="e">
        <f t="shared" ca="1" si="121"/>
        <v>#REF!</v>
      </c>
      <c r="AP103" s="163" t="e">
        <f t="shared" ca="1" si="107"/>
        <v>#REF!</v>
      </c>
      <c r="AQ103" s="148"/>
      <c r="AR103" s="160" t="e">
        <f t="shared" ca="1" si="111"/>
        <v>#REF!</v>
      </c>
      <c r="AS103" s="161" t="e">
        <f t="shared" ca="1" si="112"/>
        <v>#REF!</v>
      </c>
      <c r="AT103" s="161" t="e">
        <f t="shared" ca="1" si="113"/>
        <v>#REF!</v>
      </c>
      <c r="AU103" s="161" t="e">
        <f t="shared" ca="1" si="114"/>
        <v>#REF!</v>
      </c>
      <c r="AV103" s="161" t="e">
        <f t="shared" ca="1" si="115"/>
        <v>#REF!</v>
      </c>
      <c r="AW103" s="161" t="e">
        <f t="shared" ca="1" si="116"/>
        <v>#REF!</v>
      </c>
      <c r="AX103" s="161" t="e">
        <f t="shared" ca="1" si="117"/>
        <v>#REF!</v>
      </c>
      <c r="AY103" s="161" t="e">
        <f t="shared" ca="1" si="118"/>
        <v>#REF!</v>
      </c>
      <c r="AZ103" s="161" t="e">
        <f t="shared" ca="1" si="119"/>
        <v>#REF!</v>
      </c>
      <c r="BA103" s="162" t="e">
        <f t="shared" ca="1" si="120"/>
        <v>#REF!</v>
      </c>
      <c r="BB103" s="163" t="e">
        <f t="shared" ca="1" si="109"/>
        <v>#REF!</v>
      </c>
      <c r="BC103" s="148"/>
      <c r="BD103" s="163" t="e">
        <f t="shared" ca="1" si="110"/>
        <v>#REF!</v>
      </c>
    </row>
    <row r="104" spans="2:92" ht="17.100000000000001" customHeight="1">
      <c r="B104" s="380" t="s">
        <v>45</v>
      </c>
      <c r="C104" s="611" t="e">
        <f t="shared" ca="1" si="102"/>
        <v>#REF!</v>
      </c>
      <c r="D104" s="612"/>
      <c r="E104" s="382" t="e">
        <f t="shared" ca="1" si="103"/>
        <v>#REF!</v>
      </c>
      <c r="F104" s="382" t="e">
        <f t="shared" ca="1" si="104"/>
        <v>#REF!</v>
      </c>
      <c r="G104" s="382" t="e">
        <f t="shared" ca="1" si="104"/>
        <v>#REF!</v>
      </c>
      <c r="H104" s="641"/>
      <c r="I104" s="52"/>
      <c r="J104"/>
      <c r="K104"/>
      <c r="L104" s="25"/>
      <c r="M104" s="25"/>
      <c r="N104" s="378"/>
      <c r="O104" s="378"/>
      <c r="P104" s="378"/>
      <c r="Q104" s="378"/>
      <c r="R104" s="378"/>
      <c r="S104" s="378"/>
      <c r="T104" s="25"/>
      <c r="U104" s="25"/>
      <c r="V104" s="25"/>
      <c r="W104" s="378"/>
      <c r="X104" s="378"/>
      <c r="Y104" s="378"/>
      <c r="Z104" s="378"/>
      <c r="AA104" s="378"/>
      <c r="AB104" s="378"/>
      <c r="AC104" s="573"/>
      <c r="AD104" s="62" t="s">
        <v>44</v>
      </c>
      <c r="AE104" s="148"/>
      <c r="AF104" s="160" t="e">
        <f t="shared" ca="1" si="105"/>
        <v>#REF!</v>
      </c>
      <c r="AG104" s="161" t="e">
        <f t="shared" ca="1" si="121"/>
        <v>#REF!</v>
      </c>
      <c r="AH104" s="161" t="e">
        <f t="shared" ca="1" si="121"/>
        <v>#REF!</v>
      </c>
      <c r="AI104" s="161" t="e">
        <f t="shared" ca="1" si="121"/>
        <v>#REF!</v>
      </c>
      <c r="AJ104" s="161" t="e">
        <f t="shared" ca="1" si="121"/>
        <v>#REF!</v>
      </c>
      <c r="AK104" s="161" t="e">
        <f t="shared" ca="1" si="121"/>
        <v>#REF!</v>
      </c>
      <c r="AL104" s="161" t="e">
        <f t="shared" ca="1" si="121"/>
        <v>#REF!</v>
      </c>
      <c r="AM104" s="161" t="e">
        <f t="shared" ca="1" si="121"/>
        <v>#REF!</v>
      </c>
      <c r="AN104" s="161" t="e">
        <f t="shared" ca="1" si="121"/>
        <v>#REF!</v>
      </c>
      <c r="AO104" s="162" t="e">
        <f t="shared" ca="1" si="121"/>
        <v>#REF!</v>
      </c>
      <c r="AP104" s="163" t="e">
        <f t="shared" ca="1" si="107"/>
        <v>#REF!</v>
      </c>
      <c r="AQ104" s="148"/>
      <c r="AR104" s="160" t="e">
        <f t="shared" ca="1" si="111"/>
        <v>#REF!</v>
      </c>
      <c r="AS104" s="161" t="e">
        <f t="shared" ca="1" si="112"/>
        <v>#REF!</v>
      </c>
      <c r="AT104" s="161" t="e">
        <f t="shared" ca="1" si="113"/>
        <v>#REF!</v>
      </c>
      <c r="AU104" s="161" t="e">
        <f t="shared" ca="1" si="114"/>
        <v>#REF!</v>
      </c>
      <c r="AV104" s="161" t="e">
        <f t="shared" ca="1" si="115"/>
        <v>#REF!</v>
      </c>
      <c r="AW104" s="161" t="e">
        <f t="shared" ca="1" si="116"/>
        <v>#REF!</v>
      </c>
      <c r="AX104" s="161" t="e">
        <f t="shared" ca="1" si="117"/>
        <v>#REF!</v>
      </c>
      <c r="AY104" s="161" t="e">
        <f t="shared" ca="1" si="118"/>
        <v>#REF!</v>
      </c>
      <c r="AZ104" s="161" t="e">
        <f t="shared" ca="1" si="119"/>
        <v>#REF!</v>
      </c>
      <c r="BA104" s="162" t="e">
        <f t="shared" ca="1" si="120"/>
        <v>#REF!</v>
      </c>
      <c r="BB104" s="163" t="e">
        <f t="shared" ca="1" si="109"/>
        <v>#REF!</v>
      </c>
      <c r="BC104" s="148"/>
      <c r="BD104" s="163" t="e">
        <f t="shared" ca="1" si="110"/>
        <v>#REF!</v>
      </c>
    </row>
    <row r="105" spans="2:92" ht="17.100000000000001" customHeight="1">
      <c r="B105" s="380" t="s">
        <v>46</v>
      </c>
      <c r="C105" s="611" t="e">
        <f t="shared" ca="1" si="102"/>
        <v>#REF!</v>
      </c>
      <c r="D105" s="612"/>
      <c r="E105" s="382" t="e">
        <f t="shared" ca="1" si="103"/>
        <v>#REF!</v>
      </c>
      <c r="F105" s="382" t="e">
        <f t="shared" ca="1" si="104"/>
        <v>#REF!</v>
      </c>
      <c r="G105" s="382" t="e">
        <f t="shared" ca="1" si="104"/>
        <v>#REF!</v>
      </c>
      <c r="H105"/>
      <c r="I105"/>
      <c r="J105"/>
      <c r="K105"/>
      <c r="L105" s="25"/>
      <c r="M105" s="25"/>
      <c r="N105" s="378"/>
      <c r="O105" s="378"/>
      <c r="P105" s="378"/>
      <c r="Q105" s="378"/>
      <c r="R105" s="378"/>
      <c r="S105" s="378"/>
      <c r="T105" s="25"/>
      <c r="U105" s="25"/>
      <c r="V105" s="25"/>
      <c r="W105" s="378"/>
      <c r="X105" s="378"/>
      <c r="Y105" s="378"/>
      <c r="Z105" s="378"/>
      <c r="AA105" s="378"/>
      <c r="AB105" s="378"/>
      <c r="AC105" s="573"/>
      <c r="AD105" s="62" t="s">
        <v>45</v>
      </c>
      <c r="AE105" s="148"/>
      <c r="AF105" s="160" t="e">
        <f t="shared" ca="1" si="105"/>
        <v>#REF!</v>
      </c>
      <c r="AG105" s="161" t="e">
        <f t="shared" ca="1" si="121"/>
        <v>#REF!</v>
      </c>
      <c r="AH105" s="161" t="e">
        <f t="shared" ca="1" si="121"/>
        <v>#REF!</v>
      </c>
      <c r="AI105" s="161" t="e">
        <f t="shared" ca="1" si="121"/>
        <v>#REF!</v>
      </c>
      <c r="AJ105" s="161" t="e">
        <f t="shared" ca="1" si="121"/>
        <v>#REF!</v>
      </c>
      <c r="AK105" s="161" t="e">
        <f t="shared" ca="1" si="121"/>
        <v>#REF!</v>
      </c>
      <c r="AL105" s="161" t="e">
        <f t="shared" ca="1" si="121"/>
        <v>#REF!</v>
      </c>
      <c r="AM105" s="161" t="e">
        <f t="shared" ca="1" si="121"/>
        <v>#REF!</v>
      </c>
      <c r="AN105" s="161" t="e">
        <f t="shared" ca="1" si="121"/>
        <v>#REF!</v>
      </c>
      <c r="AO105" s="162" t="e">
        <f t="shared" ca="1" si="121"/>
        <v>#REF!</v>
      </c>
      <c r="AP105" s="163" t="e">
        <f t="shared" ca="1" si="107"/>
        <v>#REF!</v>
      </c>
      <c r="AQ105" s="148"/>
      <c r="AR105" s="160" t="e">
        <f t="shared" ca="1" si="111"/>
        <v>#REF!</v>
      </c>
      <c r="AS105" s="161" t="e">
        <f t="shared" ca="1" si="112"/>
        <v>#REF!</v>
      </c>
      <c r="AT105" s="161" t="e">
        <f t="shared" ca="1" si="113"/>
        <v>#REF!</v>
      </c>
      <c r="AU105" s="161" t="e">
        <f t="shared" ca="1" si="114"/>
        <v>#REF!</v>
      </c>
      <c r="AV105" s="161" t="e">
        <f t="shared" ca="1" si="115"/>
        <v>#REF!</v>
      </c>
      <c r="AW105" s="161" t="e">
        <f t="shared" ca="1" si="116"/>
        <v>#REF!</v>
      </c>
      <c r="AX105" s="161" t="e">
        <f t="shared" ca="1" si="117"/>
        <v>#REF!</v>
      </c>
      <c r="AY105" s="161" t="e">
        <f t="shared" ca="1" si="118"/>
        <v>#REF!</v>
      </c>
      <c r="AZ105" s="161" t="e">
        <f t="shared" ca="1" si="119"/>
        <v>#REF!</v>
      </c>
      <c r="BA105" s="162" t="e">
        <f t="shared" ca="1" si="120"/>
        <v>#REF!</v>
      </c>
      <c r="BB105" s="163" t="e">
        <f t="shared" ca="1" si="109"/>
        <v>#REF!</v>
      </c>
      <c r="BC105" s="148"/>
      <c r="BD105" s="163" t="e">
        <f t="shared" ca="1" si="110"/>
        <v>#REF!</v>
      </c>
    </row>
    <row r="106" spans="2:92" ht="17.100000000000001" customHeight="1" thickBot="1">
      <c r="B106" s="381" t="s">
        <v>24</v>
      </c>
      <c r="C106" s="611" t="e">
        <f t="shared" ca="1" si="102"/>
        <v>#REF!</v>
      </c>
      <c r="D106" s="612"/>
      <c r="E106" s="383" t="e">
        <f t="shared" ca="1" si="103"/>
        <v>#REF!</v>
      </c>
      <c r="F106" s="383" t="e">
        <f t="shared" ca="1" si="104"/>
        <v>#REF!</v>
      </c>
      <c r="G106" s="383" t="e">
        <f t="shared" ca="1" si="104"/>
        <v>#REF!</v>
      </c>
      <c r="H106" s="24"/>
      <c r="I106" s="24"/>
      <c r="J106" s="24"/>
      <c r="K106" s="24"/>
      <c r="L106" s="25"/>
      <c r="M106" s="25"/>
      <c r="N106" s="378"/>
      <c r="O106" s="378"/>
      <c r="P106" s="378"/>
      <c r="Q106" s="378"/>
      <c r="R106" s="378"/>
      <c r="S106" s="378"/>
      <c r="T106" s="25"/>
      <c r="U106" s="25"/>
      <c r="V106" s="25"/>
      <c r="W106" s="378"/>
      <c r="X106" s="378"/>
      <c r="Y106" s="378"/>
      <c r="Z106" s="378"/>
      <c r="AA106" s="378"/>
      <c r="AB106" s="378"/>
      <c r="AC106" s="573"/>
      <c r="AD106" s="62" t="s">
        <v>46</v>
      </c>
      <c r="AE106" s="148"/>
      <c r="AF106" s="160" t="e">
        <f t="shared" ca="1" si="105"/>
        <v>#REF!</v>
      </c>
      <c r="AG106" s="161" t="e">
        <f t="shared" ca="1" si="121"/>
        <v>#REF!</v>
      </c>
      <c r="AH106" s="161" t="e">
        <f t="shared" ca="1" si="121"/>
        <v>#REF!</v>
      </c>
      <c r="AI106" s="161" t="e">
        <f t="shared" ca="1" si="121"/>
        <v>#REF!</v>
      </c>
      <c r="AJ106" s="161" t="e">
        <f t="shared" ca="1" si="121"/>
        <v>#REF!</v>
      </c>
      <c r="AK106" s="161" t="e">
        <f t="shared" ca="1" si="121"/>
        <v>#REF!</v>
      </c>
      <c r="AL106" s="161" t="e">
        <f t="shared" ca="1" si="121"/>
        <v>#REF!</v>
      </c>
      <c r="AM106" s="161" t="e">
        <f t="shared" ca="1" si="121"/>
        <v>#REF!</v>
      </c>
      <c r="AN106" s="161" t="e">
        <f t="shared" ca="1" si="121"/>
        <v>#REF!</v>
      </c>
      <c r="AO106" s="162" t="e">
        <f t="shared" ca="1" si="121"/>
        <v>#REF!</v>
      </c>
      <c r="AP106" s="163" t="e">
        <f t="shared" ca="1" si="107"/>
        <v>#REF!</v>
      </c>
      <c r="AQ106" s="148"/>
      <c r="AR106" s="160" t="e">
        <f t="shared" ca="1" si="111"/>
        <v>#REF!</v>
      </c>
      <c r="AS106" s="161" t="e">
        <f t="shared" ca="1" si="112"/>
        <v>#REF!</v>
      </c>
      <c r="AT106" s="161" t="e">
        <f t="shared" ca="1" si="113"/>
        <v>#REF!</v>
      </c>
      <c r="AU106" s="161" t="e">
        <f t="shared" ca="1" si="114"/>
        <v>#REF!</v>
      </c>
      <c r="AV106" s="161" t="e">
        <f t="shared" ca="1" si="115"/>
        <v>#REF!</v>
      </c>
      <c r="AW106" s="161" t="e">
        <f t="shared" ca="1" si="116"/>
        <v>#REF!</v>
      </c>
      <c r="AX106" s="161" t="e">
        <f t="shared" ca="1" si="117"/>
        <v>#REF!</v>
      </c>
      <c r="AY106" s="161" t="e">
        <f t="shared" ca="1" si="118"/>
        <v>#REF!</v>
      </c>
      <c r="AZ106" s="161" t="e">
        <f t="shared" ca="1" si="119"/>
        <v>#REF!</v>
      </c>
      <c r="BA106" s="162" t="e">
        <f t="shared" ca="1" si="120"/>
        <v>#REF!</v>
      </c>
      <c r="BB106" s="163" t="e">
        <f t="shared" ca="1" si="109"/>
        <v>#REF!</v>
      </c>
      <c r="BC106" s="148"/>
      <c r="BD106" s="163" t="e">
        <f t="shared" ca="1" si="110"/>
        <v>#REF!</v>
      </c>
    </row>
    <row r="107" spans="2:92" ht="17.100000000000001" customHeight="1" thickBot="1">
      <c r="B107" s="376" t="s">
        <v>48</v>
      </c>
      <c r="C107" s="633" t="e">
        <f ca="1">MAX(C83:C106)</f>
        <v>#REF!</v>
      </c>
      <c r="D107" s="634"/>
      <c r="E107" s="384" t="e">
        <f ca="1">MAX(E83:E106)</f>
        <v>#REF!</v>
      </c>
      <c r="F107" s="384" t="e">
        <f ca="1">MAX(F83:F106)</f>
        <v>#REF!</v>
      </c>
      <c r="G107" s="385" t="e">
        <f ca="1">MAX(G83:G106)</f>
        <v>#REF!</v>
      </c>
      <c r="H107" s="379"/>
      <c r="I107" s="379"/>
      <c r="J107" s="379"/>
      <c r="K107" s="223"/>
      <c r="L107" s="223"/>
      <c r="M107" s="223"/>
      <c r="N107" s="379"/>
      <c r="O107" s="379"/>
      <c r="P107" s="379"/>
      <c r="Q107" s="379"/>
      <c r="R107" s="379"/>
      <c r="S107" s="379"/>
      <c r="T107" s="223"/>
      <c r="U107" s="223"/>
      <c r="V107" s="223"/>
      <c r="W107" s="379"/>
      <c r="X107" s="379"/>
      <c r="Y107" s="379"/>
      <c r="Z107" s="379"/>
      <c r="AA107" s="379"/>
      <c r="AB107" s="379"/>
      <c r="AC107" s="573"/>
      <c r="AD107" s="171" t="s">
        <v>24</v>
      </c>
      <c r="AE107" s="148"/>
      <c r="AF107" s="160" t="e">
        <f t="shared" ca="1" si="105"/>
        <v>#REF!</v>
      </c>
      <c r="AG107" s="161" t="e">
        <f t="shared" ca="1" si="121"/>
        <v>#REF!</v>
      </c>
      <c r="AH107" s="161" t="e">
        <f t="shared" ca="1" si="121"/>
        <v>#REF!</v>
      </c>
      <c r="AI107" s="161" t="e">
        <f t="shared" ca="1" si="121"/>
        <v>#REF!</v>
      </c>
      <c r="AJ107" s="161" t="e">
        <f t="shared" ca="1" si="121"/>
        <v>#REF!</v>
      </c>
      <c r="AK107" s="161" t="e">
        <f t="shared" ca="1" si="121"/>
        <v>#REF!</v>
      </c>
      <c r="AL107" s="161" t="e">
        <f t="shared" ca="1" si="121"/>
        <v>#REF!</v>
      </c>
      <c r="AM107" s="161" t="e">
        <f t="shared" ca="1" si="121"/>
        <v>#REF!</v>
      </c>
      <c r="AN107" s="161" t="e">
        <f t="shared" ca="1" si="121"/>
        <v>#REF!</v>
      </c>
      <c r="AO107" s="162" t="e">
        <f t="shared" ca="1" si="121"/>
        <v>#REF!</v>
      </c>
      <c r="AP107" s="175" t="e">
        <f t="shared" ca="1" si="107"/>
        <v>#REF!</v>
      </c>
      <c r="AQ107" s="148"/>
      <c r="AR107" s="160" t="e">
        <f t="shared" ca="1" si="111"/>
        <v>#REF!</v>
      </c>
      <c r="AS107" s="161" t="e">
        <f t="shared" ca="1" si="112"/>
        <v>#REF!</v>
      </c>
      <c r="AT107" s="161" t="e">
        <f t="shared" ca="1" si="113"/>
        <v>#REF!</v>
      </c>
      <c r="AU107" s="161" t="e">
        <f t="shared" ca="1" si="114"/>
        <v>#REF!</v>
      </c>
      <c r="AV107" s="161" t="e">
        <f t="shared" ca="1" si="115"/>
        <v>#REF!</v>
      </c>
      <c r="AW107" s="161" t="e">
        <f t="shared" ca="1" si="116"/>
        <v>#REF!</v>
      </c>
      <c r="AX107" s="161" t="e">
        <f t="shared" ca="1" si="117"/>
        <v>#REF!</v>
      </c>
      <c r="AY107" s="161" t="e">
        <f t="shared" ca="1" si="118"/>
        <v>#REF!</v>
      </c>
      <c r="AZ107" s="161" t="e">
        <f t="shared" ca="1" si="119"/>
        <v>#REF!</v>
      </c>
      <c r="BA107" s="162" t="e">
        <f t="shared" ca="1" si="120"/>
        <v>#REF!</v>
      </c>
      <c r="BB107" s="175" t="e">
        <f t="shared" ca="1" si="109"/>
        <v>#REF!</v>
      </c>
      <c r="BC107" s="148"/>
      <c r="BD107" s="175" t="e">
        <f t="shared" ca="1" si="110"/>
        <v>#REF!</v>
      </c>
    </row>
    <row r="108" spans="2:92" ht="17.100000000000001" customHeight="1" thickBot="1">
      <c r="B108" s="52"/>
      <c r="C108" s="52"/>
      <c r="D108" s="52"/>
      <c r="E108" s="52"/>
      <c r="F108" s="52"/>
      <c r="G108" s="221"/>
      <c r="H108" s="221"/>
      <c r="I108" s="221"/>
      <c r="J108" s="221"/>
      <c r="K108" s="223"/>
      <c r="L108" s="223"/>
      <c r="M108" s="223"/>
      <c r="N108" s="221"/>
      <c r="O108" s="221"/>
      <c r="P108" s="221"/>
      <c r="Q108" s="221"/>
      <c r="R108" s="221"/>
      <c r="S108" s="221"/>
      <c r="T108" s="223"/>
      <c r="U108" s="223"/>
      <c r="V108" s="223"/>
      <c r="W108" s="221"/>
      <c r="X108" s="221"/>
      <c r="Y108" s="221"/>
      <c r="Z108" s="221"/>
      <c r="AA108" s="221"/>
      <c r="AB108" s="221"/>
      <c r="AC108" s="573"/>
      <c r="AD108" s="183" t="s">
        <v>47</v>
      </c>
      <c r="AE108" s="184"/>
      <c r="AF108" s="185" t="e">
        <f t="shared" ref="AF108:AO108" ca="1" si="122">SUM(AF84:AF107)</f>
        <v>#REF!</v>
      </c>
      <c r="AG108" s="185" t="e">
        <f t="shared" ca="1" si="122"/>
        <v>#REF!</v>
      </c>
      <c r="AH108" s="185" t="e">
        <f t="shared" ca="1" si="122"/>
        <v>#REF!</v>
      </c>
      <c r="AI108" s="185" t="e">
        <f t="shared" ca="1" si="122"/>
        <v>#REF!</v>
      </c>
      <c r="AJ108" s="185" t="e">
        <f t="shared" ca="1" si="122"/>
        <v>#REF!</v>
      </c>
      <c r="AK108" s="185" t="e">
        <f t="shared" ca="1" si="122"/>
        <v>#REF!</v>
      </c>
      <c r="AL108" s="185" t="e">
        <f t="shared" ca="1" si="122"/>
        <v>#REF!</v>
      </c>
      <c r="AM108" s="185" t="e">
        <f t="shared" ca="1" si="122"/>
        <v>#REF!</v>
      </c>
      <c r="AN108" s="185" t="e">
        <f t="shared" ca="1" si="122"/>
        <v>#REF!</v>
      </c>
      <c r="AO108" s="185" t="e">
        <f t="shared" ca="1" si="122"/>
        <v>#REF!</v>
      </c>
      <c r="AP108" s="186" t="e">
        <f ca="1">SUM(AF108:AO108)</f>
        <v>#REF!</v>
      </c>
      <c r="AQ108" s="184"/>
      <c r="AR108" s="185" t="e">
        <f t="shared" ref="AR108:BA108" ca="1" si="123">SUM(AR84:AR107)</f>
        <v>#REF!</v>
      </c>
      <c r="AS108" s="185" t="e">
        <f t="shared" ca="1" si="123"/>
        <v>#REF!</v>
      </c>
      <c r="AT108" s="185" t="e">
        <f t="shared" ca="1" si="123"/>
        <v>#REF!</v>
      </c>
      <c r="AU108" s="185" t="e">
        <f t="shared" ca="1" si="123"/>
        <v>#REF!</v>
      </c>
      <c r="AV108" s="185" t="e">
        <f t="shared" ca="1" si="123"/>
        <v>#REF!</v>
      </c>
      <c r="AW108" s="185" t="e">
        <f t="shared" ca="1" si="123"/>
        <v>#REF!</v>
      </c>
      <c r="AX108" s="185" t="e">
        <f t="shared" ca="1" si="123"/>
        <v>#REF!</v>
      </c>
      <c r="AY108" s="185" t="e">
        <f t="shared" ca="1" si="123"/>
        <v>#REF!</v>
      </c>
      <c r="AZ108" s="185" t="e">
        <f t="shared" ca="1" si="123"/>
        <v>#REF!</v>
      </c>
      <c r="BA108" s="185" t="e">
        <f t="shared" ca="1" si="123"/>
        <v>#REF!</v>
      </c>
      <c r="BB108" s="185" t="e">
        <f ca="1">SUM(AR108:BA108)</f>
        <v>#REF!</v>
      </c>
      <c r="BC108" s="184"/>
      <c r="BD108" s="187" t="e">
        <f t="shared" ca="1" si="110"/>
        <v>#REF!</v>
      </c>
    </row>
    <row r="109" spans="2:92" ht="18.899999999999999" customHeight="1">
      <c r="B109" s="237"/>
      <c r="C109" s="237"/>
      <c r="D109" s="223"/>
      <c r="E109" s="223"/>
      <c r="F109" s="223"/>
      <c r="G109" s="223"/>
      <c r="H109" s="223"/>
      <c r="I109" s="223"/>
      <c r="J109" s="223"/>
      <c r="K109" s="223"/>
      <c r="L109" s="223"/>
      <c r="M109" s="223"/>
      <c r="N109" s="223"/>
      <c r="O109" s="222"/>
      <c r="P109" s="223"/>
      <c r="Q109" s="223"/>
      <c r="R109" s="223"/>
      <c r="S109" s="223"/>
      <c r="T109" s="223"/>
      <c r="U109" s="223"/>
      <c r="V109" s="223"/>
      <c r="W109" s="223"/>
      <c r="X109" s="223"/>
      <c r="Y109" s="223"/>
      <c r="Z109" s="223"/>
      <c r="AA109" s="222"/>
      <c r="AB109" s="236"/>
      <c r="AC109" s="93"/>
      <c r="AD109" s="84"/>
      <c r="AE109" s="84"/>
      <c r="AF109" s="84"/>
      <c r="AG109" s="84"/>
      <c r="AH109" s="84"/>
      <c r="AI109" s="84"/>
      <c r="AJ109" s="84"/>
      <c r="AK109" s="84"/>
      <c r="AL109" s="84"/>
      <c r="AM109" s="84"/>
      <c r="AN109" s="84"/>
      <c r="AO109" s="84"/>
      <c r="AP109" s="84"/>
      <c r="AQ109" s="84"/>
      <c r="AR109" s="84"/>
      <c r="AS109" s="84"/>
      <c r="AT109" s="84"/>
      <c r="AU109" s="84"/>
      <c r="AV109" s="84"/>
      <c r="AW109" s="84"/>
      <c r="AX109" s="84"/>
      <c r="AY109" s="84"/>
      <c r="AZ109" s="84"/>
      <c r="BA109" s="84"/>
      <c r="BB109" s="84"/>
      <c r="BC109" s="84"/>
      <c r="BD109" s="84"/>
    </row>
    <row r="110" spans="2:92" ht="24.9" customHeight="1">
      <c r="C110" s="84"/>
      <c r="G110" s="84"/>
      <c r="H110" s="84"/>
      <c r="I110" s="84"/>
      <c r="J110" s="84"/>
      <c r="K110" s="84"/>
      <c r="L110" s="84"/>
      <c r="M110" s="84"/>
      <c r="N110" s="84"/>
      <c r="O110" s="84"/>
      <c r="S110" s="84"/>
      <c r="T110" s="84"/>
      <c r="U110" s="84"/>
      <c r="V110" s="84"/>
      <c r="W110" s="84"/>
      <c r="X110" s="84"/>
      <c r="Y110" s="84"/>
      <c r="Z110" s="84"/>
      <c r="AA110" s="84"/>
      <c r="AB110" s="84"/>
      <c r="AC110" s="94"/>
      <c r="AD110" s="84"/>
      <c r="AE110" s="84"/>
      <c r="AF110" s="84"/>
      <c r="AG110" s="84"/>
      <c r="AH110" s="84"/>
      <c r="AI110" s="84"/>
      <c r="AJ110" s="84"/>
      <c r="AK110" s="84"/>
      <c r="AL110" s="84"/>
      <c r="AM110" s="84"/>
      <c r="AN110" s="84"/>
      <c r="AO110" s="84"/>
      <c r="AP110" s="84"/>
      <c r="AQ110" s="84"/>
      <c r="AR110" s="84"/>
      <c r="AS110" s="84"/>
      <c r="AT110" s="84"/>
      <c r="AU110" s="84"/>
      <c r="AV110" s="84"/>
      <c r="AW110" s="84"/>
      <c r="AX110" s="84"/>
      <c r="AY110" s="84"/>
      <c r="AZ110" s="84"/>
      <c r="BA110" s="84"/>
      <c r="BB110" s="84"/>
      <c r="BC110" s="84"/>
      <c r="BD110" s="84"/>
    </row>
    <row r="111" spans="2:92" ht="24.9" customHeight="1">
      <c r="C111" s="84"/>
      <c r="G111" s="84"/>
      <c r="H111" s="84"/>
      <c r="I111" s="84"/>
      <c r="J111" s="84"/>
      <c r="K111" s="84"/>
      <c r="L111" s="84"/>
      <c r="M111" s="84"/>
      <c r="N111" s="84"/>
      <c r="O111" s="84"/>
      <c r="S111" s="84"/>
      <c r="T111" s="84"/>
      <c r="U111" s="84"/>
      <c r="V111" s="84"/>
      <c r="W111" s="84"/>
      <c r="X111" s="84"/>
      <c r="Y111" s="84"/>
      <c r="Z111" s="84"/>
      <c r="AA111" s="84"/>
      <c r="AB111" s="84"/>
      <c r="AC111" s="94"/>
      <c r="AD111" s="84"/>
      <c r="AE111" s="84"/>
      <c r="AF111" s="84"/>
      <c r="AG111" s="84"/>
      <c r="AH111" s="84"/>
      <c r="AI111" s="84"/>
      <c r="AJ111" s="84"/>
      <c r="AK111" s="84"/>
      <c r="AL111" s="84"/>
      <c r="AM111" s="84"/>
      <c r="AN111" s="84"/>
      <c r="AO111" s="84"/>
      <c r="AP111" s="84"/>
      <c r="AQ111" s="84"/>
      <c r="AR111" s="84"/>
      <c r="AS111" s="84"/>
      <c r="AT111" s="84"/>
      <c r="AU111" s="84"/>
      <c r="AV111" s="84"/>
      <c r="AW111" s="84"/>
      <c r="AX111" s="84"/>
      <c r="AY111" s="84"/>
      <c r="AZ111" s="84"/>
      <c r="BA111" s="84"/>
      <c r="BB111" s="84"/>
      <c r="BC111" s="84"/>
      <c r="BD111" s="84"/>
    </row>
    <row r="112" spans="2:92" s="107" customFormat="1" ht="9.9" customHeight="1">
      <c r="AC112" s="108"/>
      <c r="BG112" s="111"/>
      <c r="BH112" s="111"/>
      <c r="BI112" s="111"/>
      <c r="CH112" s="108"/>
      <c r="CI112" s="108"/>
      <c r="CJ112" s="108"/>
      <c r="CK112" s="108"/>
      <c r="CL112" s="108"/>
      <c r="CM112" s="108"/>
      <c r="CN112" s="108"/>
    </row>
    <row r="113" spans="2:56" ht="20.100000000000001" customHeight="1">
      <c r="C113" s="84"/>
      <c r="G113" s="84"/>
      <c r="H113" s="84"/>
      <c r="I113" s="84"/>
      <c r="J113" s="84"/>
      <c r="K113" s="84"/>
      <c r="L113" s="84"/>
      <c r="M113" s="84"/>
      <c r="N113" s="84"/>
      <c r="O113" s="84"/>
      <c r="S113" s="84"/>
      <c r="T113" s="84"/>
      <c r="U113" s="84"/>
      <c r="V113" s="84"/>
      <c r="W113" s="84"/>
      <c r="X113" s="84"/>
      <c r="Y113" s="84"/>
      <c r="Z113" s="84"/>
      <c r="AA113" s="84"/>
      <c r="AB113" s="84"/>
      <c r="AC113" s="201"/>
      <c r="AD113" s="84"/>
      <c r="AE113" s="84"/>
      <c r="AF113" s="84"/>
      <c r="AG113" s="84"/>
      <c r="AH113" s="84"/>
      <c r="AI113" s="84"/>
      <c r="AJ113" s="84"/>
      <c r="AK113" s="84"/>
      <c r="AL113" s="84"/>
      <c r="AM113" s="84"/>
      <c r="AN113" s="84"/>
      <c r="AO113" s="84"/>
      <c r="AP113" s="84"/>
      <c r="AQ113" s="84"/>
      <c r="AR113" s="84"/>
      <c r="AS113" s="84"/>
      <c r="AT113" s="84"/>
      <c r="AU113" s="84"/>
      <c r="AV113" s="84"/>
      <c r="AW113" s="84"/>
      <c r="AX113" s="84"/>
      <c r="AY113" s="84"/>
      <c r="AZ113" s="84"/>
      <c r="BA113" s="84"/>
      <c r="BB113" s="84"/>
      <c r="BC113" s="84"/>
      <c r="BD113" s="84"/>
    </row>
    <row r="114" spans="2:56" ht="18" customHeight="1">
      <c r="C114" s="84"/>
      <c r="G114" s="84"/>
      <c r="H114" s="84"/>
      <c r="I114" s="84"/>
      <c r="J114" s="84"/>
      <c r="K114" s="84"/>
      <c r="L114" s="84"/>
      <c r="M114" s="84"/>
      <c r="N114" s="84"/>
      <c r="O114" s="84"/>
      <c r="S114" s="84"/>
      <c r="T114" s="84"/>
      <c r="U114" s="84"/>
      <c r="V114" s="84"/>
      <c r="W114" s="84"/>
      <c r="X114" s="84"/>
      <c r="Y114" s="84"/>
      <c r="Z114" s="84"/>
      <c r="AA114" s="84"/>
      <c r="AB114" s="84"/>
      <c r="AC114" s="201"/>
      <c r="AD114" s="84"/>
      <c r="AE114" s="84"/>
      <c r="AF114" s="84"/>
      <c r="AG114" s="84"/>
      <c r="AH114" s="84"/>
      <c r="AI114" s="84"/>
      <c r="AJ114" s="84"/>
      <c r="AK114" s="84"/>
      <c r="AL114" s="84"/>
      <c r="AM114" s="84"/>
      <c r="AN114" s="84"/>
      <c r="AO114" s="84"/>
      <c r="AP114" s="84"/>
      <c r="AQ114" s="84"/>
      <c r="AR114" s="84"/>
      <c r="AS114" s="84"/>
      <c r="AT114" s="84"/>
      <c r="AU114" s="84"/>
      <c r="AV114" s="84"/>
      <c r="AW114" s="84"/>
      <c r="AX114" s="84"/>
      <c r="AY114" s="84"/>
      <c r="AZ114" s="84"/>
      <c r="BA114" s="84"/>
      <c r="BB114" s="84"/>
      <c r="BC114" s="84"/>
      <c r="BD114" s="84"/>
    </row>
    <row r="115" spans="2:56" ht="15" customHeight="1">
      <c r="C115" s="84"/>
      <c r="G115" s="84"/>
      <c r="H115" s="84"/>
      <c r="I115" s="84"/>
      <c r="J115" s="84"/>
      <c r="K115" s="84"/>
      <c r="L115" s="84"/>
      <c r="M115" s="84"/>
      <c r="N115" s="84"/>
      <c r="O115" s="84"/>
      <c r="S115" s="84"/>
      <c r="T115" s="84"/>
      <c r="U115" s="84"/>
      <c r="V115" s="84"/>
      <c r="W115" s="84"/>
      <c r="X115" s="84"/>
      <c r="Y115" s="84"/>
      <c r="Z115" s="84"/>
      <c r="AA115" s="84"/>
      <c r="AB115" s="84"/>
      <c r="AC115" s="201"/>
      <c r="AD115" s="84"/>
      <c r="AE115" s="84"/>
      <c r="AF115" s="84"/>
      <c r="AG115" s="84"/>
      <c r="AH115" s="84"/>
      <c r="AI115" s="84"/>
      <c r="AJ115" s="84"/>
      <c r="AK115" s="84"/>
      <c r="AL115" s="84"/>
      <c r="AM115" s="84"/>
      <c r="AN115" s="84"/>
      <c r="AO115" s="84"/>
      <c r="AP115" s="84"/>
      <c r="AQ115" s="84"/>
      <c r="AR115" s="84"/>
      <c r="AS115" s="84"/>
      <c r="AT115" s="84"/>
      <c r="AU115" s="84"/>
      <c r="AV115" s="84"/>
      <c r="AW115" s="84"/>
      <c r="AX115" s="84"/>
      <c r="AY115" s="84"/>
      <c r="AZ115" s="84"/>
      <c r="BA115" s="84"/>
      <c r="BB115" s="84"/>
      <c r="BC115" s="84"/>
      <c r="BD115" s="84"/>
    </row>
    <row r="116" spans="2:56" ht="110.1" customHeight="1">
      <c r="C116" s="84"/>
      <c r="G116" s="84"/>
      <c r="H116" s="84"/>
      <c r="I116" s="84"/>
      <c r="J116" s="84"/>
      <c r="K116" s="84"/>
      <c r="L116" s="84"/>
      <c r="M116" s="84"/>
      <c r="N116" s="84"/>
      <c r="O116" s="84"/>
      <c r="S116" s="84"/>
      <c r="T116" s="84"/>
      <c r="U116" s="84"/>
      <c r="V116" s="84"/>
      <c r="W116" s="84"/>
      <c r="X116" s="84"/>
      <c r="Y116" s="84"/>
      <c r="Z116" s="84"/>
      <c r="AA116" s="84"/>
      <c r="AB116" s="84"/>
      <c r="AC116" s="201"/>
      <c r="AD116" s="84"/>
      <c r="AE116" s="84"/>
      <c r="AF116" s="84"/>
      <c r="AG116" s="84"/>
      <c r="AH116" s="84"/>
      <c r="AI116" s="84"/>
      <c r="AJ116" s="84"/>
      <c r="AK116" s="84"/>
      <c r="AL116" s="84"/>
      <c r="AM116" s="84"/>
      <c r="AN116" s="84"/>
      <c r="AO116" s="84"/>
      <c r="AP116" s="84"/>
      <c r="AQ116" s="84"/>
      <c r="AR116" s="84"/>
      <c r="AS116" s="84"/>
      <c r="AT116" s="84"/>
      <c r="AU116" s="84"/>
      <c r="AV116" s="84"/>
      <c r="AW116" s="84"/>
      <c r="AX116" s="84"/>
      <c r="AY116" s="84"/>
      <c r="AZ116" s="84"/>
      <c r="BA116" s="84"/>
      <c r="BB116" s="84"/>
      <c r="BC116" s="84"/>
      <c r="BD116" s="84"/>
    </row>
    <row r="117" spans="2:56" ht="3.9" customHeight="1">
      <c r="C117" s="84"/>
      <c r="G117" s="84"/>
      <c r="H117" s="84"/>
      <c r="I117" s="84"/>
      <c r="J117" s="84"/>
      <c r="K117" s="84"/>
      <c r="L117" s="84"/>
      <c r="M117" s="84"/>
      <c r="N117" s="84"/>
      <c r="O117" s="84"/>
      <c r="S117" s="84"/>
      <c r="T117" s="84"/>
      <c r="U117" s="84"/>
      <c r="V117" s="84"/>
      <c r="W117" s="84"/>
      <c r="X117" s="84"/>
      <c r="Y117" s="84"/>
      <c r="Z117" s="84"/>
      <c r="AA117" s="84"/>
      <c r="AB117" s="84"/>
      <c r="AC117" s="201"/>
      <c r="AD117" s="84"/>
      <c r="AE117" s="84"/>
      <c r="AF117" s="84"/>
      <c r="AG117" s="84"/>
      <c r="AH117" s="84"/>
      <c r="AI117" s="84"/>
      <c r="AJ117" s="84"/>
      <c r="AK117" s="84"/>
      <c r="AL117" s="84"/>
      <c r="AM117" s="84"/>
      <c r="AN117" s="84"/>
      <c r="AO117" s="84"/>
      <c r="AP117" s="84"/>
      <c r="AQ117" s="84"/>
      <c r="AR117" s="84"/>
      <c r="AS117" s="84"/>
      <c r="AT117" s="84"/>
      <c r="AU117" s="84"/>
      <c r="AV117" s="84"/>
      <c r="AW117" s="84"/>
      <c r="AX117" s="84"/>
      <c r="AY117" s="84"/>
      <c r="AZ117" s="84"/>
      <c r="BA117" s="84"/>
      <c r="BB117" s="84"/>
      <c r="BC117" s="84"/>
      <c r="BD117" s="84"/>
    </row>
    <row r="118" spans="2:56" ht="17.100000000000001" customHeight="1">
      <c r="C118" s="84"/>
      <c r="G118" s="84"/>
      <c r="H118" s="84"/>
      <c r="I118" s="84"/>
      <c r="J118" s="84"/>
      <c r="K118" s="84"/>
      <c r="L118" s="84"/>
      <c r="M118" s="84"/>
      <c r="N118" s="84"/>
      <c r="O118" s="84"/>
      <c r="S118" s="84"/>
      <c r="T118" s="84"/>
      <c r="U118" s="84"/>
      <c r="V118" s="84"/>
      <c r="W118" s="84"/>
      <c r="X118" s="84"/>
      <c r="Y118" s="84"/>
      <c r="Z118" s="84"/>
      <c r="AA118" s="84"/>
      <c r="AB118" s="84"/>
      <c r="AC118" s="92"/>
      <c r="AD118" s="84"/>
      <c r="AE118" s="84"/>
      <c r="AF118" s="84"/>
      <c r="AG118" s="84"/>
      <c r="AH118" s="84"/>
      <c r="AI118" s="84"/>
      <c r="AJ118" s="84"/>
      <c r="AK118" s="84"/>
      <c r="AL118" s="84"/>
      <c r="AM118" s="84"/>
      <c r="AN118" s="84"/>
      <c r="AO118" s="84"/>
      <c r="AP118" s="84"/>
      <c r="AQ118" s="84"/>
      <c r="AR118" s="84"/>
      <c r="AS118" s="84"/>
      <c r="AT118" s="84"/>
      <c r="AU118" s="84"/>
      <c r="AV118" s="84"/>
      <c r="AW118" s="84"/>
      <c r="AX118" s="84"/>
      <c r="AY118" s="84"/>
      <c r="AZ118" s="84"/>
      <c r="BA118" s="84"/>
      <c r="BB118" s="84"/>
      <c r="BC118" s="84"/>
      <c r="BD118" s="84"/>
    </row>
    <row r="119" spans="2:56" ht="12.75" customHeight="1">
      <c r="H119" s="568" t="s">
        <v>55</v>
      </c>
      <c r="I119" s="568" t="s">
        <v>56</v>
      </c>
      <c r="J119" s="568" t="s">
        <v>57</v>
      </c>
    </row>
    <row r="120" spans="2:56" ht="12.75" customHeight="1">
      <c r="H120" s="568"/>
      <c r="I120" s="568"/>
      <c r="J120" s="568"/>
    </row>
    <row r="121" spans="2:56" ht="12.75" customHeight="1">
      <c r="H121" s="568"/>
      <c r="I121" s="568"/>
      <c r="J121" s="568"/>
    </row>
    <row r="122" spans="2:56" ht="12.75" customHeight="1">
      <c r="H122" s="568"/>
      <c r="I122" s="568"/>
      <c r="J122" s="568"/>
    </row>
    <row r="123" spans="2:56" ht="12.75" customHeight="1">
      <c r="H123" s="568"/>
      <c r="I123" s="568"/>
      <c r="J123" s="568"/>
    </row>
    <row r="124" spans="2:56" ht="12.75" customHeight="1">
      <c r="H124" s="568"/>
      <c r="I124" s="568"/>
      <c r="J124" s="568"/>
    </row>
    <row r="125" spans="2:56" ht="12.75" customHeight="1">
      <c r="H125" s="568"/>
      <c r="I125" s="568"/>
      <c r="J125" s="568"/>
    </row>
    <row r="126" spans="2:56" ht="12.75" customHeight="1">
      <c r="B126" s="213" t="s">
        <v>58</v>
      </c>
      <c r="C126" s="214"/>
      <c r="D126" s="213"/>
      <c r="E126" s="213"/>
      <c r="H126" s="568"/>
      <c r="I126" s="568"/>
      <c r="J126" s="568"/>
    </row>
    <row r="127" spans="2:56" ht="12.75" customHeight="1">
      <c r="D127" s="215" t="e" vm="1">
        <f t="shared" ref="D127:D140" ca="1" si="124">IF(ROW(B127)-ROW($B$126)&gt;COUNTA(x),"",MID(INDEX(x,ROW(B127)-ROW($B$126)),FIND("]",INDEX(x,ROW(B127)-ROW($B$126)))+1,31))</f>
        <v>#NAME?</v>
      </c>
      <c r="E127" s="216"/>
      <c r="F127" s="216"/>
      <c r="G127" s="217"/>
      <c r="H127" s="218" t="s">
        <v>59</v>
      </c>
      <c r="I127" s="218" t="s">
        <v>59</v>
      </c>
      <c r="J127" s="218" t="s">
        <v>59</v>
      </c>
    </row>
    <row r="128" spans="2:56" ht="12.75" customHeight="1">
      <c r="D128" s="215" t="str">
        <f t="shared" ca="1" si="124"/>
        <v/>
      </c>
      <c r="E128" s="216"/>
      <c r="F128" s="216"/>
      <c r="G128" s="217"/>
      <c r="H128" s="218" t="s">
        <v>59</v>
      </c>
      <c r="I128" s="218" t="s">
        <v>59</v>
      </c>
      <c r="J128" s="218" t="s">
        <v>59</v>
      </c>
    </row>
    <row r="129" spans="2:92" ht="12.75" customHeight="1">
      <c r="D129" s="215" t="str">
        <f t="shared" ca="1" si="124"/>
        <v/>
      </c>
      <c r="E129" s="216"/>
      <c r="F129" s="216"/>
      <c r="G129" s="217"/>
      <c r="H129" s="219" t="e">
        <f ca="1">IF(INDIRECT(ADDRESS(36,10,,,$D129))="Verbundeffekt(e)","ja",IF(INDIRECT(ADDRESS(37,10,,,$D128))="Verbundeffekt(e)","ja",IF(INDIRECT(ADDRESS(38,10,,,$D128))="Verbundeffekt(e)","ja","nein")))</f>
        <v>#REF!</v>
      </c>
      <c r="I129" s="219" t="e">
        <f ca="1">IF(INDIRECT(ADDRESS(36,10,,,$D129))="Mitnahmeeffekt(e)","ja",IF(INDIRECT(ADDRESS(37,10,,,$D128))="Mitnahmeeffekt(e)","ja",IF(INDIRECT(ADDRESS(38,10,,,$D128))="Mitnahmeeffekt(e)","ja","nein")))</f>
        <v>#REF!</v>
      </c>
      <c r="J129" s="219" t="e">
        <f ca="1">IF(INDIRECT(ADDRESS(36,10,,,$D129))="Konkurrenzeffekt(e)","ja",IF(INDIRECT(ADDRESS(37,10,,,$D128))="Konkurrenzeffekt(e)","ja",IF(INDIRECT(ADDRESS(38,10,,,$D128))="Konkurrenzeffekt(e)","ja","nein")))</f>
        <v>#REF!</v>
      </c>
    </row>
    <row r="130" spans="2:92" ht="12.75" customHeight="1">
      <c r="D130" s="215" t="str">
        <f t="shared" ca="1" si="124"/>
        <v/>
      </c>
      <c r="E130" s="216"/>
      <c r="F130" s="216"/>
      <c r="G130" s="217"/>
      <c r="H130" s="219" t="e">
        <f t="shared" ref="H130:H138" ca="1" si="125">IF(INDIRECT(ADDRESS(36,10,,,$D130))="Verbundeffekt(e)","ja",IF(INDIRECT(ADDRESS(37,10,,,$D129))="Verbundeffekt(e)","ja",IF(INDIRECT(ADDRESS(38,10,,,$D129))="Verbundeffekt(e)","ja","nein")))</f>
        <v>#REF!</v>
      </c>
      <c r="I130" s="219" t="e">
        <f t="shared" ref="I130:I138" ca="1" si="126">IF(INDIRECT(ADDRESS(36,10,,,$D130))="Mitnahmeeffekt(e)","ja",IF(INDIRECT(ADDRESS(37,10,,,$D129))="Mitnahmeeffekt(e)","ja",IF(INDIRECT(ADDRESS(38,10,,,$D129))="Mitnahmeeffekt(e)","ja","nein")))</f>
        <v>#REF!</v>
      </c>
      <c r="J130" s="219" t="e">
        <f t="shared" ref="J130:J138" ca="1" si="127">IF(INDIRECT(ADDRESS(36,10,,,$D130))="Konkurrenzeffekt(e)","ja",IF(INDIRECT(ADDRESS(37,10,,,$D129))="Konkurrenzeffekt(e)","ja",IF(INDIRECT(ADDRESS(38,10,,,$D129))="Konkurrenzeffekt(e)","ja","nein")))</f>
        <v>#REF!</v>
      </c>
    </row>
    <row r="131" spans="2:92" ht="12.75" customHeight="1">
      <c r="D131" s="215" t="str">
        <f t="shared" ca="1" si="124"/>
        <v/>
      </c>
      <c r="E131" s="216"/>
      <c r="F131" s="216"/>
      <c r="G131" s="217"/>
      <c r="H131" s="219" t="e">
        <f t="shared" ca="1" si="125"/>
        <v>#REF!</v>
      </c>
      <c r="I131" s="219" t="e">
        <f t="shared" ca="1" si="126"/>
        <v>#REF!</v>
      </c>
      <c r="J131" s="219" t="e">
        <f t="shared" ca="1" si="127"/>
        <v>#REF!</v>
      </c>
    </row>
    <row r="132" spans="2:92" ht="12.75" customHeight="1">
      <c r="D132" s="215" t="str">
        <f t="shared" ca="1" si="124"/>
        <v/>
      </c>
      <c r="E132" s="216"/>
      <c r="F132" s="216"/>
      <c r="G132" s="217"/>
      <c r="H132" s="219" t="e">
        <f t="shared" ca="1" si="125"/>
        <v>#REF!</v>
      </c>
      <c r="I132" s="219" t="e">
        <f t="shared" ca="1" si="126"/>
        <v>#REF!</v>
      </c>
      <c r="J132" s="219" t="e">
        <f t="shared" ca="1" si="127"/>
        <v>#REF!</v>
      </c>
    </row>
    <row r="133" spans="2:92" ht="12.75" customHeight="1">
      <c r="D133" s="215" t="str">
        <f t="shared" ca="1" si="124"/>
        <v/>
      </c>
      <c r="E133" s="216"/>
      <c r="F133" s="216"/>
      <c r="G133" s="217"/>
      <c r="H133" s="219" t="e">
        <f t="shared" ca="1" si="125"/>
        <v>#REF!</v>
      </c>
      <c r="I133" s="219" t="e">
        <f t="shared" ca="1" si="126"/>
        <v>#REF!</v>
      </c>
      <c r="J133" s="219" t="e">
        <f t="shared" ca="1" si="127"/>
        <v>#REF!</v>
      </c>
    </row>
    <row r="134" spans="2:92" ht="12.75" customHeight="1">
      <c r="D134" s="215" t="str">
        <f t="shared" ca="1" si="124"/>
        <v/>
      </c>
      <c r="E134" s="216"/>
      <c r="F134" s="216"/>
      <c r="G134" s="217"/>
      <c r="H134" s="219" t="e">
        <f t="shared" ca="1" si="125"/>
        <v>#REF!</v>
      </c>
      <c r="I134" s="219" t="e">
        <f t="shared" ca="1" si="126"/>
        <v>#REF!</v>
      </c>
      <c r="J134" s="219" t="e">
        <f t="shared" ca="1" si="127"/>
        <v>#REF!</v>
      </c>
    </row>
    <row r="135" spans="2:92" ht="12.75" customHeight="1">
      <c r="D135" s="215" t="str">
        <f t="shared" ca="1" si="124"/>
        <v/>
      </c>
      <c r="E135" s="216"/>
      <c r="F135" s="216"/>
      <c r="G135" s="217"/>
      <c r="H135" s="219" t="e">
        <f t="shared" ca="1" si="125"/>
        <v>#REF!</v>
      </c>
      <c r="I135" s="219" t="e">
        <f t="shared" ca="1" si="126"/>
        <v>#REF!</v>
      </c>
      <c r="J135" s="219" t="e">
        <f t="shared" ca="1" si="127"/>
        <v>#REF!</v>
      </c>
    </row>
    <row r="136" spans="2:92" ht="12.75" customHeight="1">
      <c r="D136" s="215" t="str">
        <f t="shared" ca="1" si="124"/>
        <v/>
      </c>
      <c r="E136" s="216"/>
      <c r="F136" s="216"/>
      <c r="G136" s="217"/>
      <c r="H136" s="219" t="e">
        <f t="shared" ca="1" si="125"/>
        <v>#REF!</v>
      </c>
      <c r="I136" s="219" t="e">
        <f t="shared" ca="1" si="126"/>
        <v>#REF!</v>
      </c>
      <c r="J136" s="219" t="e">
        <f t="shared" ca="1" si="127"/>
        <v>#REF!</v>
      </c>
    </row>
    <row r="137" spans="2:92" ht="12.75" customHeight="1">
      <c r="D137" s="215" t="str">
        <f t="shared" ca="1" si="124"/>
        <v/>
      </c>
      <c r="E137" s="216"/>
      <c r="F137" s="216"/>
      <c r="G137" s="217"/>
      <c r="H137" s="219" t="e">
        <f t="shared" ca="1" si="125"/>
        <v>#REF!</v>
      </c>
      <c r="I137" s="219" t="e">
        <f t="shared" ca="1" si="126"/>
        <v>#REF!</v>
      </c>
      <c r="J137" s="219" t="e">
        <f t="shared" ca="1" si="127"/>
        <v>#REF!</v>
      </c>
    </row>
    <row r="138" spans="2:92" ht="12.75" customHeight="1">
      <c r="D138" s="215" t="str">
        <f t="shared" ca="1" si="124"/>
        <v/>
      </c>
      <c r="E138" s="216"/>
      <c r="F138" s="216"/>
      <c r="G138" s="217"/>
      <c r="H138" s="219" t="e">
        <f t="shared" ca="1" si="125"/>
        <v>#REF!</v>
      </c>
      <c r="I138" s="219" t="e">
        <f t="shared" ca="1" si="126"/>
        <v>#REF!</v>
      </c>
      <c r="J138" s="219" t="e">
        <f t="shared" ca="1" si="127"/>
        <v>#REF!</v>
      </c>
    </row>
    <row r="139" spans="2:92" ht="12.75" customHeight="1">
      <c r="D139" s="215" t="str">
        <f t="shared" ca="1" si="124"/>
        <v/>
      </c>
      <c r="E139" s="216"/>
      <c r="F139" s="216"/>
      <c r="G139" s="217"/>
      <c r="H139" s="218" t="s">
        <v>59</v>
      </c>
      <c r="I139" s="218" t="s">
        <v>59</v>
      </c>
      <c r="J139" s="218" t="s">
        <v>59</v>
      </c>
    </row>
    <row r="140" spans="2:92" ht="12.75" customHeight="1">
      <c r="C140" s="84"/>
      <c r="D140" s="215" t="str">
        <f t="shared" ca="1" si="124"/>
        <v/>
      </c>
      <c r="E140" s="216"/>
      <c r="F140" s="216"/>
      <c r="G140" s="217"/>
      <c r="H140" s="218" t="s">
        <v>59</v>
      </c>
      <c r="I140" s="218" t="s">
        <v>59</v>
      </c>
      <c r="J140" s="218" t="s">
        <v>59</v>
      </c>
    </row>
    <row r="141" spans="2:92">
      <c r="H141" s="85">
        <f ca="1">COUNTIF(H128:H140,"ja")</f>
        <v>0</v>
      </c>
      <c r="I141" s="85">
        <f ca="1">COUNTIF(I128:I140,"ja")</f>
        <v>0</v>
      </c>
      <c r="J141" s="85">
        <f ca="1">COUNTIF(J128:J140,"ja")</f>
        <v>0</v>
      </c>
    </row>
    <row r="142" spans="2:92" ht="17.100000000000001" customHeight="1">
      <c r="C142" s="84"/>
      <c r="G142" s="84"/>
      <c r="H142" s="84"/>
      <c r="I142" s="84"/>
      <c r="J142" s="84"/>
      <c r="K142" s="84"/>
      <c r="L142" s="84"/>
      <c r="M142" s="84"/>
      <c r="N142" s="84"/>
      <c r="O142" s="84"/>
      <c r="S142" s="84"/>
      <c r="T142" s="84"/>
      <c r="U142" s="84"/>
      <c r="V142" s="84"/>
      <c r="W142" s="84"/>
      <c r="X142" s="84"/>
      <c r="Y142" s="84"/>
      <c r="Z142" s="84"/>
      <c r="AA142" s="84"/>
      <c r="AB142" s="84"/>
      <c r="AC142" s="92"/>
      <c r="AD142" s="84"/>
      <c r="AE142" s="84"/>
      <c r="AF142" s="84"/>
      <c r="AG142" s="84"/>
      <c r="AH142" s="84"/>
      <c r="AI142" s="84"/>
      <c r="AJ142" s="84"/>
      <c r="AK142" s="84"/>
      <c r="AL142" s="84"/>
      <c r="AM142" s="84"/>
      <c r="AN142" s="84"/>
      <c r="AO142" s="84"/>
      <c r="AP142" s="84"/>
      <c r="AQ142" s="84"/>
      <c r="AR142" s="84"/>
      <c r="AS142" s="84"/>
      <c r="AT142" s="84"/>
      <c r="AU142" s="84"/>
      <c r="AV142" s="84"/>
      <c r="AW142" s="84"/>
      <c r="AX142" s="84"/>
      <c r="AY142" s="84"/>
      <c r="AZ142" s="84"/>
      <c r="BA142" s="84"/>
      <c r="BB142" s="84"/>
      <c r="BC142" s="84"/>
      <c r="BD142" s="84"/>
    </row>
    <row r="143" spans="2:92" s="32" customFormat="1" ht="17.100000000000001" customHeight="1">
      <c r="AC143" s="202"/>
      <c r="BG143" s="203"/>
      <c r="BH143" s="203"/>
      <c r="BI143" s="203"/>
      <c r="CH143" s="29"/>
      <c r="CI143" s="29"/>
      <c r="CJ143" s="29"/>
      <c r="CK143" s="29"/>
      <c r="CL143" s="29"/>
      <c r="CM143" s="29"/>
      <c r="CN143" s="29"/>
    </row>
    <row r="144" spans="2:92" ht="18.899999999999999" customHeight="1">
      <c r="B144" s="90"/>
      <c r="C144" s="91"/>
      <c r="D144" s="92"/>
      <c r="E144" s="92"/>
      <c r="F144" s="92"/>
      <c r="G144" s="92"/>
      <c r="H144" s="92"/>
      <c r="I144" s="92"/>
      <c r="J144" s="92"/>
      <c r="K144" s="92"/>
      <c r="L144" s="92"/>
      <c r="M144" s="92"/>
      <c r="N144" s="92"/>
      <c r="O144" s="91"/>
      <c r="P144" s="92"/>
      <c r="Q144" s="92"/>
      <c r="R144" s="92"/>
      <c r="S144" s="92"/>
      <c r="T144" s="92"/>
      <c r="U144" s="92"/>
      <c r="V144" s="92"/>
      <c r="W144" s="92"/>
      <c r="X144" s="92"/>
      <c r="Y144" s="92"/>
      <c r="Z144" s="92"/>
      <c r="AA144" s="91"/>
      <c r="AB144" s="93"/>
      <c r="AC144" s="93"/>
      <c r="BD144" s="93"/>
    </row>
    <row r="145" spans="2:92" ht="24.9" customHeight="1">
      <c r="B145" s="563"/>
      <c r="C145" s="563"/>
      <c r="D145" s="563"/>
      <c r="E145" s="563"/>
      <c r="F145" s="563"/>
      <c r="G145" s="563"/>
      <c r="H145" s="563"/>
      <c r="I145" s="563"/>
      <c r="J145" s="563"/>
      <c r="K145" s="563"/>
      <c r="L145" s="563"/>
      <c r="M145" s="563"/>
      <c r="N145" s="563"/>
      <c r="O145" s="563"/>
      <c r="P145" s="563"/>
      <c r="Q145" s="563"/>
      <c r="R145" s="563"/>
      <c r="S145" s="563"/>
      <c r="T145" s="563"/>
      <c r="U145" s="563"/>
      <c r="V145" s="563"/>
      <c r="W145" s="563"/>
      <c r="X145" s="563"/>
      <c r="Y145" s="563"/>
      <c r="Z145" s="563"/>
      <c r="AA145" s="563"/>
      <c r="AB145" s="563"/>
      <c r="AC145" s="94"/>
    </row>
    <row r="146" spans="2:92" ht="24.9" customHeight="1">
      <c r="B146" s="563"/>
      <c r="C146" s="563"/>
      <c r="D146" s="563"/>
      <c r="E146" s="563"/>
      <c r="F146" s="563"/>
      <c r="G146" s="563"/>
      <c r="H146" s="563"/>
      <c r="I146" s="563"/>
      <c r="J146" s="563"/>
      <c r="K146" s="563"/>
      <c r="L146" s="563"/>
      <c r="M146" s="563"/>
      <c r="N146" s="563"/>
      <c r="O146" s="563"/>
      <c r="P146" s="563"/>
      <c r="Q146" s="563"/>
      <c r="R146" s="563"/>
      <c r="S146" s="563"/>
      <c r="T146" s="563"/>
      <c r="U146" s="563"/>
      <c r="V146" s="563"/>
      <c r="W146" s="563"/>
      <c r="X146" s="563"/>
      <c r="Y146" s="563"/>
      <c r="Z146" s="563"/>
      <c r="AA146" s="563"/>
      <c r="AB146" s="563"/>
      <c r="AC146" s="94"/>
    </row>
    <row r="147" spans="2:92" s="107" customFormat="1" ht="9.9" customHeight="1">
      <c r="C147" s="108"/>
      <c r="D147" s="109"/>
      <c r="G147" s="108"/>
      <c r="H147" s="108"/>
      <c r="I147" s="108"/>
      <c r="J147" s="108"/>
      <c r="K147" s="108"/>
      <c r="L147" s="108"/>
      <c r="M147" s="108"/>
      <c r="N147" s="108"/>
      <c r="O147" s="108"/>
      <c r="S147" s="108"/>
      <c r="T147" s="108"/>
      <c r="U147" s="108"/>
      <c r="V147" s="108"/>
      <c r="W147" s="108"/>
      <c r="X147" s="108"/>
      <c r="Y147" s="108"/>
      <c r="Z147" s="108"/>
      <c r="AA147" s="108"/>
      <c r="AB147" s="108"/>
      <c r="AC147" s="108"/>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G147" s="111"/>
      <c r="BH147" s="111"/>
      <c r="BI147" s="111"/>
      <c r="CH147" s="108"/>
      <c r="CI147" s="108"/>
      <c r="CJ147" s="108"/>
      <c r="CK147" s="108"/>
      <c r="CL147" s="108"/>
      <c r="CM147" s="108"/>
      <c r="CN147" s="108"/>
    </row>
    <row r="148" spans="2:92" ht="20.100000000000001" customHeight="1">
      <c r="B148" s="562"/>
      <c r="D148" s="564"/>
      <c r="E148" s="564"/>
      <c r="F148" s="564"/>
      <c r="G148" s="564"/>
      <c r="H148" s="564"/>
      <c r="I148" s="564"/>
      <c r="J148" s="564"/>
      <c r="K148" s="564"/>
      <c r="L148" s="564"/>
      <c r="M148" s="564"/>
      <c r="N148" s="564"/>
      <c r="P148" s="564"/>
      <c r="Q148" s="564"/>
      <c r="R148" s="564"/>
      <c r="S148" s="564"/>
      <c r="T148" s="564"/>
      <c r="U148" s="564"/>
      <c r="V148" s="564"/>
      <c r="W148" s="564"/>
      <c r="X148" s="564"/>
      <c r="Y148" s="564"/>
      <c r="Z148" s="564"/>
      <c r="AB148" s="565"/>
      <c r="AC148" s="201"/>
    </row>
    <row r="149" spans="2:92" ht="18" customHeight="1">
      <c r="B149" s="562"/>
      <c r="D149" s="566"/>
      <c r="E149" s="566"/>
      <c r="F149" s="566"/>
      <c r="G149" s="566"/>
      <c r="H149" s="566"/>
      <c r="I149" s="566"/>
      <c r="J149" s="566"/>
      <c r="K149" s="566"/>
      <c r="L149" s="566"/>
      <c r="M149" s="566"/>
      <c r="N149" s="565"/>
      <c r="P149" s="566"/>
      <c r="Q149" s="566"/>
      <c r="R149" s="566"/>
      <c r="S149" s="566"/>
      <c r="T149" s="566"/>
      <c r="U149" s="566"/>
      <c r="V149" s="566"/>
      <c r="W149" s="566"/>
      <c r="X149" s="566"/>
      <c r="Y149" s="566"/>
      <c r="Z149" s="565"/>
      <c r="AB149" s="565"/>
      <c r="AC149" s="201"/>
    </row>
    <row r="150" spans="2:92" ht="15" customHeight="1">
      <c r="B150" s="562"/>
      <c r="C150" s="204"/>
      <c r="D150" s="128"/>
      <c r="E150" s="128"/>
      <c r="F150" s="128"/>
      <c r="G150" s="128"/>
      <c r="H150" s="128"/>
      <c r="I150" s="128"/>
      <c r="J150" s="128"/>
      <c r="K150" s="128"/>
      <c r="L150" s="128"/>
      <c r="M150" s="128"/>
      <c r="N150" s="565"/>
      <c r="O150" s="204"/>
      <c r="P150" s="128"/>
      <c r="Q150" s="128"/>
      <c r="R150" s="128"/>
      <c r="S150" s="128"/>
      <c r="T150" s="128"/>
      <c r="U150" s="128"/>
      <c r="V150" s="128"/>
      <c r="W150" s="128"/>
      <c r="X150" s="128"/>
      <c r="Y150" s="128"/>
      <c r="Z150" s="565"/>
      <c r="AA150" s="204"/>
      <c r="AB150" s="565"/>
      <c r="AC150" s="201"/>
    </row>
    <row r="151" spans="2:92" ht="110.1" customHeight="1">
      <c r="B151" s="562"/>
      <c r="C151" s="204"/>
      <c r="D151" s="129"/>
      <c r="E151" s="129"/>
      <c r="F151" s="129"/>
      <c r="G151" s="129"/>
      <c r="H151" s="129"/>
      <c r="I151" s="129"/>
      <c r="J151" s="129"/>
      <c r="K151" s="129"/>
      <c r="L151" s="129"/>
      <c r="M151" s="129"/>
      <c r="N151" s="565"/>
      <c r="O151" s="204"/>
      <c r="P151" s="129"/>
      <c r="Q151" s="129"/>
      <c r="R151" s="129"/>
      <c r="S151" s="129"/>
      <c r="T151" s="129"/>
      <c r="U151" s="129"/>
      <c r="V151" s="129"/>
      <c r="W151" s="129"/>
      <c r="X151" s="129"/>
      <c r="Y151" s="129"/>
      <c r="Z151" s="565"/>
      <c r="AA151" s="204"/>
      <c r="AB151" s="565"/>
      <c r="AC151" s="201"/>
    </row>
    <row r="152" spans="2:92" ht="3.9" customHeight="1">
      <c r="B152" s="205"/>
      <c r="C152" s="204"/>
      <c r="D152" s="132"/>
      <c r="E152" s="132"/>
      <c r="F152" s="132"/>
      <c r="G152" s="132"/>
      <c r="H152" s="132"/>
      <c r="I152" s="132"/>
      <c r="J152" s="132"/>
      <c r="K152" s="132"/>
      <c r="L152" s="132"/>
      <c r="M152" s="132"/>
      <c r="N152" s="201"/>
      <c r="O152" s="204"/>
      <c r="P152" s="129"/>
      <c r="Q152" s="129"/>
      <c r="R152" s="129"/>
      <c r="S152" s="129"/>
      <c r="T152" s="129"/>
      <c r="U152" s="129"/>
      <c r="V152" s="129"/>
      <c r="W152" s="129"/>
      <c r="X152" s="129"/>
      <c r="Y152" s="129"/>
      <c r="Z152" s="201"/>
      <c r="AA152" s="204"/>
      <c r="AB152" s="201"/>
      <c r="AC152" s="201"/>
    </row>
    <row r="153" spans="2:92" ht="17.100000000000001" customHeight="1">
      <c r="B153" s="31"/>
      <c r="C153" s="206"/>
      <c r="D153" s="146"/>
      <c r="E153" s="146"/>
      <c r="F153" s="146"/>
      <c r="G153" s="146"/>
      <c r="H153" s="146"/>
      <c r="I153" s="146"/>
      <c r="J153" s="146"/>
      <c r="K153" s="146"/>
      <c r="L153" s="146"/>
      <c r="M153" s="146"/>
      <c r="N153" s="92"/>
      <c r="O153" s="206"/>
      <c r="P153" s="146"/>
      <c r="Q153" s="146"/>
      <c r="R153" s="146"/>
      <c r="S153" s="146"/>
      <c r="T153" s="146"/>
      <c r="U153" s="146"/>
      <c r="V153" s="146"/>
      <c r="W153" s="146"/>
      <c r="X153" s="146"/>
      <c r="Y153" s="146"/>
      <c r="Z153" s="92"/>
      <c r="AA153" s="206"/>
      <c r="AB153" s="92"/>
      <c r="AC153" s="92"/>
    </row>
    <row r="154" spans="2:92" ht="17.100000000000001" customHeight="1">
      <c r="B154" s="31"/>
      <c r="C154" s="206"/>
      <c r="D154" s="146"/>
      <c r="E154" s="146"/>
      <c r="F154" s="146"/>
      <c r="G154" s="146"/>
      <c r="H154" s="146"/>
      <c r="I154" s="146"/>
      <c r="J154" s="146"/>
      <c r="K154" s="146"/>
      <c r="L154" s="146"/>
      <c r="M154" s="146"/>
      <c r="N154" s="92"/>
      <c r="O154" s="206"/>
      <c r="P154" s="146"/>
      <c r="Q154" s="146"/>
      <c r="R154" s="146"/>
      <c r="S154" s="146"/>
      <c r="T154" s="146"/>
      <c r="U154" s="146"/>
      <c r="V154" s="146"/>
      <c r="W154" s="146"/>
      <c r="X154" s="146"/>
      <c r="Y154" s="146"/>
      <c r="Z154" s="92"/>
      <c r="AA154" s="206"/>
      <c r="AB154" s="92"/>
      <c r="AC154" s="92"/>
    </row>
    <row r="155" spans="2:92" ht="17.100000000000001" customHeight="1">
      <c r="B155" s="31"/>
      <c r="C155" s="206"/>
      <c r="D155" s="146"/>
      <c r="E155" s="146"/>
      <c r="F155" s="146"/>
      <c r="G155" s="146"/>
      <c r="H155" s="146"/>
      <c r="I155" s="146"/>
      <c r="J155" s="146"/>
      <c r="K155" s="146"/>
      <c r="L155" s="146"/>
      <c r="M155" s="146"/>
      <c r="N155" s="92"/>
      <c r="O155" s="206"/>
      <c r="P155" s="146"/>
      <c r="Q155" s="146"/>
      <c r="R155" s="146"/>
      <c r="S155" s="146"/>
      <c r="T155" s="146"/>
      <c r="U155" s="146"/>
      <c r="V155" s="146"/>
      <c r="W155" s="146"/>
      <c r="X155" s="146"/>
      <c r="Y155" s="146"/>
      <c r="Z155" s="92"/>
      <c r="AA155" s="206"/>
      <c r="AB155" s="92"/>
      <c r="AC155" s="92"/>
    </row>
    <row r="156" spans="2:92" ht="17.100000000000001" customHeight="1">
      <c r="B156" s="31"/>
      <c r="C156" s="206"/>
      <c r="D156" s="146"/>
      <c r="E156" s="146"/>
      <c r="F156" s="146"/>
      <c r="G156" s="146"/>
      <c r="H156" s="146"/>
      <c r="I156" s="146"/>
      <c r="J156" s="146"/>
      <c r="K156" s="146"/>
      <c r="L156" s="146"/>
      <c r="M156" s="146"/>
      <c r="N156" s="92"/>
      <c r="O156" s="206"/>
      <c r="P156" s="146"/>
      <c r="Q156" s="146"/>
      <c r="R156" s="146"/>
      <c r="S156" s="146"/>
      <c r="T156" s="146"/>
      <c r="U156" s="146"/>
      <c r="V156" s="146"/>
      <c r="W156" s="146"/>
      <c r="X156" s="146"/>
      <c r="Y156" s="146"/>
      <c r="Z156" s="92"/>
      <c r="AA156" s="206"/>
      <c r="AB156" s="92"/>
      <c r="AC156" s="92"/>
    </row>
    <row r="157" spans="2:92" ht="17.100000000000001" customHeight="1">
      <c r="B157" s="31"/>
      <c r="C157" s="206"/>
      <c r="D157" s="146"/>
      <c r="E157" s="146"/>
      <c r="F157" s="146"/>
      <c r="G157" s="146"/>
      <c r="H157" s="146"/>
      <c r="I157" s="146"/>
      <c r="J157" s="146"/>
      <c r="K157" s="146"/>
      <c r="L157" s="146"/>
      <c r="M157" s="146"/>
      <c r="N157" s="92"/>
      <c r="O157" s="206"/>
      <c r="P157" s="146"/>
      <c r="Q157" s="146"/>
      <c r="R157" s="146"/>
      <c r="S157" s="146"/>
      <c r="T157" s="146"/>
      <c r="U157" s="146"/>
      <c r="V157" s="146"/>
      <c r="W157" s="146"/>
      <c r="X157" s="146"/>
      <c r="Y157" s="146"/>
      <c r="Z157" s="92"/>
      <c r="AA157" s="206"/>
      <c r="AB157" s="92"/>
      <c r="AC157" s="92"/>
    </row>
    <row r="158" spans="2:92" ht="17.100000000000001" customHeight="1">
      <c r="B158" s="31"/>
      <c r="C158" s="206"/>
      <c r="D158" s="146"/>
      <c r="E158" s="146"/>
      <c r="F158" s="146"/>
      <c r="G158" s="146"/>
      <c r="H158" s="146"/>
      <c r="I158" s="146"/>
      <c r="J158" s="146"/>
      <c r="K158" s="146"/>
      <c r="L158" s="146"/>
      <c r="M158" s="146"/>
      <c r="N158" s="92"/>
      <c r="O158" s="206"/>
      <c r="P158" s="146"/>
      <c r="Q158" s="146"/>
      <c r="R158" s="146"/>
      <c r="S158" s="146"/>
      <c r="T158" s="146"/>
      <c r="U158" s="146"/>
      <c r="V158" s="146"/>
      <c r="W158" s="146"/>
      <c r="X158" s="146"/>
      <c r="Y158" s="146"/>
      <c r="Z158" s="92"/>
      <c r="AA158" s="206"/>
      <c r="AB158" s="92"/>
      <c r="AC158" s="92"/>
    </row>
    <row r="159" spans="2:92" ht="17.100000000000001" customHeight="1">
      <c r="B159" s="31"/>
      <c r="C159" s="206"/>
      <c r="D159" s="146"/>
      <c r="E159" s="146"/>
      <c r="F159" s="146"/>
      <c r="G159" s="146"/>
      <c r="H159" s="146"/>
      <c r="I159" s="146"/>
      <c r="J159" s="146"/>
      <c r="K159" s="146"/>
      <c r="L159" s="146"/>
      <c r="M159" s="146"/>
      <c r="N159" s="92"/>
      <c r="O159" s="206"/>
      <c r="P159" s="146"/>
      <c r="Q159" s="146"/>
      <c r="R159" s="146"/>
      <c r="S159" s="146"/>
      <c r="T159" s="146"/>
      <c r="U159" s="146"/>
      <c r="V159" s="146"/>
      <c r="W159" s="146"/>
      <c r="X159" s="146"/>
      <c r="Y159" s="146"/>
      <c r="Z159" s="92"/>
      <c r="AA159" s="206"/>
      <c r="AB159" s="92"/>
      <c r="AC159" s="92"/>
    </row>
    <row r="160" spans="2:92" ht="17.100000000000001" customHeight="1">
      <c r="B160" s="31"/>
      <c r="C160" s="206"/>
      <c r="D160" s="146"/>
      <c r="E160" s="146"/>
      <c r="F160" s="146"/>
      <c r="G160" s="146"/>
      <c r="H160" s="146"/>
      <c r="I160" s="146"/>
      <c r="J160" s="146"/>
      <c r="K160" s="146"/>
      <c r="L160" s="146"/>
      <c r="M160" s="146"/>
      <c r="N160" s="92"/>
      <c r="O160" s="206"/>
      <c r="P160" s="146"/>
      <c r="Q160" s="146"/>
      <c r="R160" s="146"/>
      <c r="S160" s="146"/>
      <c r="T160" s="146"/>
      <c r="U160" s="146"/>
      <c r="V160" s="146"/>
      <c r="W160" s="146"/>
      <c r="X160" s="146"/>
      <c r="Y160" s="146"/>
      <c r="Z160" s="92"/>
      <c r="AA160" s="206"/>
      <c r="AB160" s="92"/>
      <c r="AC160" s="92"/>
    </row>
    <row r="161" spans="2:29" ht="17.100000000000001" customHeight="1">
      <c r="B161" s="31"/>
      <c r="C161" s="206"/>
      <c r="D161" s="146"/>
      <c r="E161" s="146"/>
      <c r="F161" s="146"/>
      <c r="G161" s="146"/>
      <c r="H161" s="146"/>
      <c r="I161" s="146"/>
      <c r="J161" s="146"/>
      <c r="K161" s="146"/>
      <c r="L161" s="146"/>
      <c r="M161" s="146"/>
      <c r="N161" s="92"/>
      <c r="O161" s="206"/>
      <c r="P161" s="146"/>
      <c r="Q161" s="146"/>
      <c r="R161" s="146"/>
      <c r="S161" s="146"/>
      <c r="T161" s="146"/>
      <c r="U161" s="146"/>
      <c r="V161" s="146"/>
      <c r="W161" s="146"/>
      <c r="X161" s="146"/>
      <c r="Y161" s="146"/>
      <c r="Z161" s="92"/>
      <c r="AA161" s="206"/>
      <c r="AB161" s="92"/>
      <c r="AC161" s="92"/>
    </row>
    <row r="162" spans="2:29" ht="17.100000000000001" customHeight="1">
      <c r="B162" s="31"/>
      <c r="C162" s="206"/>
      <c r="D162" s="146"/>
      <c r="E162" s="146"/>
      <c r="F162" s="146"/>
      <c r="G162" s="146"/>
      <c r="H162" s="146"/>
      <c r="I162" s="146"/>
      <c r="J162" s="146"/>
      <c r="K162" s="146"/>
      <c r="L162" s="146"/>
      <c r="M162" s="146"/>
      <c r="N162" s="92"/>
      <c r="O162" s="206"/>
      <c r="P162" s="146"/>
      <c r="Q162" s="146"/>
      <c r="R162" s="146"/>
      <c r="S162" s="146"/>
      <c r="T162" s="146"/>
      <c r="U162" s="146"/>
      <c r="V162" s="146"/>
      <c r="W162" s="146"/>
      <c r="X162" s="146"/>
      <c r="Y162" s="146"/>
      <c r="Z162" s="92"/>
      <c r="AA162" s="206"/>
      <c r="AB162" s="92"/>
      <c r="AC162" s="92"/>
    </row>
    <row r="163" spans="2:29" ht="17.100000000000001" customHeight="1">
      <c r="B163" s="31"/>
      <c r="C163" s="206"/>
      <c r="D163" s="146"/>
      <c r="E163" s="146"/>
      <c r="F163" s="146"/>
      <c r="G163" s="146"/>
      <c r="H163" s="146"/>
      <c r="I163" s="146"/>
      <c r="J163" s="146"/>
      <c r="K163" s="146"/>
      <c r="L163" s="146"/>
      <c r="M163" s="146"/>
      <c r="N163" s="92"/>
      <c r="O163" s="206"/>
      <c r="P163" s="146"/>
      <c r="Q163" s="146"/>
      <c r="R163" s="146"/>
      <c r="S163" s="146"/>
      <c r="T163" s="146"/>
      <c r="U163" s="146"/>
      <c r="V163" s="146"/>
      <c r="W163" s="146"/>
      <c r="X163" s="146"/>
      <c r="Y163" s="146"/>
      <c r="Z163" s="92"/>
      <c r="AA163" s="206"/>
      <c r="AB163" s="92"/>
      <c r="AC163" s="92"/>
    </row>
    <row r="164" spans="2:29" ht="17.100000000000001" customHeight="1">
      <c r="B164" s="31"/>
      <c r="C164" s="206"/>
      <c r="D164" s="146"/>
      <c r="E164" s="146"/>
      <c r="F164" s="146"/>
      <c r="G164" s="146"/>
      <c r="H164" s="146"/>
      <c r="I164" s="146"/>
      <c r="J164" s="146"/>
      <c r="K164" s="146"/>
      <c r="L164" s="146"/>
      <c r="M164" s="146"/>
      <c r="N164" s="92"/>
      <c r="O164" s="206"/>
      <c r="P164" s="146"/>
      <c r="Q164" s="146"/>
      <c r="R164" s="146"/>
      <c r="S164" s="146"/>
      <c r="T164" s="146"/>
      <c r="U164" s="146"/>
      <c r="V164" s="146"/>
      <c r="W164" s="146"/>
      <c r="X164" s="146"/>
      <c r="Y164" s="146"/>
      <c r="Z164" s="92"/>
      <c r="AA164" s="206"/>
      <c r="AB164" s="92"/>
      <c r="AC164" s="92"/>
    </row>
    <row r="165" spans="2:29" ht="17.100000000000001" customHeight="1">
      <c r="B165" s="31"/>
      <c r="C165" s="206"/>
      <c r="D165" s="146"/>
      <c r="E165" s="146"/>
      <c r="F165" s="146"/>
      <c r="G165" s="146"/>
      <c r="H165" s="146"/>
      <c r="I165" s="146"/>
      <c r="J165" s="146"/>
      <c r="K165" s="146"/>
      <c r="L165" s="146"/>
      <c r="M165" s="146"/>
      <c r="N165" s="92"/>
      <c r="O165" s="206"/>
      <c r="P165" s="146"/>
      <c r="Q165" s="146"/>
      <c r="R165" s="146"/>
      <c r="S165" s="146"/>
      <c r="T165" s="146"/>
      <c r="U165" s="146"/>
      <c r="V165" s="146"/>
      <c r="W165" s="146"/>
      <c r="X165" s="146"/>
      <c r="Y165" s="146"/>
      <c r="Z165" s="92"/>
      <c r="AA165" s="206"/>
      <c r="AB165" s="92"/>
      <c r="AC165" s="92"/>
    </row>
    <row r="166" spans="2:29" ht="17.100000000000001" customHeight="1">
      <c r="B166" s="31"/>
      <c r="C166" s="206"/>
      <c r="D166" s="146"/>
      <c r="E166" s="146"/>
      <c r="F166" s="146"/>
      <c r="G166" s="146"/>
      <c r="H166" s="146"/>
      <c r="I166" s="146"/>
      <c r="J166" s="146"/>
      <c r="K166" s="146"/>
      <c r="L166" s="146"/>
      <c r="M166" s="146"/>
      <c r="N166" s="92"/>
      <c r="O166" s="206"/>
      <c r="P166" s="146"/>
      <c r="Q166" s="146"/>
      <c r="R166" s="146"/>
      <c r="S166" s="146"/>
      <c r="T166" s="146"/>
      <c r="U166" s="146"/>
      <c r="V166" s="146"/>
      <c r="W166" s="146"/>
      <c r="X166" s="146"/>
      <c r="Y166" s="146"/>
      <c r="Z166" s="92"/>
      <c r="AA166" s="206"/>
      <c r="AB166" s="92"/>
      <c r="AC166" s="92"/>
    </row>
    <row r="167" spans="2:29" ht="17.100000000000001" customHeight="1">
      <c r="B167" s="31"/>
      <c r="C167" s="206"/>
      <c r="D167" s="146"/>
      <c r="E167" s="146"/>
      <c r="F167" s="146"/>
      <c r="G167" s="146"/>
      <c r="H167" s="146"/>
      <c r="I167" s="146"/>
      <c r="J167" s="146"/>
      <c r="K167" s="146"/>
      <c r="L167" s="146"/>
      <c r="M167" s="146"/>
      <c r="N167" s="92"/>
      <c r="O167" s="206"/>
      <c r="P167" s="146"/>
      <c r="Q167" s="146"/>
      <c r="R167" s="146"/>
      <c r="S167" s="146"/>
      <c r="T167" s="146"/>
      <c r="U167" s="146"/>
      <c r="V167" s="146"/>
      <c r="W167" s="146"/>
      <c r="X167" s="146"/>
      <c r="Y167" s="146"/>
      <c r="Z167" s="92"/>
      <c r="AA167" s="206"/>
      <c r="AB167" s="92"/>
      <c r="AC167" s="92"/>
    </row>
    <row r="168" spans="2:29" ht="17.100000000000001" customHeight="1">
      <c r="B168" s="31"/>
      <c r="C168" s="206"/>
      <c r="D168" s="146"/>
      <c r="E168" s="146"/>
      <c r="F168" s="146"/>
      <c r="G168" s="146"/>
      <c r="H168" s="146"/>
      <c r="I168" s="146"/>
      <c r="J168" s="146"/>
      <c r="K168" s="146"/>
      <c r="L168" s="146"/>
      <c r="M168" s="146"/>
      <c r="N168" s="92"/>
      <c r="O168" s="206"/>
      <c r="P168" s="146"/>
      <c r="Q168" s="146"/>
      <c r="R168" s="146"/>
      <c r="S168" s="146"/>
      <c r="T168" s="146"/>
      <c r="U168" s="146"/>
      <c r="V168" s="146"/>
      <c r="W168" s="146"/>
      <c r="X168" s="146"/>
      <c r="Y168" s="146"/>
      <c r="Z168" s="92"/>
      <c r="AA168" s="206"/>
      <c r="AB168" s="92"/>
      <c r="AC168" s="92"/>
    </row>
    <row r="169" spans="2:29" ht="17.100000000000001" customHeight="1">
      <c r="B169" s="31"/>
      <c r="C169" s="206"/>
      <c r="D169" s="146"/>
      <c r="E169" s="146"/>
      <c r="F169" s="146"/>
      <c r="G169" s="146"/>
      <c r="H169" s="146"/>
      <c r="I169" s="146"/>
      <c r="J169" s="146"/>
      <c r="K169" s="146"/>
      <c r="L169" s="146"/>
      <c r="M169" s="146"/>
      <c r="N169" s="92"/>
      <c r="O169" s="206"/>
      <c r="P169" s="146"/>
      <c r="Q169" s="146"/>
      <c r="R169" s="146"/>
      <c r="S169" s="146"/>
      <c r="T169" s="146"/>
      <c r="U169" s="146"/>
      <c r="V169" s="146"/>
      <c r="W169" s="146"/>
      <c r="X169" s="146"/>
      <c r="Y169" s="146"/>
      <c r="Z169" s="92"/>
      <c r="AA169" s="206"/>
      <c r="AB169" s="92"/>
      <c r="AC169" s="92"/>
    </row>
    <row r="170" spans="2:29" ht="17.100000000000001" customHeight="1">
      <c r="B170" s="31"/>
      <c r="C170" s="206"/>
      <c r="D170" s="146"/>
      <c r="E170" s="146"/>
      <c r="F170" s="146"/>
      <c r="G170" s="146"/>
      <c r="H170" s="146"/>
      <c r="I170" s="146"/>
      <c r="J170" s="146"/>
      <c r="K170" s="146"/>
      <c r="L170" s="146"/>
      <c r="M170" s="146"/>
      <c r="N170" s="92"/>
      <c r="O170" s="206"/>
      <c r="P170" s="146"/>
      <c r="Q170" s="146"/>
      <c r="R170" s="146"/>
      <c r="S170" s="146"/>
      <c r="T170" s="146"/>
      <c r="U170" s="146"/>
      <c r="V170" s="146"/>
      <c r="W170" s="146"/>
      <c r="X170" s="146"/>
      <c r="Y170" s="146"/>
      <c r="Z170" s="92"/>
      <c r="AA170" s="206"/>
      <c r="AB170" s="92"/>
      <c r="AC170" s="92"/>
    </row>
    <row r="171" spans="2:29" ht="17.100000000000001" customHeight="1">
      <c r="B171" s="31"/>
      <c r="C171" s="206"/>
      <c r="D171" s="146"/>
      <c r="E171" s="146"/>
      <c r="F171" s="146"/>
      <c r="G171" s="146"/>
      <c r="H171" s="146"/>
      <c r="I171" s="146"/>
      <c r="J171" s="146"/>
      <c r="K171" s="146"/>
      <c r="L171" s="146"/>
      <c r="M171" s="146"/>
      <c r="N171" s="92"/>
      <c r="O171" s="206"/>
      <c r="P171" s="146"/>
      <c r="Q171" s="146"/>
      <c r="R171" s="146"/>
      <c r="S171" s="146"/>
      <c r="T171" s="146"/>
      <c r="U171" s="146"/>
      <c r="V171" s="146"/>
      <c r="W171" s="146"/>
      <c r="X171" s="146"/>
      <c r="Y171" s="146"/>
      <c r="Z171" s="92"/>
      <c r="AA171" s="206"/>
      <c r="AB171" s="92"/>
      <c r="AC171" s="92"/>
    </row>
    <row r="172" spans="2:29" ht="17.100000000000001" customHeight="1">
      <c r="B172" s="31"/>
      <c r="C172" s="206"/>
      <c r="D172" s="146"/>
      <c r="E172" s="146"/>
      <c r="F172" s="146"/>
      <c r="G172" s="146"/>
      <c r="H172" s="146"/>
      <c r="I172" s="146"/>
      <c r="J172" s="146"/>
      <c r="K172" s="146"/>
      <c r="L172" s="146"/>
      <c r="M172" s="146"/>
      <c r="N172" s="92"/>
      <c r="O172" s="206"/>
      <c r="P172" s="146"/>
      <c r="Q172" s="146"/>
      <c r="R172" s="146"/>
      <c r="S172" s="146"/>
      <c r="T172" s="146"/>
      <c r="U172" s="146"/>
      <c r="V172" s="146"/>
      <c r="W172" s="146"/>
      <c r="X172" s="146"/>
      <c r="Y172" s="146"/>
      <c r="Z172" s="92"/>
      <c r="AA172" s="206"/>
      <c r="AB172" s="92"/>
      <c r="AC172" s="92"/>
    </row>
    <row r="173" spans="2:29" ht="17.100000000000001" customHeight="1">
      <c r="B173" s="31"/>
      <c r="C173" s="206"/>
      <c r="D173" s="146"/>
      <c r="E173" s="146"/>
      <c r="F173" s="146"/>
      <c r="G173" s="146"/>
      <c r="H173" s="146"/>
      <c r="I173" s="146"/>
      <c r="J173" s="146"/>
      <c r="K173" s="146"/>
      <c r="L173" s="146"/>
      <c r="M173" s="146"/>
      <c r="N173" s="92"/>
      <c r="O173" s="206"/>
      <c r="P173" s="146"/>
      <c r="Q173" s="146"/>
      <c r="R173" s="146"/>
      <c r="S173" s="146"/>
      <c r="T173" s="146"/>
      <c r="U173" s="146"/>
      <c r="V173" s="146"/>
      <c r="W173" s="146"/>
      <c r="X173" s="146"/>
      <c r="Y173" s="146"/>
      <c r="Z173" s="92"/>
      <c r="AA173" s="206"/>
      <c r="AB173" s="92"/>
      <c r="AC173" s="92"/>
    </row>
    <row r="174" spans="2:29" ht="17.100000000000001" customHeight="1">
      <c r="B174" s="31"/>
      <c r="C174" s="206"/>
      <c r="D174" s="146"/>
      <c r="E174" s="146"/>
      <c r="F174" s="146"/>
      <c r="G174" s="146"/>
      <c r="H174" s="146"/>
      <c r="I174" s="146"/>
      <c r="J174" s="146"/>
      <c r="K174" s="146"/>
      <c r="L174" s="146"/>
      <c r="M174" s="146"/>
      <c r="N174" s="92"/>
      <c r="O174" s="206"/>
      <c r="P174" s="146"/>
      <c r="Q174" s="146"/>
      <c r="R174" s="146"/>
      <c r="S174" s="146"/>
      <c r="T174" s="146"/>
      <c r="U174" s="146"/>
      <c r="V174" s="146"/>
      <c r="W174" s="146"/>
      <c r="X174" s="146"/>
      <c r="Y174" s="146"/>
      <c r="Z174" s="92"/>
      <c r="AA174" s="206"/>
      <c r="AB174" s="92"/>
      <c r="AC174" s="92"/>
    </row>
    <row r="175" spans="2:29" ht="17.100000000000001" customHeight="1">
      <c r="B175" s="31"/>
      <c r="C175" s="206"/>
      <c r="D175" s="146"/>
      <c r="E175" s="146"/>
      <c r="F175" s="146"/>
      <c r="G175" s="146"/>
      <c r="H175" s="146"/>
      <c r="I175" s="146"/>
      <c r="J175" s="146"/>
      <c r="K175" s="146"/>
      <c r="L175" s="146"/>
      <c r="M175" s="146"/>
      <c r="N175" s="92"/>
      <c r="O175" s="206"/>
      <c r="P175" s="146"/>
      <c r="Q175" s="146"/>
      <c r="R175" s="146"/>
      <c r="S175" s="146"/>
      <c r="T175" s="146"/>
      <c r="U175" s="146"/>
      <c r="V175" s="146"/>
      <c r="W175" s="146"/>
      <c r="X175" s="146"/>
      <c r="Y175" s="146"/>
      <c r="Z175" s="92"/>
      <c r="AA175" s="206"/>
      <c r="AB175" s="92"/>
      <c r="AC175" s="92"/>
    </row>
    <row r="176" spans="2:29" ht="17.100000000000001" customHeight="1">
      <c r="B176" s="31"/>
      <c r="C176" s="206"/>
      <c r="D176" s="146"/>
      <c r="E176" s="146"/>
      <c r="F176" s="146"/>
      <c r="G176" s="146"/>
      <c r="H176" s="146"/>
      <c r="I176" s="146"/>
      <c r="J176" s="146"/>
      <c r="K176" s="146"/>
      <c r="L176" s="146"/>
      <c r="M176" s="146"/>
      <c r="N176" s="92"/>
      <c r="O176" s="206"/>
      <c r="P176" s="146"/>
      <c r="Q176" s="146"/>
      <c r="R176" s="146"/>
      <c r="S176" s="146"/>
      <c r="T176" s="146"/>
      <c r="U176" s="146"/>
      <c r="V176" s="146"/>
      <c r="W176" s="146"/>
      <c r="X176" s="146"/>
      <c r="Y176" s="146"/>
      <c r="Z176" s="92"/>
      <c r="AA176" s="206"/>
      <c r="AB176" s="92"/>
      <c r="AC176" s="92"/>
    </row>
    <row r="177" spans="2:92" ht="17.100000000000001" customHeight="1">
      <c r="B177" s="31"/>
      <c r="C177" s="206"/>
      <c r="D177" s="146"/>
      <c r="E177" s="146"/>
      <c r="F177" s="146"/>
      <c r="G177" s="146"/>
      <c r="H177" s="146"/>
      <c r="I177" s="146"/>
      <c r="J177" s="146"/>
      <c r="K177" s="146"/>
      <c r="L177" s="146"/>
      <c r="M177" s="146"/>
      <c r="N177" s="92"/>
      <c r="O177" s="206"/>
      <c r="P177" s="146"/>
      <c r="Q177" s="146"/>
      <c r="R177" s="146"/>
      <c r="S177" s="146"/>
      <c r="T177" s="146"/>
      <c r="U177" s="146"/>
      <c r="V177" s="146"/>
      <c r="W177" s="146"/>
      <c r="X177" s="146"/>
      <c r="Y177" s="146"/>
      <c r="Z177" s="92"/>
      <c r="AA177" s="206"/>
      <c r="AB177" s="92"/>
      <c r="AC177" s="92"/>
    </row>
    <row r="178" spans="2:92" ht="17.100000000000001" customHeight="1">
      <c r="B178" s="90"/>
      <c r="C178" s="91"/>
      <c r="D178" s="92"/>
      <c r="E178" s="92"/>
      <c r="F178" s="92"/>
      <c r="G178" s="92"/>
      <c r="H178" s="92"/>
      <c r="I178" s="92"/>
      <c r="J178" s="92"/>
      <c r="K178" s="92"/>
      <c r="L178" s="92"/>
      <c r="M178" s="92"/>
      <c r="N178" s="92"/>
      <c r="O178" s="91"/>
      <c r="P178" s="92"/>
      <c r="Q178" s="92"/>
      <c r="R178" s="92"/>
      <c r="S178" s="92"/>
      <c r="T178" s="92"/>
      <c r="U178" s="92"/>
      <c r="V178" s="92"/>
      <c r="W178" s="92"/>
      <c r="X178" s="92"/>
      <c r="Y178" s="92"/>
      <c r="Z178" s="92"/>
      <c r="AA178" s="91"/>
      <c r="AB178" s="92"/>
      <c r="AC178" s="92"/>
    </row>
    <row r="179" spans="2:92" ht="18.899999999999999" customHeight="1">
      <c r="C179" s="84"/>
      <c r="G179" s="84"/>
      <c r="H179" s="84"/>
      <c r="I179" s="84"/>
      <c r="J179" s="84"/>
      <c r="K179" s="84"/>
      <c r="L179" s="84"/>
      <c r="M179" s="84"/>
      <c r="N179" s="84"/>
      <c r="O179" s="84"/>
      <c r="S179" s="84"/>
      <c r="T179" s="84"/>
      <c r="U179" s="84"/>
      <c r="V179" s="84"/>
      <c r="W179" s="84"/>
      <c r="X179" s="84"/>
      <c r="Y179" s="84"/>
      <c r="Z179" s="84"/>
      <c r="AA179" s="84"/>
      <c r="AB179" s="84"/>
      <c r="AC179" s="93"/>
      <c r="BD179" s="93"/>
    </row>
    <row r="182" spans="2:92" ht="18.899999999999999" customHeight="1">
      <c r="B182" s="90"/>
      <c r="C182" s="91"/>
      <c r="D182" s="92"/>
      <c r="E182" s="92"/>
      <c r="F182" s="92"/>
      <c r="G182" s="92"/>
      <c r="H182" s="92"/>
      <c r="I182" s="92"/>
      <c r="J182" s="92"/>
      <c r="K182" s="92"/>
      <c r="L182" s="92"/>
      <c r="M182" s="92"/>
      <c r="N182" s="92"/>
      <c r="O182" s="91"/>
      <c r="P182" s="92"/>
      <c r="Q182" s="92"/>
      <c r="R182" s="92"/>
      <c r="S182" s="92"/>
      <c r="T182" s="92"/>
      <c r="U182" s="92"/>
      <c r="V182" s="92"/>
      <c r="W182" s="92"/>
      <c r="X182" s="92"/>
      <c r="Y182" s="92"/>
      <c r="Z182" s="92"/>
      <c r="AA182" s="91"/>
      <c r="AB182" s="93"/>
      <c r="AC182" s="93"/>
      <c r="AD182" s="90"/>
      <c r="AE182" s="91"/>
      <c r="AF182" s="92"/>
      <c r="AG182" s="92"/>
      <c r="AH182" s="92"/>
      <c r="AI182" s="92"/>
      <c r="AJ182" s="92"/>
      <c r="AK182" s="92"/>
      <c r="AL182" s="92"/>
      <c r="AM182" s="92"/>
      <c r="AN182" s="92"/>
      <c r="AO182" s="92"/>
      <c r="AP182" s="92"/>
      <c r="AQ182" s="91"/>
      <c r="AR182" s="92"/>
      <c r="AS182" s="92"/>
      <c r="AT182" s="92"/>
      <c r="AU182" s="92"/>
      <c r="AV182" s="92"/>
      <c r="AW182" s="92"/>
      <c r="AX182" s="92"/>
      <c r="AY182" s="92"/>
      <c r="AZ182" s="92"/>
      <c r="BA182" s="92"/>
      <c r="BB182" s="92"/>
      <c r="BC182" s="91"/>
      <c r="BD182" s="93"/>
    </row>
    <row r="183" spans="2:92" ht="24.9" customHeight="1">
      <c r="B183" s="563"/>
      <c r="C183" s="563"/>
      <c r="D183" s="563"/>
      <c r="E183" s="563"/>
      <c r="F183" s="563"/>
      <c r="G183" s="563"/>
      <c r="H183" s="563"/>
      <c r="I183" s="563"/>
      <c r="J183" s="563"/>
      <c r="K183" s="563"/>
      <c r="L183" s="563"/>
      <c r="M183" s="563"/>
      <c r="N183" s="563"/>
      <c r="O183" s="563"/>
      <c r="P183" s="563"/>
      <c r="Q183" s="563"/>
      <c r="R183" s="563"/>
      <c r="S183" s="563"/>
      <c r="T183" s="563"/>
      <c r="U183" s="563"/>
      <c r="V183" s="563"/>
      <c r="W183" s="563"/>
      <c r="X183" s="563"/>
      <c r="Y183" s="563"/>
      <c r="Z183" s="563"/>
      <c r="AA183" s="563"/>
      <c r="AB183" s="563"/>
      <c r="AC183" s="94"/>
      <c r="AD183" s="563"/>
      <c r="AE183" s="563"/>
      <c r="AF183" s="563"/>
      <c r="AG183" s="563"/>
      <c r="AH183" s="563"/>
      <c r="AI183" s="563"/>
      <c r="AJ183" s="563"/>
      <c r="AK183" s="563"/>
      <c r="AL183" s="563"/>
      <c r="AM183" s="563"/>
      <c r="AN183" s="563"/>
      <c r="AO183" s="563"/>
      <c r="AP183" s="563"/>
      <c r="AQ183" s="563"/>
      <c r="AR183" s="563"/>
      <c r="AS183" s="563"/>
      <c r="AT183" s="563"/>
      <c r="AU183" s="563"/>
      <c r="AV183" s="563"/>
      <c r="AW183" s="563"/>
      <c r="AX183" s="563"/>
      <c r="AY183" s="563"/>
      <c r="AZ183" s="563"/>
      <c r="BA183" s="563"/>
      <c r="BB183" s="563"/>
      <c r="BC183" s="563"/>
      <c r="BD183" s="563"/>
    </row>
    <row r="184" spans="2:92" ht="18" customHeight="1">
      <c r="B184" s="101"/>
      <c r="C184" s="101"/>
      <c r="D184" s="102"/>
      <c r="E184" s="102"/>
      <c r="F184" s="102"/>
      <c r="G184" s="102"/>
      <c r="H184" s="102"/>
      <c r="I184" s="102"/>
      <c r="J184" s="102"/>
      <c r="K184" s="102"/>
      <c r="L184" s="102"/>
      <c r="M184" s="102"/>
      <c r="N184" s="103"/>
      <c r="P184" s="102"/>
      <c r="Q184" s="102"/>
      <c r="R184" s="102"/>
      <c r="S184" s="102"/>
      <c r="T184" s="102"/>
      <c r="U184" s="102"/>
      <c r="V184" s="102"/>
      <c r="W184" s="102"/>
      <c r="X184" s="102"/>
      <c r="Y184" s="102"/>
      <c r="Z184" s="103"/>
      <c r="AB184" s="103"/>
      <c r="AC184" s="103"/>
      <c r="AD184" s="563"/>
      <c r="AE184" s="563"/>
      <c r="AF184" s="563"/>
      <c r="AG184" s="563"/>
      <c r="AH184" s="563"/>
      <c r="AI184" s="563"/>
      <c r="AJ184" s="563"/>
      <c r="AK184" s="563"/>
      <c r="AL184" s="563"/>
      <c r="AM184" s="563"/>
      <c r="AN184" s="563"/>
      <c r="AO184" s="563"/>
      <c r="AP184" s="563"/>
      <c r="AQ184" s="563"/>
      <c r="AR184" s="563"/>
      <c r="AS184" s="563"/>
      <c r="AT184" s="563"/>
      <c r="AU184" s="563"/>
      <c r="AV184" s="563"/>
      <c r="AW184" s="563"/>
      <c r="AX184" s="563"/>
      <c r="AY184" s="563"/>
      <c r="AZ184" s="563"/>
      <c r="BA184" s="563"/>
      <c r="BB184" s="563"/>
      <c r="BC184" s="563"/>
      <c r="BD184" s="563"/>
    </row>
    <row r="185" spans="2:92" s="107" customFormat="1" ht="9.9" customHeight="1">
      <c r="C185" s="108"/>
      <c r="D185" s="109"/>
      <c r="G185" s="108"/>
      <c r="H185" s="108"/>
      <c r="I185" s="108"/>
      <c r="J185" s="108"/>
      <c r="K185" s="108"/>
      <c r="L185" s="108"/>
      <c r="M185" s="108"/>
      <c r="N185" s="108"/>
      <c r="O185" s="108"/>
      <c r="S185" s="108"/>
      <c r="T185" s="108"/>
      <c r="U185" s="108"/>
      <c r="V185" s="108"/>
      <c r="W185" s="108"/>
      <c r="X185" s="108"/>
      <c r="Y185" s="108"/>
      <c r="Z185" s="108"/>
      <c r="AA185" s="108"/>
      <c r="AB185" s="108"/>
      <c r="AC185" s="108"/>
      <c r="AE185" s="108"/>
      <c r="AF185" s="109"/>
      <c r="AI185" s="108"/>
      <c r="AJ185" s="108"/>
      <c r="AK185" s="108"/>
      <c r="AL185" s="108"/>
      <c r="AM185" s="108"/>
      <c r="AN185" s="108"/>
      <c r="AO185" s="108"/>
      <c r="AP185" s="108"/>
      <c r="AQ185" s="108"/>
      <c r="AU185" s="108"/>
      <c r="AV185" s="108"/>
      <c r="AW185" s="108"/>
      <c r="AX185" s="108"/>
      <c r="AY185" s="108"/>
      <c r="AZ185" s="108"/>
      <c r="BA185" s="108"/>
      <c r="BB185" s="108"/>
      <c r="BC185" s="108"/>
      <c r="BD185" s="108"/>
      <c r="BG185" s="111"/>
      <c r="BH185" s="111"/>
      <c r="BI185" s="111"/>
      <c r="CH185" s="108"/>
      <c r="CI185" s="108"/>
      <c r="CJ185" s="108"/>
      <c r="CK185" s="108"/>
      <c r="CL185" s="108"/>
      <c r="CM185" s="108"/>
      <c r="CN185" s="108"/>
    </row>
    <row r="186" spans="2:92" ht="18" customHeight="1">
      <c r="B186" s="114"/>
      <c r="C186" s="114"/>
      <c r="D186" s="102"/>
      <c r="E186" s="102"/>
      <c r="F186" s="102"/>
      <c r="G186" s="102"/>
      <c r="H186" s="102"/>
      <c r="I186" s="102"/>
      <c r="J186" s="102"/>
      <c r="K186" s="102"/>
      <c r="L186" s="102"/>
      <c r="M186" s="102"/>
      <c r="N186" s="103"/>
      <c r="P186" s="102"/>
      <c r="Q186" s="102"/>
      <c r="R186" s="102"/>
      <c r="S186" s="102"/>
      <c r="T186" s="102"/>
      <c r="U186" s="102"/>
      <c r="V186" s="102"/>
      <c r="W186" s="102"/>
      <c r="X186" s="102"/>
      <c r="Y186" s="102"/>
      <c r="Z186" s="103"/>
      <c r="AB186" s="103"/>
      <c r="AC186" s="103"/>
      <c r="AD186" s="562"/>
      <c r="AE186" s="85"/>
      <c r="AF186" s="564"/>
      <c r="AG186" s="564"/>
      <c r="AH186" s="564"/>
      <c r="AI186" s="564"/>
      <c r="AJ186" s="564"/>
      <c r="AK186" s="564"/>
      <c r="AL186" s="564"/>
      <c r="AM186" s="564"/>
      <c r="AN186" s="564"/>
      <c r="AO186" s="564"/>
      <c r="AP186" s="564"/>
      <c r="AQ186" s="85"/>
      <c r="AR186" s="564"/>
      <c r="AS186" s="564"/>
      <c r="AT186" s="564"/>
      <c r="AU186" s="564"/>
      <c r="AV186" s="564"/>
      <c r="AW186" s="564"/>
      <c r="AX186" s="564"/>
      <c r="AY186" s="564"/>
      <c r="AZ186" s="564"/>
      <c r="BA186" s="564"/>
      <c r="BB186" s="564"/>
      <c r="BC186" s="85"/>
      <c r="BD186" s="565"/>
    </row>
    <row r="187" spans="2:92" ht="50.1" customHeight="1">
      <c r="B187" s="562"/>
      <c r="C187" s="562"/>
      <c r="D187" s="123"/>
      <c r="E187" s="564"/>
      <c r="F187" s="564"/>
      <c r="G187" s="564"/>
      <c r="H187" s="564"/>
      <c r="I187" s="564"/>
      <c r="J187" s="564"/>
      <c r="K187" s="101"/>
      <c r="L187" s="101"/>
      <c r="M187" s="101"/>
      <c r="N187" s="564"/>
      <c r="O187" s="564"/>
      <c r="P187" s="564"/>
      <c r="Q187" s="564"/>
      <c r="R187" s="564"/>
      <c r="S187" s="564"/>
      <c r="T187" s="101"/>
      <c r="U187" s="101"/>
      <c r="V187" s="101"/>
      <c r="W187" s="564"/>
      <c r="X187" s="564"/>
      <c r="Y187" s="564"/>
      <c r="Z187" s="564"/>
      <c r="AA187" s="564"/>
      <c r="AB187" s="564"/>
      <c r="AC187" s="207"/>
      <c r="AD187" s="562"/>
      <c r="AE187" s="85"/>
      <c r="AF187" s="566"/>
      <c r="AG187" s="566"/>
      <c r="AH187" s="566"/>
      <c r="AI187" s="566"/>
      <c r="AJ187" s="566"/>
      <c r="AK187" s="566"/>
      <c r="AL187" s="566"/>
      <c r="AM187" s="566"/>
      <c r="AN187" s="566"/>
      <c r="AO187" s="566"/>
      <c r="AP187" s="565"/>
      <c r="AQ187" s="85"/>
      <c r="AR187" s="566"/>
      <c r="AS187" s="566"/>
      <c r="AT187" s="566"/>
      <c r="AU187" s="566"/>
      <c r="AV187" s="566"/>
      <c r="AW187" s="566"/>
      <c r="AX187" s="566"/>
      <c r="AY187" s="566"/>
      <c r="AZ187" s="566"/>
      <c r="BA187" s="566"/>
      <c r="BB187" s="565"/>
      <c r="BC187" s="85"/>
      <c r="BD187" s="565"/>
    </row>
    <row r="188" spans="2:92" ht="18" customHeight="1">
      <c r="B188" s="562"/>
      <c r="C188" s="562"/>
      <c r="D188" s="123"/>
      <c r="E188" s="624"/>
      <c r="F188" s="624"/>
      <c r="G188" s="624"/>
      <c r="H188" s="624"/>
      <c r="I188" s="624"/>
      <c r="J188" s="624"/>
      <c r="K188" s="101"/>
      <c r="L188" s="101"/>
      <c r="M188" s="101"/>
      <c r="N188" s="624"/>
      <c r="O188" s="624"/>
      <c r="P188" s="624"/>
      <c r="Q188" s="624"/>
      <c r="R188" s="624"/>
      <c r="S188" s="624"/>
      <c r="T188" s="101"/>
      <c r="U188" s="101"/>
      <c r="V188" s="101"/>
      <c r="W188" s="624"/>
      <c r="X188" s="624"/>
      <c r="Y188" s="624"/>
      <c r="Z188" s="624"/>
      <c r="AA188" s="624"/>
      <c r="AB188" s="624"/>
      <c r="AC188" s="208"/>
      <c r="AD188" s="562"/>
      <c r="AE188" s="204"/>
      <c r="AF188" s="128"/>
      <c r="AG188" s="128"/>
      <c r="AH188" s="128"/>
      <c r="AI188" s="128"/>
      <c r="AJ188" s="128"/>
      <c r="AK188" s="128"/>
      <c r="AL188" s="128"/>
      <c r="AM188" s="128"/>
      <c r="AN188" s="128"/>
      <c r="AO188" s="128"/>
      <c r="AP188" s="565"/>
      <c r="AQ188" s="204"/>
      <c r="AR188" s="128"/>
      <c r="AS188" s="128"/>
      <c r="AT188" s="128"/>
      <c r="AU188" s="128"/>
      <c r="AV188" s="128"/>
      <c r="AW188" s="128"/>
      <c r="AX188" s="128"/>
      <c r="AY188" s="128"/>
      <c r="AZ188" s="128"/>
      <c r="BA188" s="128"/>
      <c r="BB188" s="565"/>
      <c r="BC188" s="204"/>
      <c r="BD188" s="565"/>
    </row>
    <row r="189" spans="2:92" ht="60" customHeight="1">
      <c r="B189" s="562"/>
      <c r="C189" s="562"/>
      <c r="D189" s="129"/>
      <c r="E189" s="565"/>
      <c r="F189" s="565"/>
      <c r="G189" s="565"/>
      <c r="H189" s="565"/>
      <c r="I189" s="565"/>
      <c r="J189" s="565"/>
      <c r="K189" s="129"/>
      <c r="L189" s="129"/>
      <c r="M189" s="129"/>
      <c r="N189" s="565"/>
      <c r="O189" s="565"/>
      <c r="P189" s="565"/>
      <c r="Q189" s="565"/>
      <c r="R189" s="565"/>
      <c r="S189" s="565"/>
      <c r="T189" s="129"/>
      <c r="U189" s="129"/>
      <c r="V189" s="129"/>
      <c r="W189" s="565"/>
      <c r="X189" s="565"/>
      <c r="Y189" s="565"/>
      <c r="Z189" s="565"/>
      <c r="AA189" s="565"/>
      <c r="AB189" s="565"/>
      <c r="AC189" s="201"/>
      <c r="AD189" s="562"/>
      <c r="AE189" s="204"/>
      <c r="AF189" s="129"/>
      <c r="AG189" s="129"/>
      <c r="AH189" s="129"/>
      <c r="AI189" s="129"/>
      <c r="AJ189" s="129"/>
      <c r="AK189" s="129"/>
      <c r="AL189" s="129"/>
      <c r="AM189" s="129"/>
      <c r="AN189" s="129"/>
      <c r="AO189" s="129"/>
      <c r="AP189" s="565"/>
      <c r="AQ189" s="204"/>
      <c r="AR189" s="129"/>
      <c r="AS189" s="129"/>
      <c r="AT189" s="129"/>
      <c r="AU189" s="129"/>
      <c r="AV189" s="129"/>
      <c r="AW189" s="129"/>
      <c r="AX189" s="129"/>
      <c r="AY189" s="129"/>
      <c r="AZ189" s="129"/>
      <c r="BA189" s="129"/>
      <c r="BB189" s="565"/>
      <c r="BC189" s="204"/>
      <c r="BD189" s="565"/>
    </row>
    <row r="190" spans="2:92" ht="3.9" customHeight="1">
      <c r="B190" s="562"/>
      <c r="C190" s="562"/>
      <c r="D190" s="132"/>
      <c r="E190" s="604"/>
      <c r="F190" s="604"/>
      <c r="G190" s="604"/>
      <c r="H190" s="604"/>
      <c r="I190" s="604"/>
      <c r="J190" s="604"/>
      <c r="K190" s="132"/>
      <c r="L190" s="132"/>
      <c r="M190" s="132"/>
      <c r="N190" s="604"/>
      <c r="O190" s="604"/>
      <c r="P190" s="604"/>
      <c r="Q190" s="604"/>
      <c r="R190" s="604"/>
      <c r="S190" s="604"/>
      <c r="T190" s="129"/>
      <c r="U190" s="129"/>
      <c r="V190" s="129"/>
      <c r="W190" s="604"/>
      <c r="X190" s="604"/>
      <c r="Y190" s="604"/>
      <c r="Z190" s="604"/>
      <c r="AA190" s="604"/>
      <c r="AB190" s="604"/>
      <c r="AC190" s="129"/>
      <c r="AD190" s="205"/>
      <c r="AE190" s="204"/>
      <c r="AF190" s="132"/>
      <c r="AG190" s="132"/>
      <c r="AH190" s="132"/>
      <c r="AI190" s="132"/>
      <c r="AJ190" s="132"/>
      <c r="AK190" s="132"/>
      <c r="AL190" s="132"/>
      <c r="AM190" s="132"/>
      <c r="AN190" s="132"/>
      <c r="AO190" s="132"/>
      <c r="AP190" s="201"/>
      <c r="AQ190" s="204"/>
      <c r="AR190" s="129"/>
      <c r="AS190" s="129"/>
      <c r="AT190" s="129"/>
      <c r="AU190" s="129"/>
      <c r="AV190" s="129"/>
      <c r="AW190" s="129"/>
      <c r="AX190" s="129"/>
      <c r="AY190" s="129"/>
      <c r="AZ190" s="129"/>
      <c r="BA190" s="129"/>
      <c r="BB190" s="201"/>
      <c r="BC190" s="204"/>
      <c r="BD190" s="201"/>
    </row>
    <row r="191" spans="2:92" ht="17.100000000000001" customHeight="1">
      <c r="B191" s="625"/>
      <c r="C191" s="625"/>
      <c r="D191" s="146"/>
      <c r="E191" s="606"/>
      <c r="F191" s="606"/>
      <c r="G191" s="606"/>
      <c r="H191" s="606"/>
      <c r="I191" s="606"/>
      <c r="J191" s="606"/>
      <c r="K191" s="146"/>
      <c r="L191" s="146"/>
      <c r="M191" s="146"/>
      <c r="N191" s="606"/>
      <c r="O191" s="606"/>
      <c r="P191" s="606"/>
      <c r="Q191" s="606"/>
      <c r="R191" s="606"/>
      <c r="S191" s="606"/>
      <c r="T191" s="146"/>
      <c r="U191" s="146"/>
      <c r="V191" s="146"/>
      <c r="W191" s="606"/>
      <c r="X191" s="606"/>
      <c r="Y191" s="606"/>
      <c r="Z191" s="606"/>
      <c r="AA191" s="606"/>
      <c r="AB191" s="606"/>
      <c r="AC191" s="209"/>
      <c r="AD191" s="31"/>
      <c r="AE191" s="206"/>
      <c r="AF191" s="146"/>
      <c r="AG191" s="146"/>
      <c r="AH191" s="146"/>
      <c r="AI191" s="146"/>
      <c r="AJ191" s="146"/>
      <c r="AK191" s="146"/>
      <c r="AL191" s="146"/>
      <c r="AM191" s="146"/>
      <c r="AN191" s="146"/>
      <c r="AO191" s="146"/>
      <c r="AP191" s="92"/>
      <c r="AQ191" s="206"/>
      <c r="AR191" s="146"/>
      <c r="AS191" s="146"/>
      <c r="AT191" s="146"/>
      <c r="AU191" s="146"/>
      <c r="AV191" s="146"/>
      <c r="AW191" s="146"/>
      <c r="AX191" s="146"/>
      <c r="AY191" s="146"/>
      <c r="AZ191" s="146"/>
      <c r="BA191" s="146"/>
      <c r="BB191" s="92"/>
      <c r="BC191" s="206"/>
      <c r="BD191" s="92"/>
    </row>
    <row r="192" spans="2:92" ht="17.100000000000001" customHeight="1">
      <c r="B192" s="625"/>
      <c r="C192" s="625"/>
      <c r="D192" s="146"/>
      <c r="E192" s="606"/>
      <c r="F192" s="606"/>
      <c r="G192" s="606"/>
      <c r="H192" s="606"/>
      <c r="I192" s="606"/>
      <c r="J192" s="606"/>
      <c r="K192" s="146"/>
      <c r="L192" s="146"/>
      <c r="M192" s="146"/>
      <c r="N192" s="606"/>
      <c r="O192" s="606"/>
      <c r="P192" s="606"/>
      <c r="Q192" s="606"/>
      <c r="R192" s="606"/>
      <c r="S192" s="606"/>
      <c r="T192" s="146"/>
      <c r="U192" s="146"/>
      <c r="V192" s="146"/>
      <c r="W192" s="606"/>
      <c r="X192" s="606"/>
      <c r="Y192" s="606"/>
      <c r="Z192" s="606"/>
      <c r="AA192" s="606"/>
      <c r="AB192" s="606"/>
      <c r="AC192" s="209"/>
      <c r="AD192" s="31"/>
      <c r="AE192" s="206"/>
      <c r="AF192" s="146"/>
      <c r="AG192" s="146"/>
      <c r="AH192" s="146"/>
      <c r="AI192" s="146"/>
      <c r="AJ192" s="146"/>
      <c r="AK192" s="146"/>
      <c r="AL192" s="146"/>
      <c r="AM192" s="146"/>
      <c r="AN192" s="146"/>
      <c r="AO192" s="146"/>
      <c r="AP192" s="92"/>
      <c r="AQ192" s="206"/>
      <c r="AR192" s="146"/>
      <c r="AS192" s="146"/>
      <c r="AT192" s="146"/>
      <c r="AU192" s="146"/>
      <c r="AV192" s="146"/>
      <c r="AW192" s="146"/>
      <c r="AX192" s="146"/>
      <c r="AY192" s="146"/>
      <c r="AZ192" s="146"/>
      <c r="BA192" s="146"/>
      <c r="BB192" s="92"/>
      <c r="BC192" s="206"/>
      <c r="BD192" s="92"/>
    </row>
    <row r="193" spans="2:56" ht="17.100000000000001" customHeight="1">
      <c r="B193" s="625"/>
      <c r="C193" s="625"/>
      <c r="D193" s="146"/>
      <c r="E193" s="606"/>
      <c r="F193" s="606"/>
      <c r="G193" s="606"/>
      <c r="H193" s="606"/>
      <c r="I193" s="606"/>
      <c r="J193" s="606"/>
      <c r="K193" s="146"/>
      <c r="L193" s="146"/>
      <c r="M193" s="146"/>
      <c r="N193" s="606"/>
      <c r="O193" s="606"/>
      <c r="P193" s="606"/>
      <c r="Q193" s="606"/>
      <c r="R193" s="606"/>
      <c r="S193" s="606"/>
      <c r="T193" s="146"/>
      <c r="U193" s="146"/>
      <c r="V193" s="146"/>
      <c r="W193" s="606"/>
      <c r="X193" s="606"/>
      <c r="Y193" s="606"/>
      <c r="Z193" s="606"/>
      <c r="AA193" s="606"/>
      <c r="AB193" s="606"/>
      <c r="AC193" s="209"/>
      <c r="AD193" s="31"/>
      <c r="AE193" s="206"/>
      <c r="AF193" s="146"/>
      <c r="AG193" s="146"/>
      <c r="AH193" s="146"/>
      <c r="AI193" s="146"/>
      <c r="AJ193" s="146"/>
      <c r="AK193" s="146"/>
      <c r="AL193" s="146"/>
      <c r="AM193" s="146"/>
      <c r="AN193" s="146"/>
      <c r="AO193" s="146"/>
      <c r="AP193" s="92"/>
      <c r="AQ193" s="206"/>
      <c r="AR193" s="146"/>
      <c r="AS193" s="146"/>
      <c r="AT193" s="146"/>
      <c r="AU193" s="146"/>
      <c r="AV193" s="146"/>
      <c r="AW193" s="146"/>
      <c r="AX193" s="146"/>
      <c r="AY193" s="146"/>
      <c r="AZ193" s="146"/>
      <c r="BA193" s="146"/>
      <c r="BB193" s="92"/>
      <c r="BC193" s="206"/>
      <c r="BD193" s="92"/>
    </row>
    <row r="194" spans="2:56" ht="17.100000000000001" customHeight="1">
      <c r="B194" s="625"/>
      <c r="C194" s="625"/>
      <c r="D194" s="146"/>
      <c r="E194" s="606"/>
      <c r="F194" s="606"/>
      <c r="G194" s="606"/>
      <c r="H194" s="606"/>
      <c r="I194" s="606"/>
      <c r="J194" s="606"/>
      <c r="K194" s="146"/>
      <c r="L194" s="146"/>
      <c r="M194" s="146"/>
      <c r="N194" s="606"/>
      <c r="O194" s="606"/>
      <c r="P194" s="606"/>
      <c r="Q194" s="606"/>
      <c r="R194" s="606"/>
      <c r="S194" s="606"/>
      <c r="T194" s="146"/>
      <c r="U194" s="146"/>
      <c r="V194" s="146"/>
      <c r="W194" s="606"/>
      <c r="X194" s="606"/>
      <c r="Y194" s="606"/>
      <c r="Z194" s="606"/>
      <c r="AA194" s="606"/>
      <c r="AB194" s="606"/>
      <c r="AC194" s="209"/>
      <c r="AD194" s="31"/>
      <c r="AE194" s="206"/>
      <c r="AF194" s="146"/>
      <c r="AG194" s="146"/>
      <c r="AH194" s="146"/>
      <c r="AI194" s="146"/>
      <c r="AJ194" s="146"/>
      <c r="AK194" s="146"/>
      <c r="AL194" s="146"/>
      <c r="AM194" s="146"/>
      <c r="AN194" s="146"/>
      <c r="AO194" s="146"/>
      <c r="AP194" s="92"/>
      <c r="AQ194" s="206"/>
      <c r="AR194" s="146"/>
      <c r="AS194" s="146"/>
      <c r="AT194" s="146"/>
      <c r="AU194" s="146"/>
      <c r="AV194" s="146"/>
      <c r="AW194" s="146"/>
      <c r="AX194" s="146"/>
      <c r="AY194" s="146"/>
      <c r="AZ194" s="146"/>
      <c r="BA194" s="146"/>
      <c r="BB194" s="92"/>
      <c r="BC194" s="206"/>
      <c r="BD194" s="92"/>
    </row>
    <row r="195" spans="2:56" ht="17.100000000000001" customHeight="1">
      <c r="B195" s="625"/>
      <c r="C195" s="625"/>
      <c r="D195" s="146"/>
      <c r="E195" s="606"/>
      <c r="F195" s="606"/>
      <c r="G195" s="606"/>
      <c r="H195" s="606"/>
      <c r="I195" s="606"/>
      <c r="J195" s="606"/>
      <c r="K195" s="146"/>
      <c r="L195" s="146"/>
      <c r="M195" s="146"/>
      <c r="N195" s="606"/>
      <c r="O195" s="606"/>
      <c r="P195" s="606"/>
      <c r="Q195" s="606"/>
      <c r="R195" s="606"/>
      <c r="S195" s="606"/>
      <c r="T195" s="146"/>
      <c r="U195" s="146"/>
      <c r="V195" s="146"/>
      <c r="W195" s="606"/>
      <c r="X195" s="606"/>
      <c r="Y195" s="606"/>
      <c r="Z195" s="606"/>
      <c r="AA195" s="606"/>
      <c r="AB195" s="606"/>
      <c r="AC195" s="209"/>
      <c r="AD195" s="31"/>
      <c r="AE195" s="206"/>
      <c r="AF195" s="146"/>
      <c r="AG195" s="146"/>
      <c r="AH195" s="146"/>
      <c r="AI195" s="146"/>
      <c r="AJ195" s="146"/>
      <c r="AK195" s="146"/>
      <c r="AL195" s="146"/>
      <c r="AM195" s="146"/>
      <c r="AN195" s="146"/>
      <c r="AO195" s="146"/>
      <c r="AP195" s="92"/>
      <c r="AQ195" s="206"/>
      <c r="AR195" s="146"/>
      <c r="AS195" s="146"/>
      <c r="AT195" s="146"/>
      <c r="AU195" s="146"/>
      <c r="AV195" s="146"/>
      <c r="AW195" s="146"/>
      <c r="AX195" s="146"/>
      <c r="AY195" s="146"/>
      <c r="AZ195" s="146"/>
      <c r="BA195" s="146"/>
      <c r="BB195" s="92"/>
      <c r="BC195" s="206"/>
      <c r="BD195" s="92"/>
    </row>
    <row r="196" spans="2:56" ht="17.100000000000001" customHeight="1">
      <c r="B196" s="625"/>
      <c r="C196" s="625"/>
      <c r="D196" s="146"/>
      <c r="E196" s="606"/>
      <c r="F196" s="606"/>
      <c r="G196" s="606"/>
      <c r="H196" s="606"/>
      <c r="I196" s="606"/>
      <c r="J196" s="606"/>
      <c r="K196" s="146"/>
      <c r="L196" s="146"/>
      <c r="M196" s="146"/>
      <c r="N196" s="606"/>
      <c r="O196" s="606"/>
      <c r="P196" s="606"/>
      <c r="Q196" s="606"/>
      <c r="R196" s="606"/>
      <c r="S196" s="606"/>
      <c r="T196" s="146"/>
      <c r="U196" s="146"/>
      <c r="V196" s="146"/>
      <c r="W196" s="606"/>
      <c r="X196" s="606"/>
      <c r="Y196" s="606"/>
      <c r="Z196" s="606"/>
      <c r="AA196" s="606"/>
      <c r="AB196" s="606"/>
      <c r="AC196" s="209"/>
      <c r="AD196" s="31"/>
      <c r="AE196" s="206"/>
      <c r="AF196" s="146"/>
      <c r="AG196" s="146"/>
      <c r="AH196" s="146"/>
      <c r="AI196" s="146"/>
      <c r="AJ196" s="146"/>
      <c r="AK196" s="146"/>
      <c r="AL196" s="146"/>
      <c r="AM196" s="146"/>
      <c r="AN196" s="146"/>
      <c r="AO196" s="146"/>
      <c r="AP196" s="92"/>
      <c r="AQ196" s="206"/>
      <c r="AR196" s="146"/>
      <c r="AS196" s="146"/>
      <c r="AT196" s="146"/>
      <c r="AU196" s="146"/>
      <c r="AV196" s="146"/>
      <c r="AW196" s="146"/>
      <c r="AX196" s="146"/>
      <c r="AY196" s="146"/>
      <c r="AZ196" s="146"/>
      <c r="BA196" s="146"/>
      <c r="BB196" s="92"/>
      <c r="BC196" s="206"/>
      <c r="BD196" s="92"/>
    </row>
    <row r="197" spans="2:56" ht="17.100000000000001" customHeight="1">
      <c r="B197" s="625"/>
      <c r="C197" s="625"/>
      <c r="D197" s="146"/>
      <c r="E197" s="606"/>
      <c r="F197" s="606"/>
      <c r="G197" s="606"/>
      <c r="H197" s="606"/>
      <c r="I197" s="606"/>
      <c r="J197" s="606"/>
      <c r="K197" s="146"/>
      <c r="L197" s="146"/>
      <c r="M197" s="146"/>
      <c r="N197" s="606"/>
      <c r="O197" s="606"/>
      <c r="P197" s="606"/>
      <c r="Q197" s="606"/>
      <c r="R197" s="606"/>
      <c r="S197" s="606"/>
      <c r="T197" s="146"/>
      <c r="U197" s="146"/>
      <c r="V197" s="146"/>
      <c r="W197" s="606"/>
      <c r="X197" s="606"/>
      <c r="Y197" s="606"/>
      <c r="Z197" s="606"/>
      <c r="AA197" s="606"/>
      <c r="AB197" s="606"/>
      <c r="AC197" s="209"/>
      <c r="AD197" s="31"/>
      <c r="AE197" s="206"/>
      <c r="AF197" s="146"/>
      <c r="AG197" s="146"/>
      <c r="AH197" s="146"/>
      <c r="AI197" s="146"/>
      <c r="AJ197" s="146"/>
      <c r="AK197" s="146"/>
      <c r="AL197" s="146"/>
      <c r="AM197" s="146"/>
      <c r="AN197" s="146"/>
      <c r="AO197" s="146"/>
      <c r="AP197" s="92"/>
      <c r="AQ197" s="206"/>
      <c r="AR197" s="146"/>
      <c r="AS197" s="146"/>
      <c r="AT197" s="146"/>
      <c r="AU197" s="146"/>
      <c r="AV197" s="146"/>
      <c r="AW197" s="146"/>
      <c r="AX197" s="146"/>
      <c r="AY197" s="146"/>
      <c r="AZ197" s="146"/>
      <c r="BA197" s="146"/>
      <c r="BB197" s="92"/>
      <c r="BC197" s="206"/>
      <c r="BD197" s="92"/>
    </row>
    <row r="198" spans="2:56" ht="17.100000000000001" customHeight="1">
      <c r="B198" s="625"/>
      <c r="C198" s="625"/>
      <c r="D198" s="146"/>
      <c r="E198" s="606"/>
      <c r="F198" s="606"/>
      <c r="G198" s="606"/>
      <c r="H198" s="606"/>
      <c r="I198" s="606"/>
      <c r="J198" s="606"/>
      <c r="K198" s="146"/>
      <c r="L198" s="146"/>
      <c r="M198" s="146"/>
      <c r="N198" s="606"/>
      <c r="O198" s="606"/>
      <c r="P198" s="606"/>
      <c r="Q198" s="606"/>
      <c r="R198" s="606"/>
      <c r="S198" s="606"/>
      <c r="T198" s="146"/>
      <c r="U198" s="146"/>
      <c r="V198" s="146"/>
      <c r="W198" s="606"/>
      <c r="X198" s="606"/>
      <c r="Y198" s="606"/>
      <c r="Z198" s="606"/>
      <c r="AA198" s="606"/>
      <c r="AB198" s="606"/>
      <c r="AC198" s="209"/>
      <c r="AD198" s="31"/>
      <c r="AE198" s="206"/>
      <c r="AF198" s="146"/>
      <c r="AG198" s="146"/>
      <c r="AH198" s="146"/>
      <c r="AI198" s="146"/>
      <c r="AJ198" s="146"/>
      <c r="AK198" s="146"/>
      <c r="AL198" s="146"/>
      <c r="AM198" s="146"/>
      <c r="AN198" s="146"/>
      <c r="AO198" s="146"/>
      <c r="AP198" s="92"/>
      <c r="AQ198" s="206"/>
      <c r="AR198" s="146"/>
      <c r="AS198" s="146"/>
      <c r="AT198" s="146"/>
      <c r="AU198" s="146"/>
      <c r="AV198" s="146"/>
      <c r="AW198" s="146"/>
      <c r="AX198" s="146"/>
      <c r="AY198" s="146"/>
      <c r="AZ198" s="146"/>
      <c r="BA198" s="146"/>
      <c r="BB198" s="92"/>
      <c r="BC198" s="206"/>
      <c r="BD198" s="92"/>
    </row>
    <row r="199" spans="2:56" ht="17.100000000000001" customHeight="1">
      <c r="B199" s="625"/>
      <c r="C199" s="625"/>
      <c r="D199" s="146"/>
      <c r="E199" s="606"/>
      <c r="F199" s="606"/>
      <c r="G199" s="606"/>
      <c r="H199" s="606"/>
      <c r="I199" s="606"/>
      <c r="J199" s="606"/>
      <c r="K199" s="146"/>
      <c r="L199" s="146"/>
      <c r="M199" s="146"/>
      <c r="N199" s="606"/>
      <c r="O199" s="606"/>
      <c r="P199" s="606"/>
      <c r="Q199" s="606"/>
      <c r="R199" s="606"/>
      <c r="S199" s="606"/>
      <c r="T199" s="146"/>
      <c r="U199" s="146"/>
      <c r="V199" s="146"/>
      <c r="W199" s="606"/>
      <c r="X199" s="606"/>
      <c r="Y199" s="606"/>
      <c r="Z199" s="606"/>
      <c r="AA199" s="606"/>
      <c r="AB199" s="606"/>
      <c r="AC199" s="209"/>
      <c r="AD199" s="31"/>
      <c r="AE199" s="206"/>
      <c r="AF199" s="146"/>
      <c r="AG199" s="146"/>
      <c r="AH199" s="146"/>
      <c r="AI199" s="146"/>
      <c r="AJ199" s="146"/>
      <c r="AK199" s="146"/>
      <c r="AL199" s="146"/>
      <c r="AM199" s="146"/>
      <c r="AN199" s="146"/>
      <c r="AO199" s="146"/>
      <c r="AP199" s="92"/>
      <c r="AQ199" s="206"/>
      <c r="AR199" s="146"/>
      <c r="AS199" s="146"/>
      <c r="AT199" s="146"/>
      <c r="AU199" s="146"/>
      <c r="AV199" s="146"/>
      <c r="AW199" s="146"/>
      <c r="AX199" s="146"/>
      <c r="AY199" s="146"/>
      <c r="AZ199" s="146"/>
      <c r="BA199" s="146"/>
      <c r="BB199" s="92"/>
      <c r="BC199" s="206"/>
      <c r="BD199" s="92"/>
    </row>
    <row r="200" spans="2:56" ht="17.100000000000001" customHeight="1">
      <c r="B200" s="625"/>
      <c r="C200" s="625"/>
      <c r="D200" s="146"/>
      <c r="E200" s="606"/>
      <c r="F200" s="606"/>
      <c r="G200" s="606"/>
      <c r="H200" s="606"/>
      <c r="I200" s="606"/>
      <c r="J200" s="606"/>
      <c r="K200" s="146"/>
      <c r="L200" s="146"/>
      <c r="M200" s="146"/>
      <c r="N200" s="606"/>
      <c r="O200" s="606"/>
      <c r="P200" s="606"/>
      <c r="Q200" s="606"/>
      <c r="R200" s="606"/>
      <c r="S200" s="606"/>
      <c r="T200" s="146"/>
      <c r="U200" s="146"/>
      <c r="V200" s="146"/>
      <c r="W200" s="606"/>
      <c r="X200" s="606"/>
      <c r="Y200" s="606"/>
      <c r="Z200" s="606"/>
      <c r="AA200" s="606"/>
      <c r="AB200" s="606"/>
      <c r="AC200" s="209"/>
      <c r="AD200" s="31"/>
      <c r="AE200" s="206"/>
      <c r="AF200" s="146"/>
      <c r="AG200" s="146"/>
      <c r="AH200" s="146"/>
      <c r="AI200" s="146"/>
      <c r="AJ200" s="146"/>
      <c r="AK200" s="146"/>
      <c r="AL200" s="146"/>
      <c r="AM200" s="146"/>
      <c r="AN200" s="146"/>
      <c r="AO200" s="146"/>
      <c r="AP200" s="92"/>
      <c r="AQ200" s="206"/>
      <c r="AR200" s="146"/>
      <c r="AS200" s="146"/>
      <c r="AT200" s="146"/>
      <c r="AU200" s="146"/>
      <c r="AV200" s="146"/>
      <c r="AW200" s="146"/>
      <c r="AX200" s="146"/>
      <c r="AY200" s="146"/>
      <c r="AZ200" s="146"/>
      <c r="BA200" s="146"/>
      <c r="BB200" s="92"/>
      <c r="BC200" s="206"/>
      <c r="BD200" s="92"/>
    </row>
    <row r="201" spans="2:56" ht="17.100000000000001" customHeight="1">
      <c r="B201" s="625"/>
      <c r="C201" s="625"/>
      <c r="D201" s="146"/>
      <c r="E201" s="606"/>
      <c r="F201" s="606"/>
      <c r="G201" s="606"/>
      <c r="H201" s="606"/>
      <c r="I201" s="606"/>
      <c r="J201" s="606"/>
      <c r="K201" s="146"/>
      <c r="L201" s="146"/>
      <c r="M201" s="146"/>
      <c r="N201" s="606"/>
      <c r="O201" s="606"/>
      <c r="P201" s="606"/>
      <c r="Q201" s="606"/>
      <c r="R201" s="606"/>
      <c r="S201" s="606"/>
      <c r="T201" s="146"/>
      <c r="U201" s="146"/>
      <c r="V201" s="146"/>
      <c r="W201" s="606"/>
      <c r="X201" s="606"/>
      <c r="Y201" s="606"/>
      <c r="Z201" s="606"/>
      <c r="AA201" s="606"/>
      <c r="AB201" s="606"/>
      <c r="AC201" s="209"/>
      <c r="AD201" s="31"/>
      <c r="AE201" s="206"/>
      <c r="AF201" s="146"/>
      <c r="AG201" s="146"/>
      <c r="AH201" s="146"/>
      <c r="AI201" s="146"/>
      <c r="AJ201" s="146"/>
      <c r="AK201" s="146"/>
      <c r="AL201" s="146"/>
      <c r="AM201" s="146"/>
      <c r="AN201" s="146"/>
      <c r="AO201" s="146"/>
      <c r="AP201" s="92"/>
      <c r="AQ201" s="206"/>
      <c r="AR201" s="146"/>
      <c r="AS201" s="146"/>
      <c r="AT201" s="146"/>
      <c r="AU201" s="146"/>
      <c r="AV201" s="146"/>
      <c r="AW201" s="146"/>
      <c r="AX201" s="146"/>
      <c r="AY201" s="146"/>
      <c r="AZ201" s="146"/>
      <c r="BA201" s="146"/>
      <c r="BB201" s="92"/>
      <c r="BC201" s="206"/>
      <c r="BD201" s="92"/>
    </row>
    <row r="202" spans="2:56" ht="17.100000000000001" customHeight="1">
      <c r="B202" s="625"/>
      <c r="C202" s="625"/>
      <c r="D202" s="146"/>
      <c r="E202" s="606"/>
      <c r="F202" s="606"/>
      <c r="G202" s="606"/>
      <c r="H202" s="606"/>
      <c r="I202" s="606"/>
      <c r="J202" s="606"/>
      <c r="K202" s="146"/>
      <c r="L202" s="146"/>
      <c r="M202" s="146"/>
      <c r="N202" s="606"/>
      <c r="O202" s="606"/>
      <c r="P202" s="606"/>
      <c r="Q202" s="606"/>
      <c r="R202" s="606"/>
      <c r="S202" s="606"/>
      <c r="T202" s="146"/>
      <c r="U202" s="146"/>
      <c r="V202" s="146"/>
      <c r="W202" s="606"/>
      <c r="X202" s="606"/>
      <c r="Y202" s="606"/>
      <c r="Z202" s="606"/>
      <c r="AA202" s="606"/>
      <c r="AB202" s="606"/>
      <c r="AC202" s="209"/>
      <c r="AD202" s="31"/>
      <c r="AE202" s="206"/>
      <c r="AF202" s="146"/>
      <c r="AG202" s="146"/>
      <c r="AH202" s="146"/>
      <c r="AI202" s="146"/>
      <c r="AJ202" s="146"/>
      <c r="AK202" s="146"/>
      <c r="AL202" s="146"/>
      <c r="AM202" s="146"/>
      <c r="AN202" s="146"/>
      <c r="AO202" s="146"/>
      <c r="AP202" s="92"/>
      <c r="AQ202" s="206"/>
      <c r="AR202" s="146"/>
      <c r="AS202" s="146"/>
      <c r="AT202" s="146"/>
      <c r="AU202" s="146"/>
      <c r="AV202" s="146"/>
      <c r="AW202" s="146"/>
      <c r="AX202" s="146"/>
      <c r="AY202" s="146"/>
      <c r="AZ202" s="146"/>
      <c r="BA202" s="146"/>
      <c r="BB202" s="92"/>
      <c r="BC202" s="206"/>
      <c r="BD202" s="92"/>
    </row>
    <row r="203" spans="2:56" ht="17.100000000000001" customHeight="1">
      <c r="B203" s="625"/>
      <c r="C203" s="625"/>
      <c r="D203" s="146"/>
      <c r="E203" s="606"/>
      <c r="F203" s="606"/>
      <c r="G203" s="606"/>
      <c r="H203" s="606"/>
      <c r="I203" s="606"/>
      <c r="J203" s="606"/>
      <c r="K203" s="146"/>
      <c r="L203" s="146"/>
      <c r="M203" s="146"/>
      <c r="N203" s="606"/>
      <c r="O203" s="606"/>
      <c r="P203" s="606"/>
      <c r="Q203" s="606"/>
      <c r="R203" s="606"/>
      <c r="S203" s="606"/>
      <c r="T203" s="146"/>
      <c r="U203" s="146"/>
      <c r="V203" s="146"/>
      <c r="W203" s="606"/>
      <c r="X203" s="606"/>
      <c r="Y203" s="606"/>
      <c r="Z203" s="606"/>
      <c r="AA203" s="606"/>
      <c r="AB203" s="606"/>
      <c r="AC203" s="209"/>
      <c r="AD203" s="31"/>
      <c r="AE203" s="206"/>
      <c r="AF203" s="146"/>
      <c r="AG203" s="146"/>
      <c r="AH203" s="146"/>
      <c r="AI203" s="146"/>
      <c r="AJ203" s="146"/>
      <c r="AK203" s="146"/>
      <c r="AL203" s="146"/>
      <c r="AM203" s="146"/>
      <c r="AN203" s="146"/>
      <c r="AO203" s="146"/>
      <c r="AP203" s="92"/>
      <c r="AQ203" s="206"/>
      <c r="AR203" s="146"/>
      <c r="AS203" s="146"/>
      <c r="AT203" s="146"/>
      <c r="AU203" s="146"/>
      <c r="AV203" s="146"/>
      <c r="AW203" s="146"/>
      <c r="AX203" s="146"/>
      <c r="AY203" s="146"/>
      <c r="AZ203" s="146"/>
      <c r="BA203" s="146"/>
      <c r="BB203" s="92"/>
      <c r="BC203" s="206"/>
      <c r="BD203" s="92"/>
    </row>
    <row r="204" spans="2:56" ht="17.100000000000001" customHeight="1">
      <c r="B204" s="625"/>
      <c r="C204" s="625"/>
      <c r="D204" s="146"/>
      <c r="E204" s="606"/>
      <c r="F204" s="606"/>
      <c r="G204" s="606"/>
      <c r="H204" s="606"/>
      <c r="I204" s="606"/>
      <c r="J204" s="606"/>
      <c r="K204" s="146"/>
      <c r="L204" s="146"/>
      <c r="M204" s="146"/>
      <c r="N204" s="606"/>
      <c r="O204" s="606"/>
      <c r="P204" s="606"/>
      <c r="Q204" s="606"/>
      <c r="R204" s="606"/>
      <c r="S204" s="606"/>
      <c r="T204" s="146"/>
      <c r="U204" s="146"/>
      <c r="V204" s="146"/>
      <c r="W204" s="606"/>
      <c r="X204" s="606"/>
      <c r="Y204" s="606"/>
      <c r="Z204" s="606"/>
      <c r="AA204" s="606"/>
      <c r="AB204" s="606"/>
      <c r="AC204" s="209"/>
      <c r="AD204" s="31"/>
      <c r="AE204" s="206"/>
      <c r="AF204" s="146"/>
      <c r="AG204" s="146"/>
      <c r="AH204" s="146"/>
      <c r="AI204" s="146"/>
      <c r="AJ204" s="146"/>
      <c r="AK204" s="146"/>
      <c r="AL204" s="146"/>
      <c r="AM204" s="146"/>
      <c r="AN204" s="146"/>
      <c r="AO204" s="146"/>
      <c r="AP204" s="92"/>
      <c r="AQ204" s="206"/>
      <c r="AR204" s="146"/>
      <c r="AS204" s="146"/>
      <c r="AT204" s="146"/>
      <c r="AU204" s="146"/>
      <c r="AV204" s="146"/>
      <c r="AW204" s="146"/>
      <c r="AX204" s="146"/>
      <c r="AY204" s="146"/>
      <c r="AZ204" s="146"/>
      <c r="BA204" s="146"/>
      <c r="BB204" s="92"/>
      <c r="BC204" s="206"/>
      <c r="BD204" s="92"/>
    </row>
    <row r="205" spans="2:56" ht="17.100000000000001" customHeight="1">
      <c r="B205" s="625"/>
      <c r="C205" s="625"/>
      <c r="D205" s="146"/>
      <c r="E205" s="606"/>
      <c r="F205" s="606"/>
      <c r="G205" s="606"/>
      <c r="H205" s="606"/>
      <c r="I205" s="606"/>
      <c r="J205" s="606"/>
      <c r="K205" s="146"/>
      <c r="L205" s="146"/>
      <c r="M205" s="146"/>
      <c r="N205" s="606"/>
      <c r="O205" s="606"/>
      <c r="P205" s="606"/>
      <c r="Q205" s="606"/>
      <c r="R205" s="606"/>
      <c r="S205" s="606"/>
      <c r="T205" s="146"/>
      <c r="U205" s="146"/>
      <c r="V205" s="146"/>
      <c r="W205" s="606"/>
      <c r="X205" s="606"/>
      <c r="Y205" s="606"/>
      <c r="Z205" s="606"/>
      <c r="AA205" s="606"/>
      <c r="AB205" s="606"/>
      <c r="AC205" s="209"/>
      <c r="AD205" s="31"/>
      <c r="AE205" s="206"/>
      <c r="AF205" s="146"/>
      <c r="AG205" s="146"/>
      <c r="AH205" s="146"/>
      <c r="AI205" s="146"/>
      <c r="AJ205" s="146"/>
      <c r="AK205" s="146"/>
      <c r="AL205" s="146"/>
      <c r="AM205" s="146"/>
      <c r="AN205" s="146"/>
      <c r="AO205" s="146"/>
      <c r="AP205" s="92"/>
      <c r="AQ205" s="206"/>
      <c r="AR205" s="146"/>
      <c r="AS205" s="146"/>
      <c r="AT205" s="146"/>
      <c r="AU205" s="146"/>
      <c r="AV205" s="146"/>
      <c r="AW205" s="146"/>
      <c r="AX205" s="146"/>
      <c r="AY205" s="146"/>
      <c r="AZ205" s="146"/>
      <c r="BA205" s="146"/>
      <c r="BB205" s="92"/>
      <c r="BC205" s="206"/>
      <c r="BD205" s="92"/>
    </row>
    <row r="206" spans="2:56" ht="17.100000000000001" customHeight="1">
      <c r="B206" s="625"/>
      <c r="C206" s="625"/>
      <c r="D206" s="146"/>
      <c r="E206" s="606"/>
      <c r="F206" s="606"/>
      <c r="G206" s="606"/>
      <c r="H206" s="606"/>
      <c r="I206" s="606"/>
      <c r="J206" s="606"/>
      <c r="K206" s="146"/>
      <c r="L206" s="146"/>
      <c r="M206" s="146"/>
      <c r="N206" s="606"/>
      <c r="O206" s="606"/>
      <c r="P206" s="606"/>
      <c r="Q206" s="606"/>
      <c r="R206" s="606"/>
      <c r="S206" s="606"/>
      <c r="T206" s="146"/>
      <c r="U206" s="146"/>
      <c r="V206" s="146"/>
      <c r="W206" s="606"/>
      <c r="X206" s="606"/>
      <c r="Y206" s="606"/>
      <c r="Z206" s="606"/>
      <c r="AA206" s="606"/>
      <c r="AB206" s="606"/>
      <c r="AC206" s="209"/>
      <c r="AD206" s="31"/>
      <c r="AE206" s="206"/>
      <c r="AF206" s="146"/>
      <c r="AG206" s="146"/>
      <c r="AH206" s="146"/>
      <c r="AI206" s="146"/>
      <c r="AJ206" s="146"/>
      <c r="AK206" s="146"/>
      <c r="AL206" s="146"/>
      <c r="AM206" s="146"/>
      <c r="AN206" s="146"/>
      <c r="AO206" s="146"/>
      <c r="AP206" s="92"/>
      <c r="AQ206" s="206"/>
      <c r="AR206" s="146"/>
      <c r="AS206" s="146"/>
      <c r="AT206" s="146"/>
      <c r="AU206" s="146"/>
      <c r="AV206" s="146"/>
      <c r="AW206" s="146"/>
      <c r="AX206" s="146"/>
      <c r="AY206" s="146"/>
      <c r="AZ206" s="146"/>
      <c r="BA206" s="146"/>
      <c r="BB206" s="92"/>
      <c r="BC206" s="206"/>
      <c r="BD206" s="92"/>
    </row>
    <row r="207" spans="2:56" ht="17.100000000000001" customHeight="1">
      <c r="B207" s="625"/>
      <c r="C207" s="625"/>
      <c r="D207" s="146"/>
      <c r="E207" s="606"/>
      <c r="F207" s="606"/>
      <c r="G207" s="606"/>
      <c r="H207" s="606"/>
      <c r="I207" s="606"/>
      <c r="J207" s="606"/>
      <c r="K207" s="146"/>
      <c r="L207" s="146"/>
      <c r="M207" s="146"/>
      <c r="N207" s="606"/>
      <c r="O207" s="606"/>
      <c r="P207" s="606"/>
      <c r="Q207" s="606"/>
      <c r="R207" s="606"/>
      <c r="S207" s="606"/>
      <c r="T207" s="146"/>
      <c r="U207" s="146"/>
      <c r="V207" s="146"/>
      <c r="W207" s="606"/>
      <c r="X207" s="606"/>
      <c r="Y207" s="606"/>
      <c r="Z207" s="606"/>
      <c r="AA207" s="606"/>
      <c r="AB207" s="606"/>
      <c r="AC207" s="209"/>
      <c r="AD207" s="31"/>
      <c r="AE207" s="206"/>
      <c r="AF207" s="146"/>
      <c r="AG207" s="146"/>
      <c r="AH207" s="146"/>
      <c r="AI207" s="146"/>
      <c r="AJ207" s="146"/>
      <c r="AK207" s="146"/>
      <c r="AL207" s="146"/>
      <c r="AM207" s="146"/>
      <c r="AN207" s="146"/>
      <c r="AO207" s="146"/>
      <c r="AP207" s="92"/>
      <c r="AQ207" s="206"/>
      <c r="AR207" s="146"/>
      <c r="AS207" s="146"/>
      <c r="AT207" s="146"/>
      <c r="AU207" s="146"/>
      <c r="AV207" s="146"/>
      <c r="AW207" s="146"/>
      <c r="AX207" s="146"/>
      <c r="AY207" s="146"/>
      <c r="AZ207" s="146"/>
      <c r="BA207" s="146"/>
      <c r="BB207" s="92"/>
      <c r="BC207" s="206"/>
      <c r="BD207" s="92"/>
    </row>
    <row r="208" spans="2:56" ht="17.100000000000001" customHeight="1">
      <c r="B208" s="625"/>
      <c r="C208" s="625"/>
      <c r="D208" s="146"/>
      <c r="E208" s="606"/>
      <c r="F208" s="606"/>
      <c r="G208" s="606"/>
      <c r="H208" s="606"/>
      <c r="I208" s="606"/>
      <c r="J208" s="606"/>
      <c r="K208" s="146"/>
      <c r="L208" s="146"/>
      <c r="M208" s="146"/>
      <c r="N208" s="606"/>
      <c r="O208" s="606"/>
      <c r="P208" s="606"/>
      <c r="Q208" s="606"/>
      <c r="R208" s="606"/>
      <c r="S208" s="606"/>
      <c r="T208" s="146"/>
      <c r="U208" s="146"/>
      <c r="V208" s="146"/>
      <c r="W208" s="606"/>
      <c r="X208" s="606"/>
      <c r="Y208" s="606"/>
      <c r="Z208" s="606"/>
      <c r="AA208" s="606"/>
      <c r="AB208" s="606"/>
      <c r="AC208" s="209"/>
      <c r="AD208" s="31"/>
      <c r="AE208" s="206"/>
      <c r="AF208" s="146"/>
      <c r="AG208" s="146"/>
      <c r="AH208" s="146"/>
      <c r="AI208" s="146"/>
      <c r="AJ208" s="146"/>
      <c r="AK208" s="146"/>
      <c r="AL208" s="146"/>
      <c r="AM208" s="146"/>
      <c r="AN208" s="146"/>
      <c r="AO208" s="146"/>
      <c r="AP208" s="92"/>
      <c r="AQ208" s="206"/>
      <c r="AR208" s="146"/>
      <c r="AS208" s="146"/>
      <c r="AT208" s="146"/>
      <c r="AU208" s="146"/>
      <c r="AV208" s="146"/>
      <c r="AW208" s="146"/>
      <c r="AX208" s="146"/>
      <c r="AY208" s="146"/>
      <c r="AZ208" s="146"/>
      <c r="BA208" s="146"/>
      <c r="BB208" s="92"/>
      <c r="BC208" s="206"/>
      <c r="BD208" s="92"/>
    </row>
    <row r="209" spans="2:92" ht="17.100000000000001" customHeight="1">
      <c r="B209" s="625"/>
      <c r="C209" s="625"/>
      <c r="D209" s="146"/>
      <c r="E209" s="606"/>
      <c r="F209" s="606"/>
      <c r="G209" s="606"/>
      <c r="H209" s="606"/>
      <c r="I209" s="606"/>
      <c r="J209" s="606"/>
      <c r="K209" s="146"/>
      <c r="L209" s="146"/>
      <c r="M209" s="146"/>
      <c r="N209" s="606"/>
      <c r="O209" s="606"/>
      <c r="P209" s="606"/>
      <c r="Q209" s="606"/>
      <c r="R209" s="606"/>
      <c r="S209" s="606"/>
      <c r="T209" s="146"/>
      <c r="U209" s="146"/>
      <c r="V209" s="146"/>
      <c r="W209" s="606"/>
      <c r="X209" s="606"/>
      <c r="Y209" s="606"/>
      <c r="Z209" s="606"/>
      <c r="AA209" s="606"/>
      <c r="AB209" s="606"/>
      <c r="AC209" s="209"/>
      <c r="AD209" s="31"/>
      <c r="AE209" s="206"/>
      <c r="AF209" s="146"/>
      <c r="AG209" s="146"/>
      <c r="AH209" s="146"/>
      <c r="AI209" s="146"/>
      <c r="AJ209" s="146"/>
      <c r="AK209" s="146"/>
      <c r="AL209" s="146"/>
      <c r="AM209" s="146"/>
      <c r="AN209" s="146"/>
      <c r="AO209" s="146"/>
      <c r="AP209" s="92"/>
      <c r="AQ209" s="206"/>
      <c r="AR209" s="146"/>
      <c r="AS209" s="146"/>
      <c r="AT209" s="146"/>
      <c r="AU209" s="146"/>
      <c r="AV209" s="146"/>
      <c r="AW209" s="146"/>
      <c r="AX209" s="146"/>
      <c r="AY209" s="146"/>
      <c r="AZ209" s="146"/>
      <c r="BA209" s="146"/>
      <c r="BB209" s="92"/>
      <c r="BC209" s="206"/>
      <c r="BD209" s="92"/>
    </row>
    <row r="210" spans="2:92" ht="17.100000000000001" customHeight="1">
      <c r="B210" s="625"/>
      <c r="C210" s="625"/>
      <c r="D210" s="146"/>
      <c r="E210" s="606"/>
      <c r="F210" s="606"/>
      <c r="G210" s="606"/>
      <c r="H210" s="606"/>
      <c r="I210" s="606"/>
      <c r="J210" s="606"/>
      <c r="K210" s="146"/>
      <c r="L210" s="146"/>
      <c r="M210" s="146"/>
      <c r="N210" s="606"/>
      <c r="O210" s="606"/>
      <c r="P210" s="606"/>
      <c r="Q210" s="606"/>
      <c r="R210" s="606"/>
      <c r="S210" s="606"/>
      <c r="T210" s="146"/>
      <c r="U210" s="146"/>
      <c r="V210" s="146"/>
      <c r="W210" s="606"/>
      <c r="X210" s="606"/>
      <c r="Y210" s="606"/>
      <c r="Z210" s="606"/>
      <c r="AA210" s="606"/>
      <c r="AB210" s="606"/>
      <c r="AC210" s="209"/>
      <c r="AD210" s="31"/>
      <c r="AE210" s="206"/>
      <c r="AF210" s="146"/>
      <c r="AG210" s="146"/>
      <c r="AH210" s="146"/>
      <c r="AI210" s="146"/>
      <c r="AJ210" s="146"/>
      <c r="AK210" s="146"/>
      <c r="AL210" s="146"/>
      <c r="AM210" s="146"/>
      <c r="AN210" s="146"/>
      <c r="AO210" s="146"/>
      <c r="AP210" s="92"/>
      <c r="AQ210" s="206"/>
      <c r="AR210" s="146"/>
      <c r="AS210" s="146"/>
      <c r="AT210" s="146"/>
      <c r="AU210" s="146"/>
      <c r="AV210" s="146"/>
      <c r="AW210" s="146"/>
      <c r="AX210" s="146"/>
      <c r="AY210" s="146"/>
      <c r="AZ210" s="146"/>
      <c r="BA210" s="146"/>
      <c r="BB210" s="92"/>
      <c r="BC210" s="206"/>
      <c r="BD210" s="92"/>
    </row>
    <row r="211" spans="2:92" ht="17.100000000000001" customHeight="1">
      <c r="B211" s="625"/>
      <c r="C211" s="625"/>
      <c r="D211" s="146"/>
      <c r="E211" s="606"/>
      <c r="F211" s="606"/>
      <c r="G211" s="606"/>
      <c r="H211" s="606"/>
      <c r="I211" s="606"/>
      <c r="J211" s="606"/>
      <c r="K211" s="146"/>
      <c r="L211" s="146"/>
      <c r="M211" s="146"/>
      <c r="N211" s="606"/>
      <c r="O211" s="606"/>
      <c r="P211" s="606"/>
      <c r="Q211" s="606"/>
      <c r="R211" s="606"/>
      <c r="S211" s="606"/>
      <c r="T211" s="146"/>
      <c r="U211" s="146"/>
      <c r="V211" s="146"/>
      <c r="W211" s="606"/>
      <c r="X211" s="606"/>
      <c r="Y211" s="606"/>
      <c r="Z211" s="606"/>
      <c r="AA211" s="606"/>
      <c r="AB211" s="606"/>
      <c r="AC211" s="209"/>
      <c r="AD211" s="31"/>
      <c r="AE211" s="206"/>
      <c r="AF211" s="146"/>
      <c r="AG211" s="146"/>
      <c r="AH211" s="146"/>
      <c r="AI211" s="146"/>
      <c r="AJ211" s="146"/>
      <c r="AK211" s="146"/>
      <c r="AL211" s="146"/>
      <c r="AM211" s="146"/>
      <c r="AN211" s="146"/>
      <c r="AO211" s="146"/>
      <c r="AP211" s="92"/>
      <c r="AQ211" s="206"/>
      <c r="AR211" s="146"/>
      <c r="AS211" s="146"/>
      <c r="AT211" s="146"/>
      <c r="AU211" s="146"/>
      <c r="AV211" s="146"/>
      <c r="AW211" s="146"/>
      <c r="AX211" s="146"/>
      <c r="AY211" s="146"/>
      <c r="AZ211" s="146"/>
      <c r="BA211" s="146"/>
      <c r="BB211" s="92"/>
      <c r="BC211" s="206"/>
      <c r="BD211" s="92"/>
    </row>
    <row r="212" spans="2:92" ht="17.100000000000001" customHeight="1">
      <c r="B212" s="625"/>
      <c r="C212" s="625"/>
      <c r="D212" s="146"/>
      <c r="E212" s="606"/>
      <c r="F212" s="606"/>
      <c r="G212" s="606"/>
      <c r="H212" s="606"/>
      <c r="I212" s="606"/>
      <c r="J212" s="606"/>
      <c r="K212" s="146"/>
      <c r="L212" s="146"/>
      <c r="M212" s="146"/>
      <c r="N212" s="606"/>
      <c r="O212" s="606"/>
      <c r="P212" s="606"/>
      <c r="Q212" s="606"/>
      <c r="R212" s="606"/>
      <c r="S212" s="606"/>
      <c r="T212" s="146"/>
      <c r="U212" s="146"/>
      <c r="V212" s="146"/>
      <c r="W212" s="606"/>
      <c r="X212" s="606"/>
      <c r="Y212" s="606"/>
      <c r="Z212" s="606"/>
      <c r="AA212" s="606"/>
      <c r="AB212" s="606"/>
      <c r="AC212" s="209"/>
      <c r="AD212" s="31"/>
      <c r="AE212" s="206"/>
      <c r="AF212" s="146"/>
      <c r="AG212" s="146"/>
      <c r="AH212" s="146"/>
      <c r="AI212" s="146"/>
      <c r="AJ212" s="146"/>
      <c r="AK212" s="146"/>
      <c r="AL212" s="146"/>
      <c r="AM212" s="146"/>
      <c r="AN212" s="146"/>
      <c r="AO212" s="146"/>
      <c r="AP212" s="92"/>
      <c r="AQ212" s="206"/>
      <c r="AR212" s="146"/>
      <c r="AS212" s="146"/>
      <c r="AT212" s="146"/>
      <c r="AU212" s="146"/>
      <c r="AV212" s="146"/>
      <c r="AW212" s="146"/>
      <c r="AX212" s="146"/>
      <c r="AY212" s="146"/>
      <c r="AZ212" s="146"/>
      <c r="BA212" s="146"/>
      <c r="BB212" s="92"/>
      <c r="BC212" s="206"/>
      <c r="BD212" s="92"/>
    </row>
    <row r="213" spans="2:92" ht="17.100000000000001" customHeight="1">
      <c r="B213" s="625"/>
      <c r="C213" s="625"/>
      <c r="D213" s="146"/>
      <c r="E213" s="606"/>
      <c r="F213" s="606"/>
      <c r="G213" s="606"/>
      <c r="H213" s="606"/>
      <c r="I213" s="606"/>
      <c r="J213" s="606"/>
      <c r="K213" s="146"/>
      <c r="L213" s="146"/>
      <c r="M213" s="146"/>
      <c r="N213" s="606"/>
      <c r="O213" s="606"/>
      <c r="P213" s="606"/>
      <c r="Q213" s="606"/>
      <c r="R213" s="606"/>
      <c r="S213" s="606"/>
      <c r="T213" s="146"/>
      <c r="U213" s="146"/>
      <c r="V213" s="146"/>
      <c r="W213" s="606"/>
      <c r="X213" s="606"/>
      <c r="Y213" s="606"/>
      <c r="Z213" s="606"/>
      <c r="AA213" s="606"/>
      <c r="AB213" s="606"/>
      <c r="AC213" s="209"/>
      <c r="AD213" s="31"/>
      <c r="AE213" s="206"/>
      <c r="AF213" s="146"/>
      <c r="AG213" s="146"/>
      <c r="AH213" s="146"/>
      <c r="AI213" s="146"/>
      <c r="AJ213" s="146"/>
      <c r="AK213" s="146"/>
      <c r="AL213" s="146"/>
      <c r="AM213" s="146"/>
      <c r="AN213" s="146"/>
      <c r="AO213" s="146"/>
      <c r="AP213" s="92"/>
      <c r="AQ213" s="206"/>
      <c r="AR213" s="146"/>
      <c r="AS213" s="146"/>
      <c r="AT213" s="146"/>
      <c r="AU213" s="146"/>
      <c r="AV213" s="146"/>
      <c r="AW213" s="146"/>
      <c r="AX213" s="146"/>
      <c r="AY213" s="146"/>
      <c r="AZ213" s="146"/>
      <c r="BA213" s="146"/>
      <c r="BB213" s="92"/>
      <c r="BC213" s="206"/>
      <c r="BD213" s="92"/>
    </row>
    <row r="214" spans="2:92" ht="17.100000000000001" customHeight="1">
      <c r="B214" s="625"/>
      <c r="C214" s="625"/>
      <c r="D214" s="146"/>
      <c r="E214" s="606"/>
      <c r="F214" s="606"/>
      <c r="G214" s="606"/>
      <c r="H214" s="606"/>
      <c r="I214" s="606"/>
      <c r="J214" s="606"/>
      <c r="K214" s="146"/>
      <c r="L214" s="146"/>
      <c r="M214" s="146"/>
      <c r="N214" s="606"/>
      <c r="O214" s="606"/>
      <c r="P214" s="606"/>
      <c r="Q214" s="606"/>
      <c r="R214" s="606"/>
      <c r="S214" s="606"/>
      <c r="T214" s="146"/>
      <c r="U214" s="146"/>
      <c r="V214" s="146"/>
      <c r="W214" s="606"/>
      <c r="X214" s="606"/>
      <c r="Y214" s="606"/>
      <c r="Z214" s="606"/>
      <c r="AA214" s="606"/>
      <c r="AB214" s="606"/>
      <c r="AC214" s="209"/>
      <c r="AD214" s="31"/>
      <c r="AE214" s="206"/>
      <c r="AF214" s="146"/>
      <c r="AG214" s="146"/>
      <c r="AH214" s="146"/>
      <c r="AI214" s="146"/>
      <c r="AJ214" s="146"/>
      <c r="AK214" s="146"/>
      <c r="AL214" s="146"/>
      <c r="AM214" s="146"/>
      <c r="AN214" s="146"/>
      <c r="AO214" s="146"/>
      <c r="AP214" s="92"/>
      <c r="AQ214" s="206"/>
      <c r="AR214" s="146"/>
      <c r="AS214" s="146"/>
      <c r="AT214" s="146"/>
      <c r="AU214" s="146"/>
      <c r="AV214" s="146"/>
      <c r="AW214" s="146"/>
      <c r="AX214" s="146"/>
      <c r="AY214" s="146"/>
      <c r="AZ214" s="146"/>
      <c r="BA214" s="146"/>
      <c r="BB214" s="92"/>
      <c r="BC214" s="206"/>
      <c r="BD214" s="92"/>
    </row>
    <row r="215" spans="2:92" ht="17.100000000000001" customHeight="1">
      <c r="B215" s="647"/>
      <c r="C215" s="647"/>
      <c r="D215" s="92"/>
      <c r="E215" s="599"/>
      <c r="F215" s="599"/>
      <c r="G215" s="599"/>
      <c r="H215" s="599"/>
      <c r="I215" s="599"/>
      <c r="J215" s="599"/>
      <c r="K215" s="92"/>
      <c r="L215" s="92"/>
      <c r="M215" s="92"/>
      <c r="N215" s="599"/>
      <c r="O215" s="599"/>
      <c r="P215" s="599"/>
      <c r="Q215" s="599"/>
      <c r="R215" s="599"/>
      <c r="S215" s="599"/>
      <c r="T215" s="92"/>
      <c r="U215" s="92"/>
      <c r="V215" s="92"/>
      <c r="W215" s="599"/>
      <c r="X215" s="599"/>
      <c r="Y215" s="599"/>
      <c r="Z215" s="599"/>
      <c r="AA215" s="599"/>
      <c r="AB215" s="599"/>
      <c r="AC215" s="92"/>
      <c r="AD215" s="31"/>
      <c r="AE215" s="206"/>
      <c r="AF215" s="146"/>
      <c r="AG215" s="146"/>
      <c r="AH215" s="146"/>
      <c r="AI215" s="146"/>
      <c r="AJ215" s="146"/>
      <c r="AK215" s="146"/>
      <c r="AL215" s="146"/>
      <c r="AM215" s="146"/>
      <c r="AN215" s="146"/>
      <c r="AO215" s="146"/>
      <c r="AP215" s="92"/>
      <c r="AQ215" s="206"/>
      <c r="AR215" s="146"/>
      <c r="AS215" s="146"/>
      <c r="AT215" s="146"/>
      <c r="AU215" s="146"/>
      <c r="AV215" s="146"/>
      <c r="AW215" s="146"/>
      <c r="AX215" s="146"/>
      <c r="AY215" s="146"/>
      <c r="AZ215" s="146"/>
      <c r="BA215" s="146"/>
      <c r="BB215" s="92"/>
      <c r="BC215" s="206"/>
      <c r="BD215" s="92"/>
    </row>
    <row r="216" spans="2:92" ht="17.100000000000001" customHeight="1">
      <c r="B216" s="90"/>
      <c r="C216" s="90"/>
      <c r="D216" s="92"/>
      <c r="E216" s="90"/>
      <c r="F216" s="90"/>
      <c r="G216" s="90"/>
      <c r="H216" s="90"/>
      <c r="I216" s="90"/>
      <c r="J216" s="90"/>
      <c r="K216" s="92"/>
      <c r="L216" s="92"/>
      <c r="M216" s="92"/>
      <c r="N216" s="90"/>
      <c r="O216" s="90"/>
      <c r="P216" s="90"/>
      <c r="Q216" s="90"/>
      <c r="R216" s="90"/>
      <c r="S216" s="90"/>
      <c r="T216" s="92"/>
      <c r="U216" s="92"/>
      <c r="V216" s="92"/>
      <c r="W216" s="90"/>
      <c r="X216" s="90"/>
      <c r="Y216" s="90"/>
      <c r="Z216" s="90"/>
      <c r="AA216" s="90"/>
      <c r="AB216" s="90"/>
      <c r="AC216" s="90"/>
      <c r="AD216" s="210"/>
      <c r="AE216" s="211"/>
      <c r="AF216" s="202"/>
      <c r="AG216" s="202"/>
      <c r="AH216" s="202"/>
      <c r="AI216" s="202"/>
      <c r="AJ216" s="202"/>
      <c r="AK216" s="202"/>
      <c r="AL216" s="202"/>
      <c r="AM216" s="202"/>
      <c r="AN216" s="202"/>
      <c r="AO216" s="202"/>
      <c r="AP216" s="202"/>
      <c r="AQ216" s="211"/>
      <c r="AR216" s="202"/>
      <c r="AS216" s="202"/>
      <c r="AT216" s="202"/>
      <c r="AU216" s="202"/>
      <c r="AV216" s="202"/>
      <c r="AW216" s="202"/>
      <c r="AX216" s="202"/>
      <c r="AY216" s="202"/>
      <c r="AZ216" s="202"/>
      <c r="BA216" s="202"/>
      <c r="BB216" s="202"/>
      <c r="BC216" s="211"/>
      <c r="BD216" s="202"/>
    </row>
    <row r="217" spans="2:92" ht="18.899999999999999" customHeight="1">
      <c r="B217" s="90"/>
      <c r="C217" s="91"/>
      <c r="D217" s="92"/>
      <c r="E217" s="92"/>
      <c r="F217" s="92"/>
      <c r="G217" s="92"/>
      <c r="H217" s="92"/>
      <c r="I217" s="92"/>
      <c r="J217" s="92"/>
      <c r="K217" s="92"/>
      <c r="L217" s="92"/>
      <c r="M217" s="92"/>
      <c r="N217" s="92"/>
      <c r="O217" s="91"/>
      <c r="P217" s="92"/>
      <c r="Q217" s="92"/>
      <c r="R217" s="92"/>
      <c r="S217" s="92"/>
      <c r="T217" s="92"/>
      <c r="U217" s="92"/>
      <c r="V217" s="92"/>
      <c r="W217" s="92"/>
      <c r="X217" s="92"/>
      <c r="Y217" s="92"/>
      <c r="Z217" s="92"/>
      <c r="AA217" s="91"/>
      <c r="AB217" s="93"/>
      <c r="AC217" s="93"/>
      <c r="AD217" s="90"/>
      <c r="AE217" s="91"/>
      <c r="AF217" s="92"/>
      <c r="AG217" s="92"/>
      <c r="AH217" s="92"/>
      <c r="AI217" s="92"/>
      <c r="AJ217" s="92"/>
      <c r="AK217" s="92"/>
      <c r="AL217" s="92"/>
      <c r="AM217" s="92"/>
      <c r="AN217" s="92"/>
      <c r="AO217" s="92"/>
      <c r="AP217" s="92"/>
      <c r="AQ217" s="91"/>
      <c r="AR217" s="92"/>
      <c r="AS217" s="92"/>
      <c r="AT217" s="92"/>
      <c r="AU217" s="92"/>
      <c r="AV217" s="92"/>
      <c r="AW217" s="92"/>
      <c r="AX217" s="92"/>
      <c r="AY217" s="92"/>
      <c r="AZ217" s="92"/>
      <c r="BA217" s="92"/>
      <c r="BB217" s="92"/>
      <c r="BC217" s="91"/>
      <c r="BD217" s="93"/>
    </row>
    <row r="218" spans="2:92" ht="24.9" customHeight="1">
      <c r="B218" s="563"/>
      <c r="C218" s="563"/>
      <c r="D218" s="563"/>
      <c r="E218" s="563"/>
      <c r="F218" s="563"/>
      <c r="G218" s="563"/>
      <c r="H218" s="563"/>
      <c r="I218" s="563"/>
      <c r="J218" s="563"/>
      <c r="K218" s="563"/>
      <c r="L218" s="563"/>
      <c r="M218" s="563"/>
      <c r="N218" s="563"/>
      <c r="O218" s="563"/>
      <c r="P218" s="563"/>
      <c r="Q218" s="563"/>
      <c r="R218" s="563"/>
      <c r="S218" s="563"/>
      <c r="T218" s="563"/>
      <c r="U218" s="563"/>
      <c r="V218" s="563"/>
      <c r="W218" s="563"/>
      <c r="X218" s="563"/>
      <c r="Y218" s="563"/>
      <c r="Z218" s="563"/>
      <c r="AA218" s="563"/>
      <c r="AB218" s="563"/>
      <c r="AC218" s="94"/>
      <c r="AD218" s="563"/>
      <c r="AE218" s="563"/>
      <c r="AF218" s="563"/>
      <c r="AG218" s="563"/>
      <c r="AH218" s="563"/>
      <c r="AI218" s="563"/>
      <c r="AJ218" s="563"/>
      <c r="AK218" s="563"/>
      <c r="AL218" s="563"/>
      <c r="AM218" s="563"/>
      <c r="AN218" s="563"/>
      <c r="AO218" s="563"/>
      <c r="AP218" s="563"/>
      <c r="AQ218" s="563"/>
      <c r="AR218" s="563"/>
      <c r="AS218" s="563"/>
      <c r="AT218" s="563"/>
      <c r="AU218" s="563"/>
      <c r="AV218" s="563"/>
      <c r="AW218" s="563"/>
      <c r="AX218" s="563"/>
      <c r="AY218" s="563"/>
      <c r="AZ218" s="563"/>
      <c r="BA218" s="563"/>
      <c r="BB218" s="563"/>
      <c r="BC218" s="563"/>
      <c r="BD218" s="563"/>
    </row>
    <row r="219" spans="2:92" ht="18" customHeight="1">
      <c r="B219" s="644"/>
      <c r="C219" s="101"/>
      <c r="D219" s="101"/>
      <c r="E219" s="101"/>
      <c r="F219" s="101"/>
      <c r="G219" s="101"/>
      <c r="H219" s="101"/>
      <c r="I219" s="101"/>
      <c r="J219" s="101"/>
      <c r="K219" s="101"/>
      <c r="L219" s="101"/>
      <c r="M219" s="101"/>
      <c r="N219" s="101"/>
      <c r="O219" s="101"/>
      <c r="P219" s="101"/>
      <c r="Q219" s="101"/>
      <c r="R219" s="101"/>
      <c r="S219" s="101"/>
      <c r="T219" s="101"/>
      <c r="U219" s="101"/>
      <c r="V219" s="101"/>
      <c r="W219" s="101"/>
      <c r="X219" s="101"/>
      <c r="Y219" s="101"/>
      <c r="Z219" s="101"/>
      <c r="AA219" s="101"/>
      <c r="AB219" s="101"/>
      <c r="AC219" s="103"/>
      <c r="AD219" s="563"/>
      <c r="AE219" s="563"/>
      <c r="AF219" s="563"/>
      <c r="AG219" s="563"/>
      <c r="AH219" s="563"/>
      <c r="AI219" s="563"/>
      <c r="AJ219" s="563"/>
      <c r="AK219" s="563"/>
      <c r="AL219" s="563"/>
      <c r="AM219" s="563"/>
      <c r="AN219" s="563"/>
      <c r="AO219" s="563"/>
      <c r="AP219" s="563"/>
      <c r="AQ219" s="563"/>
      <c r="AR219" s="563"/>
      <c r="AS219" s="563"/>
      <c r="AT219" s="563"/>
      <c r="AU219" s="563"/>
      <c r="AV219" s="563"/>
      <c r="AW219" s="563"/>
      <c r="AX219" s="563"/>
      <c r="AY219" s="563"/>
      <c r="AZ219" s="563"/>
      <c r="BA219" s="563"/>
      <c r="BB219" s="563"/>
      <c r="BC219" s="563"/>
      <c r="BD219" s="563"/>
    </row>
    <row r="220" spans="2:92" s="107" customFormat="1" ht="9.9" customHeight="1">
      <c r="B220" s="644"/>
      <c r="C220" s="108"/>
      <c r="D220" s="109"/>
      <c r="G220" s="108"/>
      <c r="H220" s="108"/>
      <c r="I220" s="108"/>
      <c r="J220" s="108"/>
      <c r="K220" s="108"/>
      <c r="L220" s="108"/>
      <c r="M220" s="108"/>
      <c r="N220" s="108"/>
      <c r="O220" s="108"/>
      <c r="S220" s="108"/>
      <c r="T220" s="108"/>
      <c r="U220" s="108"/>
      <c r="V220" s="108"/>
      <c r="W220" s="108"/>
      <c r="X220" s="108"/>
      <c r="Y220" s="108"/>
      <c r="Z220" s="108"/>
      <c r="AA220" s="108"/>
      <c r="AB220" s="108"/>
      <c r="AC220" s="108"/>
      <c r="AE220" s="108"/>
      <c r="AF220" s="109"/>
      <c r="AI220" s="108"/>
      <c r="AJ220" s="108"/>
      <c r="AK220" s="108"/>
      <c r="AL220" s="108"/>
      <c r="AM220" s="108"/>
      <c r="AN220" s="108"/>
      <c r="AO220" s="108"/>
      <c r="AP220" s="108"/>
      <c r="AQ220" s="108"/>
      <c r="AU220" s="108"/>
      <c r="AV220" s="108"/>
      <c r="AW220" s="108"/>
      <c r="AX220" s="108"/>
      <c r="AY220" s="108"/>
      <c r="AZ220" s="108"/>
      <c r="BA220" s="108"/>
      <c r="BB220" s="108"/>
      <c r="BC220" s="108"/>
      <c r="BD220" s="108"/>
      <c r="BG220" s="111"/>
      <c r="BH220" s="111"/>
      <c r="BI220" s="111"/>
      <c r="CH220" s="108"/>
      <c r="CI220" s="108"/>
      <c r="CJ220" s="108"/>
      <c r="CK220" s="108"/>
      <c r="CL220" s="108"/>
      <c r="CM220" s="108"/>
      <c r="CN220" s="108"/>
    </row>
    <row r="221" spans="2:92" ht="20.100000000000001" customHeight="1">
      <c r="B221" s="644"/>
      <c r="D221" s="123"/>
      <c r="E221" s="123"/>
      <c r="F221" s="123"/>
      <c r="G221" s="123"/>
      <c r="H221" s="123"/>
      <c r="I221" s="123"/>
      <c r="J221" s="123"/>
      <c r="K221" s="123"/>
      <c r="L221" s="123"/>
      <c r="M221" s="123"/>
      <c r="N221" s="123"/>
      <c r="P221" s="123"/>
      <c r="Q221" s="123"/>
      <c r="R221" s="123"/>
      <c r="S221" s="123"/>
      <c r="T221" s="123"/>
      <c r="U221" s="123"/>
      <c r="V221" s="123"/>
      <c r="W221" s="123"/>
      <c r="X221" s="123"/>
      <c r="Y221" s="123"/>
      <c r="Z221" s="123"/>
      <c r="AB221" s="103"/>
      <c r="AC221" s="103"/>
      <c r="AD221" s="562"/>
      <c r="AE221" s="85"/>
      <c r="AF221" s="564"/>
      <c r="AG221" s="564"/>
      <c r="AH221" s="564"/>
      <c r="AI221" s="564"/>
      <c r="AJ221" s="564"/>
      <c r="AK221" s="564"/>
      <c r="AL221" s="564"/>
      <c r="AM221" s="564"/>
      <c r="AN221" s="564"/>
      <c r="AO221" s="564"/>
      <c r="AP221" s="564"/>
      <c r="AQ221" s="85"/>
      <c r="AR221" s="564"/>
      <c r="AS221" s="564"/>
      <c r="AT221" s="564"/>
      <c r="AU221" s="564"/>
      <c r="AV221" s="564"/>
      <c r="AW221" s="564"/>
      <c r="AX221" s="564"/>
      <c r="AY221" s="564"/>
      <c r="AZ221" s="564"/>
      <c r="BA221" s="564"/>
      <c r="BB221" s="564"/>
      <c r="BC221" s="85"/>
      <c r="BD221" s="565"/>
    </row>
    <row r="222" spans="2:92" ht="18" customHeight="1">
      <c r="B222" s="644"/>
      <c r="D222" s="102"/>
      <c r="E222" s="102"/>
      <c r="F222" s="102"/>
      <c r="G222" s="102"/>
      <c r="H222" s="102"/>
      <c r="I222" s="102"/>
      <c r="J222" s="102"/>
      <c r="K222" s="102"/>
      <c r="L222" s="102"/>
      <c r="M222" s="102"/>
      <c r="N222" s="103"/>
      <c r="P222" s="102"/>
      <c r="Q222" s="102"/>
      <c r="R222" s="102"/>
      <c r="S222" s="102"/>
      <c r="T222" s="102"/>
      <c r="U222" s="102"/>
      <c r="V222" s="102"/>
      <c r="W222" s="102"/>
      <c r="X222" s="102"/>
      <c r="Y222" s="102"/>
      <c r="Z222" s="103"/>
      <c r="AB222" s="103"/>
      <c r="AC222" s="103"/>
      <c r="AD222" s="562"/>
      <c r="AE222" s="85"/>
      <c r="AF222" s="566"/>
      <c r="AG222" s="566"/>
      <c r="AH222" s="566"/>
      <c r="AI222" s="566"/>
      <c r="AJ222" s="566"/>
      <c r="AK222" s="566"/>
      <c r="AL222" s="566"/>
      <c r="AM222" s="566"/>
      <c r="AN222" s="566"/>
      <c r="AO222" s="566"/>
      <c r="AP222" s="565"/>
      <c r="AQ222" s="85"/>
      <c r="AR222" s="566"/>
      <c r="AS222" s="566"/>
      <c r="AT222" s="566"/>
      <c r="AU222" s="566"/>
      <c r="AV222" s="566"/>
      <c r="AW222" s="566"/>
      <c r="AX222" s="566"/>
      <c r="AY222" s="566"/>
      <c r="AZ222" s="566"/>
      <c r="BA222" s="566"/>
      <c r="BB222" s="565"/>
      <c r="BC222" s="85"/>
      <c r="BD222" s="565"/>
    </row>
    <row r="223" spans="2:92" ht="50.1" customHeight="1">
      <c r="B223" s="644"/>
      <c r="C223" s="204"/>
      <c r="D223" s="128"/>
      <c r="E223" s="128"/>
      <c r="F223" s="128"/>
      <c r="G223" s="128"/>
      <c r="H223" s="128"/>
      <c r="I223" s="128"/>
      <c r="J223" s="128"/>
      <c r="K223" s="128"/>
      <c r="L223" s="128"/>
      <c r="M223" s="128"/>
      <c r="N223" s="103"/>
      <c r="O223" s="204"/>
      <c r="P223" s="128"/>
      <c r="Q223" s="128"/>
      <c r="R223" s="128"/>
      <c r="S223" s="128"/>
      <c r="T223" s="128"/>
      <c r="U223" s="128"/>
      <c r="V223" s="128"/>
      <c r="W223" s="128"/>
      <c r="X223" s="128"/>
      <c r="Y223" s="128"/>
      <c r="Z223" s="103"/>
      <c r="AA223" s="204"/>
      <c r="AB223" s="103"/>
      <c r="AC223" s="207"/>
      <c r="AD223" s="562"/>
      <c r="AE223" s="204"/>
      <c r="AF223" s="128"/>
      <c r="AG223" s="128"/>
      <c r="AH223" s="128"/>
      <c r="AI223" s="128"/>
      <c r="AJ223" s="128"/>
      <c r="AK223" s="128"/>
      <c r="AL223" s="128"/>
      <c r="AM223" s="128"/>
      <c r="AN223" s="128"/>
      <c r="AO223" s="128"/>
      <c r="AP223" s="565"/>
      <c r="AQ223" s="204"/>
      <c r="AR223" s="128"/>
      <c r="AS223" s="128"/>
      <c r="AT223" s="128"/>
      <c r="AU223" s="128"/>
      <c r="AV223" s="128"/>
      <c r="AW223" s="128"/>
      <c r="AX223" s="128"/>
      <c r="AY223" s="128"/>
      <c r="AZ223" s="128"/>
      <c r="BA223" s="128"/>
      <c r="BB223" s="565"/>
      <c r="BC223" s="204"/>
      <c r="BD223" s="565"/>
    </row>
    <row r="224" spans="2:92" ht="60" customHeight="1">
      <c r="B224" s="644"/>
      <c r="C224" s="204"/>
      <c r="D224" s="129"/>
      <c r="E224" s="129"/>
      <c r="F224" s="129"/>
      <c r="G224" s="129"/>
      <c r="H224" s="129"/>
      <c r="I224" s="129"/>
      <c r="J224" s="129"/>
      <c r="K224" s="129"/>
      <c r="L224" s="129"/>
      <c r="M224" s="129"/>
      <c r="N224" s="103"/>
      <c r="O224" s="204"/>
      <c r="P224" s="129"/>
      <c r="Q224" s="129"/>
      <c r="R224" s="129"/>
      <c r="S224" s="129"/>
      <c r="T224" s="129"/>
      <c r="U224" s="129"/>
      <c r="V224" s="129"/>
      <c r="W224" s="129"/>
      <c r="X224" s="129"/>
      <c r="Y224" s="129"/>
      <c r="Z224" s="103"/>
      <c r="AA224" s="204"/>
      <c r="AB224" s="103"/>
      <c r="AC224" s="201"/>
      <c r="AD224" s="562"/>
      <c r="AE224" s="204"/>
      <c r="AF224" s="129"/>
      <c r="AG224" s="129"/>
      <c r="AH224" s="129"/>
      <c r="AI224" s="129"/>
      <c r="AJ224" s="129"/>
      <c r="AK224" s="129"/>
      <c r="AL224" s="129"/>
      <c r="AM224" s="129"/>
      <c r="AN224" s="129"/>
      <c r="AO224" s="129"/>
      <c r="AP224" s="565"/>
      <c r="AQ224" s="204"/>
      <c r="AR224" s="129"/>
      <c r="AS224" s="129"/>
      <c r="AT224" s="129"/>
      <c r="AU224" s="129"/>
      <c r="AV224" s="129"/>
      <c r="AW224" s="129"/>
      <c r="AX224" s="129"/>
      <c r="AY224" s="129"/>
      <c r="AZ224" s="129"/>
      <c r="BA224" s="129"/>
      <c r="BB224" s="565"/>
      <c r="BC224" s="204"/>
      <c r="BD224" s="565"/>
    </row>
    <row r="225" spans="2:56" ht="3.9" customHeight="1">
      <c r="B225" s="212"/>
      <c r="C225" s="204"/>
      <c r="D225" s="132"/>
      <c r="E225" s="132"/>
      <c r="F225" s="132"/>
      <c r="G225" s="132"/>
      <c r="H225" s="132"/>
      <c r="I225" s="132"/>
      <c r="J225" s="132"/>
      <c r="K225" s="132"/>
      <c r="L225" s="132"/>
      <c r="M225" s="132"/>
      <c r="N225" s="201"/>
      <c r="O225" s="204"/>
      <c r="P225" s="129"/>
      <c r="Q225" s="129"/>
      <c r="R225" s="129"/>
      <c r="S225" s="129"/>
      <c r="T225" s="129"/>
      <c r="U225" s="129"/>
      <c r="V225" s="129"/>
      <c r="W225" s="129"/>
      <c r="X225" s="129"/>
      <c r="Y225" s="129"/>
      <c r="Z225" s="201"/>
      <c r="AA225" s="204"/>
      <c r="AB225" s="201"/>
      <c r="AC225" s="129"/>
      <c r="AD225" s="205"/>
      <c r="AE225" s="204"/>
      <c r="AF225" s="132"/>
      <c r="AG225" s="132"/>
      <c r="AH225" s="132"/>
      <c r="AI225" s="132"/>
      <c r="AJ225" s="132"/>
      <c r="AK225" s="132"/>
      <c r="AL225" s="132"/>
      <c r="AM225" s="132"/>
      <c r="AN225" s="132"/>
      <c r="AO225" s="132"/>
      <c r="AP225" s="201"/>
      <c r="AQ225" s="204"/>
      <c r="AR225" s="129"/>
      <c r="AS225" s="129"/>
      <c r="AT225" s="129"/>
      <c r="AU225" s="129"/>
      <c r="AV225" s="129"/>
      <c r="AW225" s="129"/>
      <c r="AX225" s="129"/>
      <c r="AY225" s="129"/>
      <c r="AZ225" s="129"/>
      <c r="BA225" s="129"/>
      <c r="BB225" s="201"/>
      <c r="BC225" s="204"/>
      <c r="BD225" s="201"/>
    </row>
    <row r="226" spans="2:56" ht="17.100000000000001" customHeight="1">
      <c r="B226" s="212"/>
      <c r="C226" s="206"/>
      <c r="D226" s="146"/>
      <c r="E226" s="146"/>
      <c r="F226" s="146"/>
      <c r="G226" s="146"/>
      <c r="H226" s="146"/>
      <c r="I226" s="146"/>
      <c r="J226" s="146"/>
      <c r="K226" s="146"/>
      <c r="L226" s="146"/>
      <c r="M226" s="146"/>
      <c r="N226" s="92"/>
      <c r="O226" s="206"/>
      <c r="P226" s="146"/>
      <c r="Q226" s="146"/>
      <c r="R226" s="146"/>
      <c r="S226" s="146"/>
      <c r="T226" s="146"/>
      <c r="U226" s="146"/>
      <c r="V226" s="146"/>
      <c r="W226" s="146"/>
      <c r="X226" s="146"/>
      <c r="Y226" s="146"/>
      <c r="Z226" s="92"/>
      <c r="AA226" s="206"/>
      <c r="AB226" s="92"/>
      <c r="AC226" s="209"/>
      <c r="AD226" s="31"/>
      <c r="AE226" s="206"/>
      <c r="AF226" s="146"/>
      <c r="AG226" s="146"/>
      <c r="AH226" s="146"/>
      <c r="AI226" s="146"/>
      <c r="AJ226" s="146"/>
      <c r="AK226" s="146"/>
      <c r="AL226" s="146"/>
      <c r="AM226" s="146"/>
      <c r="AN226" s="146"/>
      <c r="AO226" s="146"/>
      <c r="AP226" s="92"/>
      <c r="AQ226" s="206"/>
      <c r="AR226" s="146"/>
      <c r="AS226" s="146"/>
      <c r="AT226" s="146"/>
      <c r="AU226" s="146"/>
      <c r="AV226" s="146"/>
      <c r="AW226" s="146"/>
      <c r="AX226" s="146"/>
      <c r="AY226" s="146"/>
      <c r="AZ226" s="146"/>
      <c r="BA226" s="146"/>
      <c r="BB226" s="92"/>
      <c r="BC226" s="206"/>
      <c r="BD226" s="92"/>
    </row>
    <row r="227" spans="2:56" ht="17.100000000000001" customHeight="1">
      <c r="B227" s="212"/>
      <c r="C227" s="206"/>
      <c r="D227" s="146"/>
      <c r="E227" s="146"/>
      <c r="F227" s="146"/>
      <c r="G227" s="146"/>
      <c r="H227" s="146"/>
      <c r="I227" s="146"/>
      <c r="J227" s="146"/>
      <c r="K227" s="146"/>
      <c r="L227" s="146"/>
      <c r="M227" s="146"/>
      <c r="N227" s="92"/>
      <c r="O227" s="206"/>
      <c r="P227" s="146"/>
      <c r="Q227" s="146"/>
      <c r="R227" s="146"/>
      <c r="S227" s="146"/>
      <c r="T227" s="146"/>
      <c r="U227" s="146"/>
      <c r="V227" s="146"/>
      <c r="W227" s="146"/>
      <c r="X227" s="146"/>
      <c r="Y227" s="146"/>
      <c r="Z227" s="92"/>
      <c r="AA227" s="206"/>
      <c r="AB227" s="92"/>
      <c r="AC227" s="209"/>
      <c r="AD227" s="31"/>
      <c r="AE227" s="206"/>
      <c r="AF227" s="146"/>
      <c r="AG227" s="146"/>
      <c r="AH227" s="146"/>
      <c r="AI227" s="146"/>
      <c r="AJ227" s="146"/>
      <c r="AK227" s="146"/>
      <c r="AL227" s="146"/>
      <c r="AM227" s="146"/>
      <c r="AN227" s="146"/>
      <c r="AO227" s="146"/>
      <c r="AP227" s="92"/>
      <c r="AQ227" s="206"/>
      <c r="AR227" s="146"/>
      <c r="AS227" s="146"/>
      <c r="AT227" s="146"/>
      <c r="AU227" s="146"/>
      <c r="AV227" s="146"/>
      <c r="AW227" s="146"/>
      <c r="AX227" s="146"/>
      <c r="AY227" s="146"/>
      <c r="AZ227" s="146"/>
      <c r="BA227" s="146"/>
      <c r="BB227" s="92"/>
      <c r="BC227" s="206"/>
      <c r="BD227" s="92"/>
    </row>
    <row r="228" spans="2:56" ht="17.100000000000001" customHeight="1">
      <c r="B228" s="212"/>
      <c r="C228" s="206"/>
      <c r="D228" s="146"/>
      <c r="E228" s="146"/>
      <c r="F228" s="146"/>
      <c r="G228" s="146"/>
      <c r="H228" s="146"/>
      <c r="I228" s="146"/>
      <c r="J228" s="146"/>
      <c r="K228" s="146"/>
      <c r="L228" s="146"/>
      <c r="M228" s="146"/>
      <c r="N228" s="92"/>
      <c r="O228" s="206"/>
      <c r="P228" s="146"/>
      <c r="Q228" s="146"/>
      <c r="R228" s="146"/>
      <c r="S228" s="146"/>
      <c r="T228" s="146"/>
      <c r="U228" s="146"/>
      <c r="V228" s="146"/>
      <c r="W228" s="146"/>
      <c r="X228" s="146"/>
      <c r="Y228" s="146"/>
      <c r="Z228" s="92"/>
      <c r="AA228" s="206"/>
      <c r="AB228" s="92"/>
      <c r="AC228" s="209"/>
      <c r="AD228" s="31"/>
      <c r="AE228" s="206"/>
      <c r="AF228" s="146"/>
      <c r="AG228" s="146"/>
      <c r="AH228" s="146"/>
      <c r="AI228" s="146"/>
      <c r="AJ228" s="146"/>
      <c r="AK228" s="146"/>
      <c r="AL228" s="146"/>
      <c r="AM228" s="146"/>
      <c r="AN228" s="146"/>
      <c r="AO228" s="146"/>
      <c r="AP228" s="92"/>
      <c r="AQ228" s="206"/>
      <c r="AR228" s="146"/>
      <c r="AS228" s="146"/>
      <c r="AT228" s="146"/>
      <c r="AU228" s="146"/>
      <c r="AV228" s="146"/>
      <c r="AW228" s="146"/>
      <c r="AX228" s="146"/>
      <c r="AY228" s="146"/>
      <c r="AZ228" s="146"/>
      <c r="BA228" s="146"/>
      <c r="BB228" s="92"/>
      <c r="BC228" s="206"/>
      <c r="BD228" s="92"/>
    </row>
    <row r="229" spans="2:56" ht="17.100000000000001" customHeight="1">
      <c r="B229" s="212"/>
      <c r="C229" s="206"/>
      <c r="D229" s="146"/>
      <c r="E229" s="146"/>
      <c r="F229" s="146"/>
      <c r="G229" s="146"/>
      <c r="H229" s="146"/>
      <c r="I229" s="146"/>
      <c r="J229" s="146"/>
      <c r="K229" s="146"/>
      <c r="L229" s="146"/>
      <c r="M229" s="146"/>
      <c r="N229" s="92"/>
      <c r="O229" s="206"/>
      <c r="P229" s="146"/>
      <c r="Q229" s="146"/>
      <c r="R229" s="146"/>
      <c r="S229" s="146"/>
      <c r="T229" s="146"/>
      <c r="U229" s="146"/>
      <c r="V229" s="146"/>
      <c r="W229" s="146"/>
      <c r="X229" s="146"/>
      <c r="Y229" s="146"/>
      <c r="Z229" s="92"/>
      <c r="AA229" s="206"/>
      <c r="AB229" s="92"/>
      <c r="AC229" s="209"/>
      <c r="AD229" s="31"/>
      <c r="AE229" s="206"/>
      <c r="AF229" s="146"/>
      <c r="AG229" s="146"/>
      <c r="AH229" s="146"/>
      <c r="AI229" s="146"/>
      <c r="AJ229" s="146"/>
      <c r="AK229" s="146"/>
      <c r="AL229" s="146"/>
      <c r="AM229" s="146"/>
      <c r="AN229" s="146"/>
      <c r="AO229" s="146"/>
      <c r="AP229" s="92"/>
      <c r="AQ229" s="206"/>
      <c r="AR229" s="146"/>
      <c r="AS229" s="146"/>
      <c r="AT229" s="146"/>
      <c r="AU229" s="146"/>
      <c r="AV229" s="146"/>
      <c r="AW229" s="146"/>
      <c r="AX229" s="146"/>
      <c r="AY229" s="146"/>
      <c r="AZ229" s="146"/>
      <c r="BA229" s="146"/>
      <c r="BB229" s="92"/>
      <c r="BC229" s="206"/>
      <c r="BD229" s="92"/>
    </row>
    <row r="230" spans="2:56" ht="17.100000000000001" customHeight="1">
      <c r="B230" s="212"/>
      <c r="C230" s="206"/>
      <c r="D230" s="146"/>
      <c r="E230" s="146"/>
      <c r="F230" s="146"/>
      <c r="G230" s="146"/>
      <c r="H230" s="146"/>
      <c r="I230" s="146"/>
      <c r="J230" s="146"/>
      <c r="K230" s="146"/>
      <c r="L230" s="146"/>
      <c r="M230" s="146"/>
      <c r="N230" s="92"/>
      <c r="O230" s="206"/>
      <c r="P230" s="146"/>
      <c r="Q230" s="146"/>
      <c r="R230" s="146"/>
      <c r="S230" s="146"/>
      <c r="T230" s="146"/>
      <c r="U230" s="146"/>
      <c r="V230" s="146"/>
      <c r="W230" s="146"/>
      <c r="X230" s="146"/>
      <c r="Y230" s="146"/>
      <c r="Z230" s="92"/>
      <c r="AA230" s="206"/>
      <c r="AB230" s="92"/>
      <c r="AC230" s="209"/>
      <c r="AD230" s="31"/>
      <c r="AE230" s="206"/>
      <c r="AF230" s="146"/>
      <c r="AG230" s="146"/>
      <c r="AH230" s="146"/>
      <c r="AI230" s="146"/>
      <c r="AJ230" s="146"/>
      <c r="AK230" s="146"/>
      <c r="AL230" s="146"/>
      <c r="AM230" s="146"/>
      <c r="AN230" s="146"/>
      <c r="AO230" s="146"/>
      <c r="AP230" s="92"/>
      <c r="AQ230" s="206"/>
      <c r="AR230" s="146"/>
      <c r="AS230" s="146"/>
      <c r="AT230" s="146"/>
      <c r="AU230" s="146"/>
      <c r="AV230" s="146"/>
      <c r="AW230" s="146"/>
      <c r="AX230" s="146"/>
      <c r="AY230" s="146"/>
      <c r="AZ230" s="146"/>
      <c r="BA230" s="146"/>
      <c r="BB230" s="92"/>
      <c r="BC230" s="206"/>
      <c r="BD230" s="92"/>
    </row>
    <row r="231" spans="2:56" ht="17.100000000000001" customHeight="1">
      <c r="B231" s="212"/>
      <c r="C231" s="206"/>
      <c r="D231" s="146"/>
      <c r="E231" s="146"/>
      <c r="F231" s="146"/>
      <c r="G231" s="146"/>
      <c r="H231" s="146"/>
      <c r="I231" s="146"/>
      <c r="J231" s="146"/>
      <c r="K231" s="146"/>
      <c r="L231" s="146"/>
      <c r="M231" s="146"/>
      <c r="N231" s="92"/>
      <c r="O231" s="206"/>
      <c r="P231" s="146"/>
      <c r="Q231" s="146"/>
      <c r="R231" s="146"/>
      <c r="S231" s="146"/>
      <c r="T231" s="146"/>
      <c r="U231" s="146"/>
      <c r="V231" s="146"/>
      <c r="W231" s="146"/>
      <c r="X231" s="146"/>
      <c r="Y231" s="146"/>
      <c r="Z231" s="92"/>
      <c r="AA231" s="206"/>
      <c r="AB231" s="92"/>
      <c r="AC231" s="209"/>
      <c r="AD231" s="31"/>
      <c r="AE231" s="206"/>
      <c r="AF231" s="146"/>
      <c r="AG231" s="146"/>
      <c r="AH231" s="146"/>
      <c r="AI231" s="146"/>
      <c r="AJ231" s="146"/>
      <c r="AK231" s="146"/>
      <c r="AL231" s="146"/>
      <c r="AM231" s="146"/>
      <c r="AN231" s="146"/>
      <c r="AO231" s="146"/>
      <c r="AP231" s="92"/>
      <c r="AQ231" s="206"/>
      <c r="AR231" s="146"/>
      <c r="AS231" s="146"/>
      <c r="AT231" s="146"/>
      <c r="AU231" s="146"/>
      <c r="AV231" s="146"/>
      <c r="AW231" s="146"/>
      <c r="AX231" s="146"/>
      <c r="AY231" s="146"/>
      <c r="AZ231" s="146"/>
      <c r="BA231" s="146"/>
      <c r="BB231" s="92"/>
      <c r="BC231" s="206"/>
      <c r="BD231" s="92"/>
    </row>
    <row r="232" spans="2:56" ht="17.100000000000001" customHeight="1">
      <c r="B232" s="212"/>
      <c r="C232" s="206"/>
      <c r="D232" s="146"/>
      <c r="E232" s="146"/>
      <c r="F232" s="146"/>
      <c r="G232" s="146"/>
      <c r="H232" s="146"/>
      <c r="I232" s="146"/>
      <c r="J232" s="146"/>
      <c r="K232" s="146"/>
      <c r="L232" s="146"/>
      <c r="M232" s="146"/>
      <c r="N232" s="92"/>
      <c r="O232" s="206"/>
      <c r="P232" s="146"/>
      <c r="Q232" s="146"/>
      <c r="R232" s="146"/>
      <c r="S232" s="146"/>
      <c r="T232" s="146"/>
      <c r="U232" s="146"/>
      <c r="V232" s="146"/>
      <c r="W232" s="146"/>
      <c r="X232" s="146"/>
      <c r="Y232" s="146"/>
      <c r="Z232" s="92"/>
      <c r="AA232" s="206"/>
      <c r="AB232" s="92"/>
      <c r="AC232" s="209"/>
      <c r="AD232" s="31"/>
      <c r="AE232" s="206"/>
      <c r="AF232" s="146"/>
      <c r="AG232" s="146"/>
      <c r="AH232" s="146"/>
      <c r="AI232" s="146"/>
      <c r="AJ232" s="146"/>
      <c r="AK232" s="146"/>
      <c r="AL232" s="146"/>
      <c r="AM232" s="146"/>
      <c r="AN232" s="146"/>
      <c r="AO232" s="146"/>
      <c r="AP232" s="92"/>
      <c r="AQ232" s="206"/>
      <c r="AR232" s="146"/>
      <c r="AS232" s="146"/>
      <c r="AT232" s="146"/>
      <c r="AU232" s="146"/>
      <c r="AV232" s="146"/>
      <c r="AW232" s="146"/>
      <c r="AX232" s="146"/>
      <c r="AY232" s="146"/>
      <c r="AZ232" s="146"/>
      <c r="BA232" s="146"/>
      <c r="BB232" s="92"/>
      <c r="BC232" s="206"/>
      <c r="BD232" s="92"/>
    </row>
    <row r="233" spans="2:56" ht="17.100000000000001" customHeight="1">
      <c r="B233" s="31"/>
      <c r="C233" s="206"/>
      <c r="D233" s="146"/>
      <c r="E233" s="146"/>
      <c r="F233" s="146"/>
      <c r="G233" s="146"/>
      <c r="H233" s="146"/>
      <c r="I233" s="146"/>
      <c r="J233" s="146"/>
      <c r="K233" s="146"/>
      <c r="L233" s="146"/>
      <c r="M233" s="146"/>
      <c r="N233" s="92"/>
      <c r="O233" s="206"/>
      <c r="P233" s="146"/>
      <c r="Q233" s="146"/>
      <c r="R233" s="146"/>
      <c r="S233" s="146"/>
      <c r="T233" s="146"/>
      <c r="U233" s="146"/>
      <c r="V233" s="146"/>
      <c r="W233" s="146"/>
      <c r="X233" s="146"/>
      <c r="Y233" s="146"/>
      <c r="Z233" s="92"/>
      <c r="AA233" s="206"/>
      <c r="AB233" s="92"/>
      <c r="AC233" s="209"/>
      <c r="AD233" s="31"/>
      <c r="AE233" s="206"/>
      <c r="AF233" s="146"/>
      <c r="AG233" s="146"/>
      <c r="AH233" s="146"/>
      <c r="AI233" s="146"/>
      <c r="AJ233" s="146"/>
      <c r="AK233" s="146"/>
      <c r="AL233" s="146"/>
      <c r="AM233" s="146"/>
      <c r="AN233" s="146"/>
      <c r="AO233" s="146"/>
      <c r="AP233" s="92"/>
      <c r="AQ233" s="206"/>
      <c r="AR233" s="146"/>
      <c r="AS233" s="146"/>
      <c r="AT233" s="146"/>
      <c r="AU233" s="146"/>
      <c r="AV233" s="146"/>
      <c r="AW233" s="146"/>
      <c r="AX233" s="146"/>
      <c r="AY233" s="146"/>
      <c r="AZ233" s="146"/>
      <c r="BA233" s="146"/>
      <c r="BB233" s="92"/>
      <c r="BC233" s="206"/>
      <c r="BD233" s="92"/>
    </row>
    <row r="234" spans="2:56" ht="17.100000000000001" customHeight="1">
      <c r="B234" s="212"/>
      <c r="C234" s="206"/>
      <c r="D234" s="146"/>
      <c r="E234" s="146"/>
      <c r="F234" s="146"/>
      <c r="G234" s="146"/>
      <c r="H234" s="146"/>
      <c r="I234" s="146"/>
      <c r="J234" s="146"/>
      <c r="K234" s="146"/>
      <c r="L234" s="146"/>
      <c r="M234" s="146"/>
      <c r="N234" s="92"/>
      <c r="O234" s="206"/>
      <c r="P234" s="146"/>
      <c r="Q234" s="146"/>
      <c r="R234" s="146"/>
      <c r="S234" s="146"/>
      <c r="T234" s="146"/>
      <c r="U234" s="146"/>
      <c r="V234" s="146"/>
      <c r="W234" s="146"/>
      <c r="X234" s="146"/>
      <c r="Y234" s="146"/>
      <c r="Z234" s="92"/>
      <c r="AA234" s="206"/>
      <c r="AB234" s="92"/>
      <c r="AC234" s="209"/>
      <c r="AD234" s="31"/>
      <c r="AE234" s="206"/>
      <c r="AF234" s="146"/>
      <c r="AG234" s="146"/>
      <c r="AH234" s="146"/>
      <c r="AI234" s="146"/>
      <c r="AJ234" s="146"/>
      <c r="AK234" s="146"/>
      <c r="AL234" s="146"/>
      <c r="AM234" s="146"/>
      <c r="AN234" s="146"/>
      <c r="AO234" s="146"/>
      <c r="AP234" s="92"/>
      <c r="AQ234" s="206"/>
      <c r="AR234" s="146"/>
      <c r="AS234" s="146"/>
      <c r="AT234" s="146"/>
      <c r="AU234" s="146"/>
      <c r="AV234" s="146"/>
      <c r="AW234" s="146"/>
      <c r="AX234" s="146"/>
      <c r="AY234" s="146"/>
      <c r="AZ234" s="146"/>
      <c r="BA234" s="146"/>
      <c r="BB234" s="92"/>
      <c r="BC234" s="206"/>
      <c r="BD234" s="92"/>
    </row>
    <row r="235" spans="2:56" ht="17.100000000000001" customHeight="1">
      <c r="B235" s="644"/>
      <c r="C235" s="206"/>
      <c r="D235" s="146"/>
      <c r="E235" s="146"/>
      <c r="F235" s="146"/>
      <c r="G235" s="146"/>
      <c r="H235" s="146"/>
      <c r="I235" s="146"/>
      <c r="J235" s="146"/>
      <c r="K235" s="146"/>
      <c r="L235" s="146"/>
      <c r="M235" s="146"/>
      <c r="N235" s="92"/>
      <c r="O235" s="206"/>
      <c r="P235" s="146"/>
      <c r="Q235" s="146"/>
      <c r="R235" s="146"/>
      <c r="S235" s="146"/>
      <c r="T235" s="146"/>
      <c r="U235" s="146"/>
      <c r="V235" s="146"/>
      <c r="W235" s="146"/>
      <c r="X235" s="146"/>
      <c r="Y235" s="146"/>
      <c r="Z235" s="92"/>
      <c r="AA235" s="206"/>
      <c r="AB235" s="92"/>
      <c r="AC235" s="209"/>
      <c r="AD235" s="31"/>
      <c r="AE235" s="206"/>
      <c r="AF235" s="146"/>
      <c r="AG235" s="146"/>
      <c r="AH235" s="146"/>
      <c r="AI235" s="146"/>
      <c r="AJ235" s="146"/>
      <c r="AK235" s="146"/>
      <c r="AL235" s="146"/>
      <c r="AM235" s="146"/>
      <c r="AN235" s="146"/>
      <c r="AO235" s="146"/>
      <c r="AP235" s="92"/>
      <c r="AQ235" s="206"/>
      <c r="AR235" s="146"/>
      <c r="AS235" s="146"/>
      <c r="AT235" s="146"/>
      <c r="AU235" s="146"/>
      <c r="AV235" s="146"/>
      <c r="AW235" s="146"/>
      <c r="AX235" s="146"/>
      <c r="AY235" s="146"/>
      <c r="AZ235" s="146"/>
      <c r="BA235" s="146"/>
      <c r="BB235" s="92"/>
      <c r="BC235" s="206"/>
      <c r="BD235" s="92"/>
    </row>
    <row r="236" spans="2:56" ht="17.100000000000001" customHeight="1">
      <c r="B236" s="644"/>
      <c r="C236" s="206"/>
      <c r="D236" s="146"/>
      <c r="E236" s="146"/>
      <c r="F236" s="146"/>
      <c r="G236" s="146"/>
      <c r="H236" s="146"/>
      <c r="I236" s="146"/>
      <c r="J236" s="146"/>
      <c r="K236" s="146"/>
      <c r="L236" s="146"/>
      <c r="M236" s="146"/>
      <c r="N236" s="92"/>
      <c r="O236" s="206"/>
      <c r="P236" s="146"/>
      <c r="Q236" s="146"/>
      <c r="R236" s="146"/>
      <c r="S236" s="146"/>
      <c r="T236" s="146"/>
      <c r="U236" s="146"/>
      <c r="V236" s="146"/>
      <c r="W236" s="146"/>
      <c r="X236" s="146"/>
      <c r="Y236" s="146"/>
      <c r="Z236" s="92"/>
      <c r="AA236" s="206"/>
      <c r="AB236" s="92"/>
      <c r="AC236" s="209"/>
      <c r="AD236" s="31"/>
      <c r="AE236" s="206"/>
      <c r="AF236" s="146"/>
      <c r="AG236" s="146"/>
      <c r="AH236" s="146"/>
      <c r="AI236" s="146"/>
      <c r="AJ236" s="146"/>
      <c r="AK236" s="146"/>
      <c r="AL236" s="146"/>
      <c r="AM236" s="146"/>
      <c r="AN236" s="146"/>
      <c r="AO236" s="146"/>
      <c r="AP236" s="92"/>
      <c r="AQ236" s="206"/>
      <c r="AR236" s="146"/>
      <c r="AS236" s="146"/>
      <c r="AT236" s="146"/>
      <c r="AU236" s="146"/>
      <c r="AV236" s="146"/>
      <c r="AW236" s="146"/>
      <c r="AX236" s="146"/>
      <c r="AY236" s="146"/>
      <c r="AZ236" s="146"/>
      <c r="BA236" s="146"/>
      <c r="BB236" s="92"/>
      <c r="BC236" s="206"/>
      <c r="BD236" s="92"/>
    </row>
    <row r="237" spans="2:56" ht="17.100000000000001" customHeight="1">
      <c r="B237" s="644"/>
      <c r="C237" s="206"/>
      <c r="D237" s="146"/>
      <c r="E237" s="146"/>
      <c r="F237" s="146"/>
      <c r="G237" s="146"/>
      <c r="H237" s="146"/>
      <c r="I237" s="146"/>
      <c r="J237" s="146"/>
      <c r="K237" s="146"/>
      <c r="L237" s="146"/>
      <c r="M237" s="146"/>
      <c r="N237" s="92"/>
      <c r="O237" s="206"/>
      <c r="P237" s="146"/>
      <c r="Q237" s="146"/>
      <c r="R237" s="146"/>
      <c r="S237" s="146"/>
      <c r="T237" s="146"/>
      <c r="U237" s="146"/>
      <c r="V237" s="146"/>
      <c r="W237" s="146"/>
      <c r="X237" s="146"/>
      <c r="Y237" s="146"/>
      <c r="Z237" s="92"/>
      <c r="AA237" s="206"/>
      <c r="AB237" s="92"/>
      <c r="AC237" s="209"/>
      <c r="AD237" s="31"/>
      <c r="AE237" s="206"/>
      <c r="AF237" s="146"/>
      <c r="AG237" s="146"/>
      <c r="AH237" s="146"/>
      <c r="AI237" s="146"/>
      <c r="AJ237" s="146"/>
      <c r="AK237" s="146"/>
      <c r="AL237" s="146"/>
      <c r="AM237" s="146"/>
      <c r="AN237" s="146"/>
      <c r="AO237" s="146"/>
      <c r="AP237" s="92"/>
      <c r="AQ237" s="206"/>
      <c r="AR237" s="146"/>
      <c r="AS237" s="146"/>
      <c r="AT237" s="146"/>
      <c r="AU237" s="146"/>
      <c r="AV237" s="146"/>
      <c r="AW237" s="146"/>
      <c r="AX237" s="146"/>
      <c r="AY237" s="146"/>
      <c r="AZ237" s="146"/>
      <c r="BA237" s="146"/>
      <c r="BB237" s="92"/>
      <c r="BC237" s="206"/>
      <c r="BD237" s="92"/>
    </row>
    <row r="238" spans="2:56" ht="17.100000000000001" customHeight="1">
      <c r="B238" s="644"/>
      <c r="C238" s="206"/>
      <c r="D238" s="146"/>
      <c r="E238" s="146"/>
      <c r="F238" s="146"/>
      <c r="G238" s="146"/>
      <c r="H238" s="146"/>
      <c r="I238" s="146"/>
      <c r="J238" s="146"/>
      <c r="K238" s="146"/>
      <c r="L238" s="146"/>
      <c r="M238" s="146"/>
      <c r="N238" s="92"/>
      <c r="O238" s="206"/>
      <c r="P238" s="146"/>
      <c r="Q238" s="146"/>
      <c r="R238" s="146"/>
      <c r="S238" s="146"/>
      <c r="T238" s="146"/>
      <c r="U238" s="146"/>
      <c r="V238" s="146"/>
      <c r="W238" s="146"/>
      <c r="X238" s="146"/>
      <c r="Y238" s="146"/>
      <c r="Z238" s="92"/>
      <c r="AA238" s="206"/>
      <c r="AB238" s="92"/>
      <c r="AC238" s="209"/>
      <c r="AD238" s="31"/>
      <c r="AE238" s="206"/>
      <c r="AF238" s="146"/>
      <c r="AG238" s="146"/>
      <c r="AH238" s="146"/>
      <c r="AI238" s="146"/>
      <c r="AJ238" s="146"/>
      <c r="AK238" s="146"/>
      <c r="AL238" s="146"/>
      <c r="AM238" s="146"/>
      <c r="AN238" s="146"/>
      <c r="AO238" s="146"/>
      <c r="AP238" s="92"/>
      <c r="AQ238" s="206"/>
      <c r="AR238" s="146"/>
      <c r="AS238" s="146"/>
      <c r="AT238" s="146"/>
      <c r="AU238" s="146"/>
      <c r="AV238" s="146"/>
      <c r="AW238" s="146"/>
      <c r="AX238" s="146"/>
      <c r="AY238" s="146"/>
      <c r="AZ238" s="146"/>
      <c r="BA238" s="146"/>
      <c r="BB238" s="92"/>
      <c r="BC238" s="206"/>
      <c r="BD238" s="92"/>
    </row>
    <row r="239" spans="2:56" ht="17.100000000000001" customHeight="1">
      <c r="B239" s="644"/>
      <c r="C239" s="206"/>
      <c r="D239" s="146"/>
      <c r="E239" s="146"/>
      <c r="F239" s="146"/>
      <c r="G239" s="146"/>
      <c r="H239" s="146"/>
      <c r="I239" s="146"/>
      <c r="J239" s="146"/>
      <c r="K239" s="146"/>
      <c r="L239" s="146"/>
      <c r="M239" s="146"/>
      <c r="N239" s="92"/>
      <c r="O239" s="206"/>
      <c r="P239" s="146"/>
      <c r="Q239" s="146"/>
      <c r="R239" s="146"/>
      <c r="S239" s="146"/>
      <c r="T239" s="146"/>
      <c r="U239" s="146"/>
      <c r="V239" s="146"/>
      <c r="W239" s="146"/>
      <c r="X239" s="146"/>
      <c r="Y239" s="146"/>
      <c r="Z239" s="92"/>
      <c r="AA239" s="206"/>
      <c r="AB239" s="92"/>
      <c r="AC239" s="209"/>
      <c r="AD239" s="31"/>
      <c r="AE239" s="206"/>
      <c r="AF239" s="146"/>
      <c r="AG239" s="146"/>
      <c r="AH239" s="146"/>
      <c r="AI239" s="146"/>
      <c r="AJ239" s="146"/>
      <c r="AK239" s="146"/>
      <c r="AL239" s="146"/>
      <c r="AM239" s="146"/>
      <c r="AN239" s="146"/>
      <c r="AO239" s="146"/>
      <c r="AP239" s="92"/>
      <c r="AQ239" s="206"/>
      <c r="AR239" s="146"/>
      <c r="AS239" s="146"/>
      <c r="AT239" s="146"/>
      <c r="AU239" s="146"/>
      <c r="AV239" s="146"/>
      <c r="AW239" s="146"/>
      <c r="AX239" s="146"/>
      <c r="AY239" s="146"/>
      <c r="AZ239" s="146"/>
      <c r="BA239" s="146"/>
      <c r="BB239" s="92"/>
      <c r="BC239" s="206"/>
      <c r="BD239" s="92"/>
    </row>
    <row r="240" spans="2:56" ht="17.100000000000001" customHeight="1">
      <c r="B240" s="644"/>
      <c r="C240" s="206"/>
      <c r="D240" s="146"/>
      <c r="E240" s="146"/>
      <c r="F240" s="146"/>
      <c r="G240" s="146"/>
      <c r="H240" s="146"/>
      <c r="I240" s="146"/>
      <c r="J240" s="146"/>
      <c r="K240" s="146"/>
      <c r="L240" s="146"/>
      <c r="M240" s="146"/>
      <c r="N240" s="92"/>
      <c r="O240" s="206"/>
      <c r="P240" s="146"/>
      <c r="Q240" s="146"/>
      <c r="R240" s="146"/>
      <c r="S240" s="146"/>
      <c r="T240" s="146"/>
      <c r="U240" s="146"/>
      <c r="V240" s="146"/>
      <c r="W240" s="146"/>
      <c r="X240" s="146"/>
      <c r="Y240" s="146"/>
      <c r="Z240" s="92"/>
      <c r="AA240" s="206"/>
      <c r="AB240" s="92"/>
      <c r="AC240" s="209"/>
      <c r="AD240" s="31"/>
      <c r="AE240" s="206"/>
      <c r="AF240" s="146"/>
      <c r="AG240" s="146"/>
      <c r="AH240" s="146"/>
      <c r="AI240" s="146"/>
      <c r="AJ240" s="146"/>
      <c r="AK240" s="146"/>
      <c r="AL240" s="146"/>
      <c r="AM240" s="146"/>
      <c r="AN240" s="146"/>
      <c r="AO240" s="146"/>
      <c r="AP240" s="92"/>
      <c r="AQ240" s="206"/>
      <c r="AR240" s="146"/>
      <c r="AS240" s="146"/>
      <c r="AT240" s="146"/>
      <c r="AU240" s="146"/>
      <c r="AV240" s="146"/>
      <c r="AW240" s="146"/>
      <c r="AX240" s="146"/>
      <c r="AY240" s="146"/>
      <c r="AZ240" s="146"/>
      <c r="BA240" s="146"/>
      <c r="BB240" s="92"/>
      <c r="BC240" s="206"/>
      <c r="BD240" s="92"/>
    </row>
    <row r="241" spans="2:92" ht="17.100000000000001" customHeight="1">
      <c r="B241" s="644"/>
      <c r="C241" s="206"/>
      <c r="D241" s="146"/>
      <c r="E241" s="146"/>
      <c r="F241" s="146"/>
      <c r="G241" s="146"/>
      <c r="H241" s="146"/>
      <c r="I241" s="146"/>
      <c r="J241" s="146"/>
      <c r="K241" s="146"/>
      <c r="L241" s="146"/>
      <c r="M241" s="146"/>
      <c r="N241" s="92"/>
      <c r="O241" s="206"/>
      <c r="P241" s="146"/>
      <c r="Q241" s="146"/>
      <c r="R241" s="146"/>
      <c r="S241" s="146"/>
      <c r="T241" s="146"/>
      <c r="U241" s="146"/>
      <c r="V241" s="146"/>
      <c r="W241" s="146"/>
      <c r="X241" s="146"/>
      <c r="Y241" s="146"/>
      <c r="Z241" s="92"/>
      <c r="AA241" s="206"/>
      <c r="AB241" s="92"/>
      <c r="AC241" s="209"/>
      <c r="AD241" s="31"/>
      <c r="AE241" s="206"/>
      <c r="AF241" s="146"/>
      <c r="AG241" s="146"/>
      <c r="AH241" s="146"/>
      <c r="AI241" s="146"/>
      <c r="AJ241" s="146"/>
      <c r="AK241" s="146"/>
      <c r="AL241" s="146"/>
      <c r="AM241" s="146"/>
      <c r="AN241" s="146"/>
      <c r="AO241" s="146"/>
      <c r="AP241" s="92"/>
      <c r="AQ241" s="206"/>
      <c r="AR241" s="146"/>
      <c r="AS241" s="146"/>
      <c r="AT241" s="146"/>
      <c r="AU241" s="146"/>
      <c r="AV241" s="146"/>
      <c r="AW241" s="146"/>
      <c r="AX241" s="146"/>
      <c r="AY241" s="146"/>
      <c r="AZ241" s="146"/>
      <c r="BA241" s="146"/>
      <c r="BB241" s="92"/>
      <c r="BC241" s="206"/>
      <c r="BD241" s="92"/>
    </row>
    <row r="242" spans="2:92" ht="17.100000000000001" customHeight="1">
      <c r="B242" s="644"/>
      <c r="C242" s="206"/>
      <c r="D242" s="146"/>
      <c r="E242" s="146"/>
      <c r="F242" s="146"/>
      <c r="G242" s="146"/>
      <c r="H242" s="146"/>
      <c r="I242" s="146"/>
      <c r="J242" s="146"/>
      <c r="K242" s="146"/>
      <c r="L242" s="146"/>
      <c r="M242" s="146"/>
      <c r="N242" s="92"/>
      <c r="O242" s="206"/>
      <c r="P242" s="146"/>
      <c r="Q242" s="146"/>
      <c r="R242" s="146"/>
      <c r="S242" s="146"/>
      <c r="T242" s="146"/>
      <c r="U242" s="146"/>
      <c r="V242" s="146"/>
      <c r="W242" s="146"/>
      <c r="X242" s="146"/>
      <c r="Y242" s="146"/>
      <c r="Z242" s="92"/>
      <c r="AA242" s="206"/>
      <c r="AB242" s="92"/>
      <c r="AC242" s="209"/>
      <c r="AD242" s="31"/>
      <c r="AE242" s="206"/>
      <c r="AF242" s="146"/>
      <c r="AG242" s="146"/>
      <c r="AH242" s="146"/>
      <c r="AI242" s="146"/>
      <c r="AJ242" s="146"/>
      <c r="AK242" s="146"/>
      <c r="AL242" s="146"/>
      <c r="AM242" s="146"/>
      <c r="AN242" s="146"/>
      <c r="AO242" s="146"/>
      <c r="AP242" s="92"/>
      <c r="AQ242" s="206"/>
      <c r="AR242" s="146"/>
      <c r="AS242" s="146"/>
      <c r="AT242" s="146"/>
      <c r="AU242" s="146"/>
      <c r="AV242" s="146"/>
      <c r="AW242" s="146"/>
      <c r="AX242" s="146"/>
      <c r="AY242" s="146"/>
      <c r="AZ242" s="146"/>
      <c r="BA242" s="146"/>
      <c r="BB242" s="92"/>
      <c r="BC242" s="206"/>
      <c r="BD242" s="92"/>
    </row>
    <row r="243" spans="2:92" ht="17.100000000000001" customHeight="1">
      <c r="B243" s="644"/>
      <c r="C243" s="206"/>
      <c r="D243" s="146"/>
      <c r="E243" s="146"/>
      <c r="F243" s="146"/>
      <c r="G243" s="146"/>
      <c r="H243" s="146"/>
      <c r="I243" s="146"/>
      <c r="J243" s="146"/>
      <c r="K243" s="146"/>
      <c r="L243" s="146"/>
      <c r="M243" s="146"/>
      <c r="N243" s="92"/>
      <c r="O243" s="206"/>
      <c r="P243" s="146"/>
      <c r="Q243" s="146"/>
      <c r="R243" s="146"/>
      <c r="S243" s="146"/>
      <c r="T243" s="146"/>
      <c r="U243" s="146"/>
      <c r="V243" s="146"/>
      <c r="W243" s="146"/>
      <c r="X243" s="146"/>
      <c r="Y243" s="146"/>
      <c r="Z243" s="92"/>
      <c r="AA243" s="206"/>
      <c r="AB243" s="92"/>
      <c r="AC243" s="209"/>
      <c r="AD243" s="31"/>
      <c r="AE243" s="206"/>
      <c r="AF243" s="146"/>
      <c r="AG243" s="146"/>
      <c r="AH243" s="146"/>
      <c r="AI243" s="146"/>
      <c r="AJ243" s="146"/>
      <c r="AK243" s="146"/>
      <c r="AL243" s="146"/>
      <c r="AM243" s="146"/>
      <c r="AN243" s="146"/>
      <c r="AO243" s="146"/>
      <c r="AP243" s="92"/>
      <c r="AQ243" s="206"/>
      <c r="AR243" s="146"/>
      <c r="AS243" s="146"/>
      <c r="AT243" s="146"/>
      <c r="AU243" s="146"/>
      <c r="AV243" s="146"/>
      <c r="AW243" s="146"/>
      <c r="AX243" s="146"/>
      <c r="AY243" s="146"/>
      <c r="AZ243" s="146"/>
      <c r="BA243" s="146"/>
      <c r="BB243" s="92"/>
      <c r="BC243" s="206"/>
      <c r="BD243" s="92"/>
    </row>
    <row r="244" spans="2:92" ht="17.100000000000001" customHeight="1">
      <c r="B244" s="644"/>
      <c r="C244" s="206"/>
      <c r="D244" s="146"/>
      <c r="E244" s="146"/>
      <c r="F244" s="146"/>
      <c r="G244" s="146"/>
      <c r="H244" s="146"/>
      <c r="I244" s="146"/>
      <c r="J244" s="146"/>
      <c r="K244" s="146"/>
      <c r="L244" s="146"/>
      <c r="M244" s="146"/>
      <c r="N244" s="92"/>
      <c r="O244" s="206"/>
      <c r="P244" s="146"/>
      <c r="Q244" s="146"/>
      <c r="R244" s="146"/>
      <c r="S244" s="146"/>
      <c r="T244" s="146"/>
      <c r="U244" s="146"/>
      <c r="V244" s="146"/>
      <c r="W244" s="146"/>
      <c r="X244" s="146"/>
      <c r="Y244" s="146"/>
      <c r="Z244" s="92"/>
      <c r="AA244" s="206"/>
      <c r="AB244" s="92"/>
      <c r="AC244" s="209"/>
      <c r="AD244" s="31"/>
      <c r="AE244" s="206"/>
      <c r="AF244" s="146"/>
      <c r="AG244" s="146"/>
      <c r="AH244" s="146"/>
      <c r="AI244" s="146"/>
      <c r="AJ244" s="146"/>
      <c r="AK244" s="146"/>
      <c r="AL244" s="146"/>
      <c r="AM244" s="146"/>
      <c r="AN244" s="146"/>
      <c r="AO244" s="146"/>
      <c r="AP244" s="92"/>
      <c r="AQ244" s="206"/>
      <c r="AR244" s="146"/>
      <c r="AS244" s="146"/>
      <c r="AT244" s="146"/>
      <c r="AU244" s="146"/>
      <c r="AV244" s="146"/>
      <c r="AW244" s="146"/>
      <c r="AX244" s="146"/>
      <c r="AY244" s="146"/>
      <c r="AZ244" s="146"/>
      <c r="BA244" s="146"/>
      <c r="BB244" s="92"/>
      <c r="BC244" s="206"/>
      <c r="BD244" s="92"/>
    </row>
    <row r="245" spans="2:92" ht="17.100000000000001" customHeight="1">
      <c r="B245" s="212"/>
      <c r="C245" s="206"/>
      <c r="D245" s="146"/>
      <c r="E245" s="146"/>
      <c r="F245" s="146"/>
      <c r="G245" s="146"/>
      <c r="H245" s="146"/>
      <c r="I245" s="146"/>
      <c r="J245" s="146"/>
      <c r="K245" s="146"/>
      <c r="L245" s="146"/>
      <c r="M245" s="146"/>
      <c r="N245" s="92"/>
      <c r="O245" s="206"/>
      <c r="P245" s="146"/>
      <c r="Q245" s="146"/>
      <c r="R245" s="146"/>
      <c r="S245" s="146"/>
      <c r="T245" s="146"/>
      <c r="U245" s="146"/>
      <c r="V245" s="146"/>
      <c r="W245" s="146"/>
      <c r="X245" s="146"/>
      <c r="Y245" s="146"/>
      <c r="Z245" s="92"/>
      <c r="AA245" s="206"/>
      <c r="AB245" s="92"/>
      <c r="AC245" s="209"/>
      <c r="AD245" s="31"/>
      <c r="AE245" s="206"/>
      <c r="AF245" s="146"/>
      <c r="AG245" s="146"/>
      <c r="AH245" s="146"/>
      <c r="AI245" s="146"/>
      <c r="AJ245" s="146"/>
      <c r="AK245" s="146"/>
      <c r="AL245" s="146"/>
      <c r="AM245" s="146"/>
      <c r="AN245" s="146"/>
      <c r="AO245" s="146"/>
      <c r="AP245" s="92"/>
      <c r="AQ245" s="206"/>
      <c r="AR245" s="146"/>
      <c r="AS245" s="146"/>
      <c r="AT245" s="146"/>
      <c r="AU245" s="146"/>
      <c r="AV245" s="146"/>
      <c r="AW245" s="146"/>
      <c r="AX245" s="146"/>
      <c r="AY245" s="146"/>
      <c r="AZ245" s="146"/>
      <c r="BA245" s="146"/>
      <c r="BB245" s="92"/>
      <c r="BC245" s="206"/>
      <c r="BD245" s="92"/>
    </row>
    <row r="246" spans="2:92" ht="17.100000000000001" customHeight="1">
      <c r="B246" s="212"/>
      <c r="C246" s="206"/>
      <c r="D246" s="146"/>
      <c r="E246" s="146"/>
      <c r="F246" s="146"/>
      <c r="G246" s="146"/>
      <c r="H246" s="146"/>
      <c r="I246" s="146"/>
      <c r="J246" s="146"/>
      <c r="K246" s="146"/>
      <c r="L246" s="146"/>
      <c r="M246" s="146"/>
      <c r="N246" s="92"/>
      <c r="O246" s="206"/>
      <c r="P246" s="146"/>
      <c r="Q246" s="146"/>
      <c r="R246" s="146"/>
      <c r="S246" s="146"/>
      <c r="T246" s="146"/>
      <c r="U246" s="146"/>
      <c r="V246" s="146"/>
      <c r="W246" s="146"/>
      <c r="X246" s="146"/>
      <c r="Y246" s="146"/>
      <c r="Z246" s="92"/>
      <c r="AA246" s="206"/>
      <c r="AB246" s="92"/>
      <c r="AC246" s="209"/>
      <c r="AD246" s="31"/>
      <c r="AE246" s="206"/>
      <c r="AF246" s="146"/>
      <c r="AG246" s="146"/>
      <c r="AH246" s="146"/>
      <c r="AI246" s="146"/>
      <c r="AJ246" s="146"/>
      <c r="AK246" s="146"/>
      <c r="AL246" s="146"/>
      <c r="AM246" s="146"/>
      <c r="AN246" s="146"/>
      <c r="AO246" s="146"/>
      <c r="AP246" s="92"/>
      <c r="AQ246" s="206"/>
      <c r="AR246" s="146"/>
      <c r="AS246" s="146"/>
      <c r="AT246" s="146"/>
      <c r="AU246" s="146"/>
      <c r="AV246" s="146"/>
      <c r="AW246" s="146"/>
      <c r="AX246" s="146"/>
      <c r="AY246" s="146"/>
      <c r="AZ246" s="146"/>
      <c r="BA246" s="146"/>
      <c r="BB246" s="92"/>
      <c r="BC246" s="206"/>
      <c r="BD246" s="92"/>
    </row>
    <row r="247" spans="2:92" ht="17.100000000000001" customHeight="1">
      <c r="B247" s="212"/>
      <c r="C247" s="206"/>
      <c r="D247" s="146"/>
      <c r="E247" s="146"/>
      <c r="F247" s="146"/>
      <c r="G247" s="146"/>
      <c r="H247" s="146"/>
      <c r="I247" s="146"/>
      <c r="J247" s="146"/>
      <c r="K247" s="146"/>
      <c r="L247" s="146"/>
      <c r="M247" s="146"/>
      <c r="N247" s="92"/>
      <c r="O247" s="206"/>
      <c r="P247" s="146"/>
      <c r="Q247" s="146"/>
      <c r="R247" s="146"/>
      <c r="S247" s="146"/>
      <c r="T247" s="146"/>
      <c r="U247" s="146"/>
      <c r="V247" s="146"/>
      <c r="W247" s="146"/>
      <c r="X247" s="146"/>
      <c r="Y247" s="146"/>
      <c r="Z247" s="92"/>
      <c r="AA247" s="206"/>
      <c r="AB247" s="92"/>
      <c r="AC247" s="209"/>
      <c r="AD247" s="31"/>
      <c r="AE247" s="206"/>
      <c r="AF247" s="146"/>
      <c r="AG247" s="146"/>
      <c r="AH247" s="146"/>
      <c r="AI247" s="146"/>
      <c r="AJ247" s="146"/>
      <c r="AK247" s="146"/>
      <c r="AL247" s="146"/>
      <c r="AM247" s="146"/>
      <c r="AN247" s="146"/>
      <c r="AO247" s="146"/>
      <c r="AP247" s="92"/>
      <c r="AQ247" s="206"/>
      <c r="AR247" s="146"/>
      <c r="AS247" s="146"/>
      <c r="AT247" s="146"/>
      <c r="AU247" s="146"/>
      <c r="AV247" s="146"/>
      <c r="AW247" s="146"/>
      <c r="AX247" s="146"/>
      <c r="AY247" s="146"/>
      <c r="AZ247" s="146"/>
      <c r="BA247" s="146"/>
      <c r="BB247" s="92"/>
      <c r="BC247" s="206"/>
      <c r="BD247" s="92"/>
    </row>
    <row r="248" spans="2:92" ht="17.100000000000001" customHeight="1">
      <c r="B248" s="212"/>
      <c r="C248" s="206"/>
      <c r="D248" s="146"/>
      <c r="E248" s="146"/>
      <c r="F248" s="146"/>
      <c r="G248" s="146"/>
      <c r="H248" s="146"/>
      <c r="I248" s="146"/>
      <c r="J248" s="146"/>
      <c r="K248" s="146"/>
      <c r="L248" s="146"/>
      <c r="M248" s="146"/>
      <c r="N248" s="92"/>
      <c r="O248" s="206"/>
      <c r="P248" s="146"/>
      <c r="Q248" s="146"/>
      <c r="R248" s="146"/>
      <c r="S248" s="146"/>
      <c r="T248" s="146"/>
      <c r="U248" s="146"/>
      <c r="V248" s="146"/>
      <c r="W248" s="146"/>
      <c r="X248" s="146"/>
      <c r="Y248" s="146"/>
      <c r="Z248" s="92"/>
      <c r="AA248" s="206"/>
      <c r="AB248" s="92"/>
      <c r="AC248" s="209"/>
      <c r="AD248" s="31"/>
      <c r="AE248" s="206"/>
      <c r="AF248" s="146"/>
      <c r="AG248" s="146"/>
      <c r="AH248" s="146"/>
      <c r="AI248" s="146"/>
      <c r="AJ248" s="146"/>
      <c r="AK248" s="146"/>
      <c r="AL248" s="146"/>
      <c r="AM248" s="146"/>
      <c r="AN248" s="146"/>
      <c r="AO248" s="146"/>
      <c r="AP248" s="92"/>
      <c r="AQ248" s="206"/>
      <c r="AR248" s="146"/>
      <c r="AS248" s="146"/>
      <c r="AT248" s="146"/>
      <c r="AU248" s="146"/>
      <c r="AV248" s="146"/>
      <c r="AW248" s="146"/>
      <c r="AX248" s="146"/>
      <c r="AY248" s="146"/>
      <c r="AZ248" s="146"/>
      <c r="BA248" s="146"/>
      <c r="BB248" s="92"/>
      <c r="BC248" s="206"/>
      <c r="BD248" s="92"/>
    </row>
    <row r="249" spans="2:92" ht="17.100000000000001" customHeight="1">
      <c r="B249" s="212"/>
      <c r="C249" s="206"/>
      <c r="D249" s="146"/>
      <c r="E249" s="146"/>
      <c r="F249" s="146"/>
      <c r="G249" s="146"/>
      <c r="H249" s="146"/>
      <c r="I249" s="146"/>
      <c r="J249" s="146"/>
      <c r="K249" s="146"/>
      <c r="L249" s="146"/>
      <c r="M249" s="146"/>
      <c r="N249" s="92"/>
      <c r="O249" s="206"/>
      <c r="P249" s="146"/>
      <c r="Q249" s="146"/>
      <c r="R249" s="146"/>
      <c r="S249" s="146"/>
      <c r="T249" s="146"/>
      <c r="U249" s="146"/>
      <c r="V249" s="146"/>
      <c r="W249" s="146"/>
      <c r="X249" s="146"/>
      <c r="Y249" s="146"/>
      <c r="Z249" s="92"/>
      <c r="AA249" s="206"/>
      <c r="AB249" s="92"/>
      <c r="AC249" s="209"/>
      <c r="AD249" s="31"/>
      <c r="AE249" s="206"/>
      <c r="AF249" s="146"/>
      <c r="AG249" s="146"/>
      <c r="AH249" s="146"/>
      <c r="AI249" s="146"/>
      <c r="AJ249" s="146"/>
      <c r="AK249" s="146"/>
      <c r="AL249" s="146"/>
      <c r="AM249" s="146"/>
      <c r="AN249" s="146"/>
      <c r="AO249" s="146"/>
      <c r="AP249" s="92"/>
      <c r="AQ249" s="206"/>
      <c r="AR249" s="146"/>
      <c r="AS249" s="146"/>
      <c r="AT249" s="146"/>
      <c r="AU249" s="146"/>
      <c r="AV249" s="146"/>
      <c r="AW249" s="146"/>
      <c r="AX249" s="146"/>
      <c r="AY249" s="146"/>
      <c r="AZ249" s="146"/>
      <c r="BA249" s="146"/>
      <c r="BB249" s="92"/>
      <c r="BC249" s="206"/>
      <c r="BD249" s="92"/>
    </row>
    <row r="250" spans="2:92" ht="17.100000000000001" customHeight="1">
      <c r="B250" s="212"/>
      <c r="C250" s="206"/>
      <c r="D250" s="146"/>
      <c r="E250" s="146"/>
      <c r="F250" s="146"/>
      <c r="G250" s="146"/>
      <c r="H250" s="146"/>
      <c r="I250" s="146"/>
      <c r="J250" s="146"/>
      <c r="K250" s="146"/>
      <c r="L250" s="146"/>
      <c r="M250" s="146"/>
      <c r="N250" s="92"/>
      <c r="O250" s="206"/>
      <c r="P250" s="146"/>
      <c r="Q250" s="146"/>
      <c r="R250" s="146"/>
      <c r="S250" s="146"/>
      <c r="T250" s="146"/>
      <c r="U250" s="146"/>
      <c r="V250" s="146"/>
      <c r="W250" s="146"/>
      <c r="X250" s="146"/>
      <c r="Y250" s="146"/>
      <c r="Z250" s="92"/>
      <c r="AA250" s="206"/>
      <c r="AB250" s="92"/>
      <c r="AC250" s="92"/>
      <c r="AD250" s="31"/>
      <c r="AE250" s="206"/>
      <c r="AF250" s="146"/>
      <c r="AG250" s="146"/>
      <c r="AH250" s="146"/>
      <c r="AI250" s="146"/>
      <c r="AJ250" s="146"/>
      <c r="AK250" s="146"/>
      <c r="AL250" s="146"/>
      <c r="AM250" s="146"/>
      <c r="AN250" s="146"/>
      <c r="AO250" s="146"/>
      <c r="AP250" s="92"/>
      <c r="AQ250" s="206"/>
      <c r="AR250" s="146"/>
      <c r="AS250" s="146"/>
      <c r="AT250" s="146"/>
      <c r="AU250" s="146"/>
      <c r="AV250" s="146"/>
      <c r="AW250" s="146"/>
      <c r="AX250" s="146"/>
      <c r="AY250" s="146"/>
      <c r="AZ250" s="146"/>
      <c r="BA250" s="146"/>
      <c r="BB250" s="92"/>
      <c r="BC250" s="206"/>
      <c r="BD250" s="92"/>
    </row>
    <row r="251" spans="2:92" ht="17.100000000000001" customHeight="1">
      <c r="B251" s="212"/>
      <c r="C251" s="91"/>
      <c r="D251" s="92"/>
      <c r="E251" s="92"/>
      <c r="F251" s="92"/>
      <c r="G251" s="92"/>
      <c r="H251" s="92"/>
      <c r="I251" s="92"/>
      <c r="J251" s="92"/>
      <c r="K251" s="92"/>
      <c r="L251" s="92"/>
      <c r="M251" s="92"/>
      <c r="N251" s="92"/>
      <c r="O251" s="91"/>
      <c r="P251" s="92"/>
      <c r="Q251" s="92"/>
      <c r="R251" s="92"/>
      <c r="S251" s="92"/>
      <c r="T251" s="92"/>
      <c r="U251" s="92"/>
      <c r="V251" s="92"/>
      <c r="W251" s="92"/>
      <c r="X251" s="92"/>
      <c r="Y251" s="92"/>
      <c r="Z251" s="92"/>
      <c r="AA251" s="91"/>
      <c r="AB251" s="92"/>
      <c r="AC251" s="90"/>
      <c r="AD251" s="210"/>
      <c r="AE251" s="211"/>
      <c r="AF251" s="202"/>
      <c r="AG251" s="202"/>
      <c r="AH251" s="202"/>
      <c r="AI251" s="202"/>
      <c r="AJ251" s="202"/>
      <c r="AK251" s="202"/>
      <c r="AL251" s="202"/>
      <c r="AM251" s="202"/>
      <c r="AN251" s="202"/>
      <c r="AO251" s="202"/>
      <c r="AP251" s="202"/>
      <c r="AQ251" s="211"/>
      <c r="AR251" s="202"/>
      <c r="AS251" s="202"/>
      <c r="AT251" s="202"/>
      <c r="AU251" s="202"/>
      <c r="AV251" s="202"/>
      <c r="AW251" s="202"/>
      <c r="AX251" s="202"/>
      <c r="AY251" s="202"/>
      <c r="AZ251" s="202"/>
      <c r="BA251" s="202"/>
      <c r="BB251" s="202"/>
      <c r="BC251" s="211"/>
      <c r="BD251" s="202"/>
    </row>
    <row r="252" spans="2:92" ht="18.899999999999999" customHeight="1">
      <c r="B252" s="212"/>
      <c r="C252" s="91"/>
      <c r="D252" s="92"/>
      <c r="E252" s="92"/>
      <c r="F252" s="92"/>
      <c r="G252" s="92"/>
      <c r="H252" s="92"/>
      <c r="I252" s="92"/>
      <c r="J252" s="92"/>
      <c r="K252" s="92"/>
      <c r="L252" s="92"/>
      <c r="M252" s="92"/>
      <c r="N252" s="92"/>
      <c r="O252" s="91"/>
      <c r="P252" s="92"/>
      <c r="Q252" s="92"/>
      <c r="R252" s="92"/>
      <c r="S252" s="92"/>
      <c r="T252" s="92"/>
      <c r="U252" s="92"/>
      <c r="V252" s="92"/>
      <c r="W252" s="92"/>
      <c r="X252" s="92"/>
      <c r="Y252" s="92"/>
      <c r="Z252" s="92"/>
      <c r="AA252" s="91"/>
      <c r="AB252" s="93"/>
      <c r="AC252" s="93"/>
      <c r="AD252" s="90"/>
      <c r="AE252" s="91"/>
      <c r="AF252" s="92"/>
      <c r="AG252" s="92"/>
      <c r="AH252" s="92"/>
      <c r="AI252" s="92"/>
      <c r="AJ252" s="92"/>
      <c r="AK252" s="92"/>
      <c r="AL252" s="92"/>
      <c r="AM252" s="92"/>
      <c r="AN252" s="92"/>
      <c r="AO252" s="92"/>
      <c r="AP252" s="92"/>
      <c r="AQ252" s="91"/>
      <c r="AR252" s="92"/>
      <c r="AS252" s="92"/>
      <c r="AT252" s="92"/>
      <c r="AU252" s="92"/>
      <c r="AV252" s="92"/>
      <c r="AW252" s="92"/>
      <c r="AX252" s="92"/>
      <c r="AY252" s="92"/>
      <c r="AZ252" s="92"/>
      <c r="BA252" s="92"/>
      <c r="BB252" s="92"/>
      <c r="BC252" s="91"/>
      <c r="BD252" s="93"/>
    </row>
    <row r="253" spans="2:92" ht="18.899999999999999" customHeight="1">
      <c r="B253" s="90"/>
      <c r="C253" s="91"/>
      <c r="D253" s="92"/>
      <c r="E253" s="92"/>
      <c r="F253" s="92"/>
      <c r="G253" s="92"/>
      <c r="H253" s="92"/>
      <c r="I253" s="92"/>
      <c r="J253" s="92"/>
      <c r="K253" s="92"/>
      <c r="L253" s="92"/>
      <c r="M253" s="92"/>
      <c r="N253" s="92"/>
      <c r="O253" s="91"/>
      <c r="P253" s="92"/>
      <c r="Q253" s="92"/>
      <c r="R253" s="92"/>
      <c r="S253" s="92"/>
      <c r="T253" s="92"/>
      <c r="U253" s="92"/>
      <c r="V253" s="92"/>
      <c r="W253" s="92"/>
      <c r="X253" s="92"/>
      <c r="Y253" s="92"/>
      <c r="Z253" s="92"/>
      <c r="AA253" s="91"/>
      <c r="AB253" s="93"/>
      <c r="AC253" s="93"/>
      <c r="AD253" s="90"/>
      <c r="AE253" s="91"/>
      <c r="AF253" s="92"/>
      <c r="AG253" s="92"/>
      <c r="AH253" s="92"/>
      <c r="AI253" s="92"/>
      <c r="AJ253" s="92"/>
      <c r="AK253" s="92"/>
      <c r="AL253" s="92"/>
      <c r="AM253" s="92"/>
      <c r="AN253" s="92"/>
      <c r="AO253" s="92"/>
      <c r="AP253" s="92"/>
      <c r="AQ253" s="91"/>
      <c r="AR253" s="92"/>
      <c r="AS253" s="92"/>
      <c r="AT253" s="92"/>
      <c r="AU253" s="92"/>
      <c r="AV253" s="92"/>
      <c r="AW253" s="92"/>
      <c r="AX253" s="92"/>
      <c r="AY253" s="92"/>
      <c r="AZ253" s="92"/>
      <c r="BA253" s="92"/>
      <c r="BB253" s="92"/>
      <c r="BC253" s="91"/>
      <c r="BD253" s="93"/>
    </row>
    <row r="254" spans="2:92" ht="24.9" customHeight="1">
      <c r="B254" s="563"/>
      <c r="C254" s="563"/>
      <c r="D254" s="563"/>
      <c r="E254" s="563"/>
      <c r="F254" s="563"/>
      <c r="G254" s="563"/>
      <c r="H254" s="563"/>
      <c r="I254" s="563"/>
      <c r="J254" s="563"/>
      <c r="K254" s="563"/>
      <c r="L254" s="563"/>
      <c r="M254" s="563"/>
      <c r="N254" s="563"/>
      <c r="O254" s="563"/>
      <c r="P254" s="563"/>
      <c r="Q254" s="563"/>
      <c r="R254" s="563"/>
      <c r="S254" s="563"/>
      <c r="T254" s="563"/>
      <c r="U254" s="563"/>
      <c r="V254" s="563"/>
      <c r="W254" s="563"/>
      <c r="X254" s="563"/>
      <c r="Y254" s="563"/>
      <c r="Z254" s="563"/>
      <c r="AA254" s="563"/>
      <c r="AB254" s="563"/>
      <c r="AC254" s="94"/>
      <c r="AD254" s="563"/>
      <c r="AE254" s="563"/>
      <c r="AF254" s="563"/>
      <c r="AG254" s="563"/>
      <c r="AH254" s="563"/>
      <c r="AI254" s="563"/>
      <c r="AJ254" s="563"/>
      <c r="AK254" s="563"/>
      <c r="AL254" s="563"/>
      <c r="AM254" s="563"/>
      <c r="AN254" s="563"/>
      <c r="AO254" s="563"/>
      <c r="AP254" s="563"/>
      <c r="AQ254" s="563"/>
      <c r="AR254" s="563"/>
      <c r="AS254" s="563"/>
      <c r="AT254" s="563"/>
      <c r="AU254" s="563"/>
      <c r="AV254" s="563"/>
      <c r="AW254" s="563"/>
      <c r="AX254" s="563"/>
      <c r="AY254" s="563"/>
      <c r="AZ254" s="563"/>
      <c r="BA254" s="563"/>
      <c r="BB254" s="563"/>
      <c r="BC254" s="563"/>
      <c r="BD254" s="563"/>
    </row>
    <row r="255" spans="2:92" ht="24.9" customHeight="1">
      <c r="B255" s="563"/>
      <c r="C255" s="563"/>
      <c r="D255" s="563"/>
      <c r="E255" s="563"/>
      <c r="F255" s="563"/>
      <c r="G255" s="563"/>
      <c r="H255" s="563"/>
      <c r="I255" s="563"/>
      <c r="J255" s="563"/>
      <c r="K255" s="563"/>
      <c r="L255" s="563"/>
      <c r="M255" s="563"/>
      <c r="N255" s="563"/>
      <c r="O255" s="563"/>
      <c r="P255" s="563"/>
      <c r="Q255" s="563"/>
      <c r="R255" s="563"/>
      <c r="S255" s="563"/>
      <c r="T255" s="563"/>
      <c r="U255" s="563"/>
      <c r="V255" s="563"/>
      <c r="W255" s="563"/>
      <c r="X255" s="563"/>
      <c r="Y255" s="563"/>
      <c r="Z255" s="563"/>
      <c r="AA255" s="563"/>
      <c r="AB255" s="563"/>
      <c r="AC255" s="94"/>
      <c r="AD255" s="563"/>
      <c r="AE255" s="563"/>
      <c r="AF255" s="563"/>
      <c r="AG255" s="563"/>
      <c r="AH255" s="563"/>
      <c r="AI255" s="563"/>
      <c r="AJ255" s="563"/>
      <c r="AK255" s="563"/>
      <c r="AL255" s="563"/>
      <c r="AM255" s="563"/>
      <c r="AN255" s="563"/>
      <c r="AO255" s="563"/>
      <c r="AP255" s="563"/>
      <c r="AQ255" s="563"/>
      <c r="AR255" s="563"/>
      <c r="AS255" s="563"/>
      <c r="AT255" s="563"/>
      <c r="AU255" s="563"/>
      <c r="AV255" s="563"/>
      <c r="AW255" s="563"/>
      <c r="AX255" s="563"/>
      <c r="AY255" s="563"/>
      <c r="AZ255" s="563"/>
      <c r="BA255" s="563"/>
      <c r="BB255" s="563"/>
      <c r="BC255" s="563"/>
      <c r="BD255" s="563"/>
    </row>
    <row r="256" spans="2:92" s="107" customFormat="1" ht="9.9" customHeight="1">
      <c r="C256" s="108"/>
      <c r="D256" s="109"/>
      <c r="G256" s="108"/>
      <c r="H256" s="108"/>
      <c r="I256" s="108"/>
      <c r="J256" s="108"/>
      <c r="K256" s="108"/>
      <c r="L256" s="108"/>
      <c r="M256" s="108"/>
      <c r="N256" s="108"/>
      <c r="O256" s="108"/>
      <c r="S256" s="108"/>
      <c r="T256" s="108"/>
      <c r="U256" s="108"/>
      <c r="V256" s="108"/>
      <c r="W256" s="108"/>
      <c r="X256" s="108"/>
      <c r="Y256" s="108"/>
      <c r="Z256" s="108"/>
      <c r="AA256" s="108"/>
      <c r="AB256" s="108"/>
      <c r="AC256" s="108"/>
      <c r="AE256" s="108"/>
      <c r="AF256" s="109"/>
      <c r="AI256" s="108"/>
      <c r="AJ256" s="108"/>
      <c r="AK256" s="108"/>
      <c r="AL256" s="108"/>
      <c r="AM256" s="108"/>
      <c r="AN256" s="108"/>
      <c r="AO256" s="108"/>
      <c r="AP256" s="108"/>
      <c r="AQ256" s="108"/>
      <c r="AU256" s="108"/>
      <c r="AV256" s="108"/>
      <c r="AW256" s="108"/>
      <c r="AX256" s="108"/>
      <c r="AY256" s="108"/>
      <c r="AZ256" s="108"/>
      <c r="BA256" s="108"/>
      <c r="BB256" s="108"/>
      <c r="BC256" s="108"/>
      <c r="BD256" s="108"/>
      <c r="BG256" s="111"/>
      <c r="BH256" s="111"/>
      <c r="BI256" s="111"/>
      <c r="CH256" s="108"/>
      <c r="CI256" s="108"/>
      <c r="CJ256" s="108"/>
      <c r="CK256" s="108"/>
      <c r="CL256" s="108"/>
      <c r="CM256" s="108"/>
      <c r="CN256" s="108"/>
    </row>
    <row r="257" spans="2:56" ht="20.100000000000001" customHeight="1">
      <c r="B257" s="562"/>
      <c r="D257" s="564"/>
      <c r="E257" s="564"/>
      <c r="F257" s="564"/>
      <c r="G257" s="564"/>
      <c r="H257" s="564"/>
      <c r="I257" s="564"/>
      <c r="J257" s="564"/>
      <c r="K257" s="564"/>
      <c r="L257" s="564"/>
      <c r="M257" s="564"/>
      <c r="N257" s="564"/>
      <c r="P257" s="564"/>
      <c r="Q257" s="564"/>
      <c r="R257" s="564"/>
      <c r="S257" s="564"/>
      <c r="T257" s="564"/>
      <c r="U257" s="564"/>
      <c r="V257" s="564"/>
      <c r="W257" s="564"/>
      <c r="X257" s="564"/>
      <c r="Y257" s="564"/>
      <c r="Z257" s="564"/>
      <c r="AB257" s="565"/>
      <c r="AC257" s="201"/>
      <c r="AD257" s="562"/>
      <c r="AE257" s="85"/>
      <c r="AF257" s="564"/>
      <c r="AG257" s="564"/>
      <c r="AH257" s="564"/>
      <c r="AI257" s="564"/>
      <c r="AJ257" s="564"/>
      <c r="AK257" s="564"/>
      <c r="AL257" s="564"/>
      <c r="AM257" s="564"/>
      <c r="AN257" s="564"/>
      <c r="AO257" s="564"/>
      <c r="AP257" s="564"/>
      <c r="AQ257" s="85"/>
      <c r="AR257" s="564"/>
      <c r="AS257" s="564"/>
      <c r="AT257" s="564"/>
      <c r="AU257" s="564"/>
      <c r="AV257" s="564"/>
      <c r="AW257" s="564"/>
      <c r="AX257" s="564"/>
      <c r="AY257" s="564"/>
      <c r="AZ257" s="564"/>
      <c r="BA257" s="564"/>
      <c r="BB257" s="564"/>
      <c r="BC257" s="85"/>
      <c r="BD257" s="565"/>
    </row>
    <row r="258" spans="2:56" ht="18" customHeight="1">
      <c r="B258" s="562"/>
      <c r="D258" s="566"/>
      <c r="E258" s="566"/>
      <c r="F258" s="566"/>
      <c r="G258" s="566"/>
      <c r="H258" s="566"/>
      <c r="I258" s="566"/>
      <c r="J258" s="566"/>
      <c r="K258" s="566"/>
      <c r="L258" s="566"/>
      <c r="M258" s="566"/>
      <c r="N258" s="565"/>
      <c r="P258" s="566"/>
      <c r="Q258" s="566"/>
      <c r="R258" s="566"/>
      <c r="S258" s="566"/>
      <c r="T258" s="566"/>
      <c r="U258" s="566"/>
      <c r="V258" s="566"/>
      <c r="W258" s="566"/>
      <c r="X258" s="566"/>
      <c r="Y258" s="566"/>
      <c r="Z258" s="565"/>
      <c r="AB258" s="565"/>
      <c r="AC258" s="201"/>
      <c r="AD258" s="562"/>
      <c r="AE258" s="85"/>
      <c r="AF258" s="566"/>
      <c r="AG258" s="566"/>
      <c r="AH258" s="566"/>
      <c r="AI258" s="566"/>
      <c r="AJ258" s="566"/>
      <c r="AK258" s="566"/>
      <c r="AL258" s="566"/>
      <c r="AM258" s="566"/>
      <c r="AN258" s="566"/>
      <c r="AO258" s="566"/>
      <c r="AP258" s="565"/>
      <c r="AQ258" s="85"/>
      <c r="AR258" s="566"/>
      <c r="AS258" s="566"/>
      <c r="AT258" s="566"/>
      <c r="AU258" s="566"/>
      <c r="AV258" s="566"/>
      <c r="AW258" s="566"/>
      <c r="AX258" s="566"/>
      <c r="AY258" s="566"/>
      <c r="AZ258" s="566"/>
      <c r="BA258" s="566"/>
      <c r="BB258" s="565"/>
      <c r="BC258" s="85"/>
      <c r="BD258" s="565"/>
    </row>
    <row r="259" spans="2:56" ht="15" customHeight="1">
      <c r="B259" s="562"/>
      <c r="C259" s="204"/>
      <c r="D259" s="128"/>
      <c r="E259" s="128"/>
      <c r="F259" s="128"/>
      <c r="G259" s="128"/>
      <c r="H259" s="128"/>
      <c r="I259" s="128"/>
      <c r="J259" s="128"/>
      <c r="K259" s="128"/>
      <c r="L259" s="128"/>
      <c r="M259" s="128"/>
      <c r="N259" s="565"/>
      <c r="O259" s="204"/>
      <c r="P259" s="128"/>
      <c r="Q259" s="128"/>
      <c r="R259" s="128"/>
      <c r="S259" s="128"/>
      <c r="T259" s="128"/>
      <c r="U259" s="128"/>
      <c r="V259" s="128"/>
      <c r="W259" s="128"/>
      <c r="X259" s="128"/>
      <c r="Y259" s="128"/>
      <c r="Z259" s="565"/>
      <c r="AA259" s="204"/>
      <c r="AB259" s="565"/>
      <c r="AC259" s="201"/>
      <c r="AD259" s="562"/>
      <c r="AE259" s="204"/>
      <c r="AF259" s="128"/>
      <c r="AG259" s="128"/>
      <c r="AH259" s="128"/>
      <c r="AI259" s="128"/>
      <c r="AJ259" s="128"/>
      <c r="AK259" s="128"/>
      <c r="AL259" s="128"/>
      <c r="AM259" s="128"/>
      <c r="AN259" s="128"/>
      <c r="AO259" s="128"/>
      <c r="AP259" s="565"/>
      <c r="AQ259" s="204"/>
      <c r="AR259" s="128"/>
      <c r="AS259" s="128"/>
      <c r="AT259" s="128"/>
      <c r="AU259" s="128"/>
      <c r="AV259" s="128"/>
      <c r="AW259" s="128"/>
      <c r="AX259" s="128"/>
      <c r="AY259" s="128"/>
      <c r="AZ259" s="128"/>
      <c r="BA259" s="128"/>
      <c r="BB259" s="565"/>
      <c r="BC259" s="204"/>
      <c r="BD259" s="565"/>
    </row>
    <row r="260" spans="2:56" ht="110.1" customHeight="1">
      <c r="B260" s="562"/>
      <c r="C260" s="204"/>
      <c r="D260" s="129"/>
      <c r="E260" s="129"/>
      <c r="F260" s="129"/>
      <c r="G260" s="129"/>
      <c r="H260" s="129"/>
      <c r="I260" s="129"/>
      <c r="J260" s="129"/>
      <c r="K260" s="129"/>
      <c r="L260" s="129"/>
      <c r="M260" s="129"/>
      <c r="N260" s="565"/>
      <c r="O260" s="204"/>
      <c r="P260" s="129"/>
      <c r="Q260" s="129"/>
      <c r="R260" s="129"/>
      <c r="S260" s="129"/>
      <c r="T260" s="129"/>
      <c r="U260" s="129"/>
      <c r="V260" s="129"/>
      <c r="W260" s="129"/>
      <c r="X260" s="129"/>
      <c r="Y260" s="129"/>
      <c r="Z260" s="565"/>
      <c r="AA260" s="204"/>
      <c r="AB260" s="565"/>
      <c r="AC260" s="201"/>
      <c r="AD260" s="562"/>
      <c r="AE260" s="204"/>
      <c r="AF260" s="129"/>
      <c r="AG260" s="129"/>
      <c r="AH260" s="129"/>
      <c r="AI260" s="129"/>
      <c r="AJ260" s="129"/>
      <c r="AK260" s="129"/>
      <c r="AL260" s="129"/>
      <c r="AM260" s="129"/>
      <c r="AN260" s="129"/>
      <c r="AO260" s="129"/>
      <c r="AP260" s="565"/>
      <c r="AQ260" s="204"/>
      <c r="AR260" s="129"/>
      <c r="AS260" s="129"/>
      <c r="AT260" s="129"/>
      <c r="AU260" s="129"/>
      <c r="AV260" s="129"/>
      <c r="AW260" s="129"/>
      <c r="AX260" s="129"/>
      <c r="AY260" s="129"/>
      <c r="AZ260" s="129"/>
      <c r="BA260" s="129"/>
      <c r="BB260" s="565"/>
      <c r="BC260" s="204"/>
      <c r="BD260" s="565"/>
    </row>
    <row r="261" spans="2:56" ht="3.9" customHeight="1">
      <c r="B261" s="205"/>
      <c r="C261" s="204"/>
      <c r="D261" s="132"/>
      <c r="E261" s="132"/>
      <c r="F261" s="132"/>
      <c r="G261" s="132"/>
      <c r="H261" s="132"/>
      <c r="I261" s="132"/>
      <c r="J261" s="132"/>
      <c r="K261" s="132"/>
      <c r="L261" s="132"/>
      <c r="M261" s="132"/>
      <c r="N261" s="201"/>
      <c r="O261" s="204"/>
      <c r="P261" s="129"/>
      <c r="Q261" s="129"/>
      <c r="R261" s="129"/>
      <c r="S261" s="129"/>
      <c r="T261" s="129"/>
      <c r="U261" s="129"/>
      <c r="V261" s="129"/>
      <c r="W261" s="129"/>
      <c r="X261" s="129"/>
      <c r="Y261" s="129"/>
      <c r="Z261" s="201"/>
      <c r="AA261" s="204"/>
      <c r="AB261" s="201"/>
      <c r="AC261" s="201"/>
      <c r="AD261" s="205"/>
      <c r="AE261" s="204"/>
      <c r="AF261" s="129"/>
      <c r="AG261" s="129"/>
      <c r="AH261" s="129"/>
      <c r="AI261" s="129"/>
      <c r="AJ261" s="129"/>
      <c r="AK261" s="129"/>
      <c r="AL261" s="129"/>
      <c r="AM261" s="129"/>
      <c r="AN261" s="129"/>
      <c r="AO261" s="129"/>
      <c r="AP261" s="201"/>
      <c r="AQ261" s="204"/>
      <c r="AR261" s="129"/>
      <c r="AS261" s="129"/>
      <c r="AT261" s="129"/>
      <c r="AU261" s="129"/>
      <c r="AV261" s="129"/>
      <c r="AW261" s="129"/>
      <c r="AX261" s="129"/>
      <c r="AY261" s="129"/>
      <c r="AZ261" s="129"/>
      <c r="BA261" s="129"/>
      <c r="BB261" s="201"/>
      <c r="BC261" s="204"/>
      <c r="BD261" s="201"/>
    </row>
    <row r="262" spans="2:56" ht="17.100000000000001" customHeight="1">
      <c r="B262" s="31"/>
      <c r="C262" s="206"/>
      <c r="D262" s="146"/>
      <c r="E262" s="146"/>
      <c r="F262" s="146"/>
      <c r="G262" s="146"/>
      <c r="H262" s="146"/>
      <c r="I262" s="146"/>
      <c r="J262" s="146"/>
      <c r="K262" s="146"/>
      <c r="L262" s="146"/>
      <c r="M262" s="146"/>
      <c r="N262" s="92"/>
      <c r="O262" s="206"/>
      <c r="P262" s="146"/>
      <c r="Q262" s="146"/>
      <c r="R262" s="146"/>
      <c r="S262" s="146"/>
      <c r="T262" s="146"/>
      <c r="U262" s="146"/>
      <c r="V262" s="146"/>
      <c r="W262" s="146"/>
      <c r="X262" s="146"/>
      <c r="Y262" s="146"/>
      <c r="Z262" s="92"/>
      <c r="AA262" s="206"/>
      <c r="AB262" s="92"/>
      <c r="AC262" s="92"/>
      <c r="AD262" s="31"/>
      <c r="AE262" s="206"/>
      <c r="AF262" s="146"/>
      <c r="AG262" s="146"/>
      <c r="AH262" s="146"/>
      <c r="AI262" s="146"/>
      <c r="AJ262" s="146"/>
      <c r="AK262" s="146"/>
      <c r="AL262" s="146"/>
      <c r="AM262" s="146"/>
      <c r="AN262" s="146"/>
      <c r="AO262" s="146"/>
      <c r="AP262" s="92"/>
      <c r="AQ262" s="206"/>
      <c r="AR262" s="146"/>
      <c r="AS262" s="146"/>
      <c r="AT262" s="146"/>
      <c r="AU262" s="146"/>
      <c r="AV262" s="146"/>
      <c r="AW262" s="146"/>
      <c r="AX262" s="146"/>
      <c r="AY262" s="146"/>
      <c r="AZ262" s="146"/>
      <c r="BA262" s="146"/>
      <c r="BB262" s="92"/>
      <c r="BC262" s="206"/>
      <c r="BD262" s="92"/>
    </row>
    <row r="263" spans="2:56" ht="17.100000000000001" customHeight="1">
      <c r="B263" s="31"/>
      <c r="C263" s="206"/>
      <c r="D263" s="146"/>
      <c r="E263" s="146"/>
      <c r="F263" s="146"/>
      <c r="G263" s="146"/>
      <c r="H263" s="146"/>
      <c r="I263" s="146"/>
      <c r="J263" s="146"/>
      <c r="K263" s="146"/>
      <c r="L263" s="146"/>
      <c r="M263" s="146"/>
      <c r="N263" s="92"/>
      <c r="O263" s="206"/>
      <c r="P263" s="146"/>
      <c r="Q263" s="146"/>
      <c r="R263" s="146"/>
      <c r="S263" s="146"/>
      <c r="T263" s="146"/>
      <c r="U263" s="146"/>
      <c r="V263" s="146"/>
      <c r="W263" s="146"/>
      <c r="X263" s="146"/>
      <c r="Y263" s="146"/>
      <c r="Z263" s="92"/>
      <c r="AA263" s="206"/>
      <c r="AB263" s="92"/>
      <c r="AC263" s="92"/>
      <c r="AD263" s="31"/>
      <c r="AE263" s="206"/>
      <c r="AF263" s="146"/>
      <c r="AG263" s="146"/>
      <c r="AH263" s="146"/>
      <c r="AI263" s="146"/>
      <c r="AJ263" s="146"/>
      <c r="AK263" s="146"/>
      <c r="AL263" s="146"/>
      <c r="AM263" s="146"/>
      <c r="AN263" s="146"/>
      <c r="AO263" s="146"/>
      <c r="AP263" s="92"/>
      <c r="AQ263" s="206"/>
      <c r="AR263" s="146"/>
      <c r="AS263" s="146"/>
      <c r="AT263" s="146"/>
      <c r="AU263" s="146"/>
      <c r="AV263" s="146"/>
      <c r="AW263" s="146"/>
      <c r="AX263" s="146"/>
      <c r="AY263" s="146"/>
      <c r="AZ263" s="146"/>
      <c r="BA263" s="146"/>
      <c r="BB263" s="92"/>
      <c r="BC263" s="206"/>
      <c r="BD263" s="92"/>
    </row>
    <row r="264" spans="2:56" ht="17.100000000000001" customHeight="1">
      <c r="B264" s="31"/>
      <c r="C264" s="206"/>
      <c r="D264" s="146"/>
      <c r="E264" s="146"/>
      <c r="F264" s="146"/>
      <c r="G264" s="146"/>
      <c r="H264" s="146"/>
      <c r="I264" s="146"/>
      <c r="J264" s="146"/>
      <c r="K264" s="146"/>
      <c r="L264" s="146"/>
      <c r="M264" s="146"/>
      <c r="N264" s="92"/>
      <c r="O264" s="206"/>
      <c r="P264" s="146"/>
      <c r="Q264" s="146"/>
      <c r="R264" s="146"/>
      <c r="S264" s="146"/>
      <c r="T264" s="146"/>
      <c r="U264" s="146"/>
      <c r="V264" s="146"/>
      <c r="W264" s="146"/>
      <c r="X264" s="146"/>
      <c r="Y264" s="146"/>
      <c r="Z264" s="92"/>
      <c r="AA264" s="206"/>
      <c r="AB264" s="92"/>
      <c r="AC264" s="92"/>
      <c r="AD264" s="31"/>
      <c r="AE264" s="206"/>
      <c r="AF264" s="146"/>
      <c r="AG264" s="146"/>
      <c r="AH264" s="146"/>
      <c r="AI264" s="146"/>
      <c r="AJ264" s="146"/>
      <c r="AK264" s="146"/>
      <c r="AL264" s="146"/>
      <c r="AM264" s="146"/>
      <c r="AN264" s="146"/>
      <c r="AO264" s="146"/>
      <c r="AP264" s="92"/>
      <c r="AQ264" s="206"/>
      <c r="AR264" s="146"/>
      <c r="AS264" s="146"/>
      <c r="AT264" s="146"/>
      <c r="AU264" s="146"/>
      <c r="AV264" s="146"/>
      <c r="AW264" s="146"/>
      <c r="AX264" s="146"/>
      <c r="AY264" s="146"/>
      <c r="AZ264" s="146"/>
      <c r="BA264" s="146"/>
      <c r="BB264" s="92"/>
      <c r="BC264" s="206"/>
      <c r="BD264" s="92"/>
    </row>
    <row r="265" spans="2:56" ht="17.100000000000001" customHeight="1">
      <c r="B265" s="31"/>
      <c r="C265" s="206"/>
      <c r="D265" s="146"/>
      <c r="E265" s="146"/>
      <c r="F265" s="146"/>
      <c r="G265" s="146"/>
      <c r="H265" s="146"/>
      <c r="I265" s="146"/>
      <c r="J265" s="146"/>
      <c r="K265" s="146"/>
      <c r="L265" s="146"/>
      <c r="M265" s="146"/>
      <c r="N265" s="92"/>
      <c r="O265" s="206"/>
      <c r="P265" s="146"/>
      <c r="Q265" s="146"/>
      <c r="R265" s="146"/>
      <c r="S265" s="146"/>
      <c r="T265" s="146"/>
      <c r="U265" s="146"/>
      <c r="V265" s="146"/>
      <c r="W265" s="146"/>
      <c r="X265" s="146"/>
      <c r="Y265" s="146"/>
      <c r="Z265" s="92"/>
      <c r="AA265" s="206"/>
      <c r="AB265" s="92"/>
      <c r="AC265" s="92"/>
      <c r="AD265" s="31"/>
      <c r="AE265" s="206"/>
      <c r="AF265" s="146"/>
      <c r="AG265" s="146"/>
      <c r="AH265" s="146"/>
      <c r="AI265" s="146"/>
      <c r="AJ265" s="146"/>
      <c r="AK265" s="146"/>
      <c r="AL265" s="146"/>
      <c r="AM265" s="146"/>
      <c r="AN265" s="146"/>
      <c r="AO265" s="146"/>
      <c r="AP265" s="92"/>
      <c r="AQ265" s="206"/>
      <c r="AR265" s="146"/>
      <c r="AS265" s="146"/>
      <c r="AT265" s="146"/>
      <c r="AU265" s="146"/>
      <c r="AV265" s="146"/>
      <c r="AW265" s="146"/>
      <c r="AX265" s="146"/>
      <c r="AY265" s="146"/>
      <c r="AZ265" s="146"/>
      <c r="BA265" s="146"/>
      <c r="BB265" s="92"/>
      <c r="BC265" s="206"/>
      <c r="BD265" s="92"/>
    </row>
    <row r="266" spans="2:56" ht="17.100000000000001" customHeight="1">
      <c r="B266" s="31"/>
      <c r="C266" s="206"/>
      <c r="D266" s="146"/>
      <c r="E266" s="146"/>
      <c r="F266" s="146"/>
      <c r="G266" s="146"/>
      <c r="H266" s="146"/>
      <c r="I266" s="146"/>
      <c r="J266" s="146"/>
      <c r="K266" s="146"/>
      <c r="L266" s="146"/>
      <c r="M266" s="146"/>
      <c r="N266" s="92"/>
      <c r="O266" s="206"/>
      <c r="P266" s="146"/>
      <c r="Q266" s="146"/>
      <c r="R266" s="146"/>
      <c r="S266" s="146"/>
      <c r="T266" s="146"/>
      <c r="U266" s="146"/>
      <c r="V266" s="146"/>
      <c r="W266" s="146"/>
      <c r="X266" s="146"/>
      <c r="Y266" s="146"/>
      <c r="Z266" s="92"/>
      <c r="AA266" s="206"/>
      <c r="AB266" s="92"/>
      <c r="AC266" s="92"/>
      <c r="AD266" s="31"/>
      <c r="AE266" s="206"/>
      <c r="AF266" s="146"/>
      <c r="AG266" s="146"/>
      <c r="AH266" s="146"/>
      <c r="AI266" s="146"/>
      <c r="AJ266" s="146"/>
      <c r="AK266" s="146"/>
      <c r="AL266" s="146"/>
      <c r="AM266" s="146"/>
      <c r="AN266" s="146"/>
      <c r="AO266" s="146"/>
      <c r="AP266" s="92"/>
      <c r="AQ266" s="206"/>
      <c r="AR266" s="146"/>
      <c r="AS266" s="146"/>
      <c r="AT266" s="146"/>
      <c r="AU266" s="146"/>
      <c r="AV266" s="146"/>
      <c r="AW266" s="146"/>
      <c r="AX266" s="146"/>
      <c r="AY266" s="146"/>
      <c r="AZ266" s="146"/>
      <c r="BA266" s="146"/>
      <c r="BB266" s="92"/>
      <c r="BC266" s="206"/>
      <c r="BD266" s="92"/>
    </row>
    <row r="267" spans="2:56" ht="17.100000000000001" customHeight="1">
      <c r="B267" s="31"/>
      <c r="C267" s="206"/>
      <c r="D267" s="146"/>
      <c r="E267" s="146"/>
      <c r="F267" s="146"/>
      <c r="G267" s="146"/>
      <c r="H267" s="146"/>
      <c r="I267" s="146"/>
      <c r="J267" s="146"/>
      <c r="K267" s="146"/>
      <c r="L267" s="146"/>
      <c r="M267" s="146"/>
      <c r="N267" s="92"/>
      <c r="O267" s="206"/>
      <c r="P267" s="146"/>
      <c r="Q267" s="146"/>
      <c r="R267" s="146"/>
      <c r="S267" s="146"/>
      <c r="T267" s="146"/>
      <c r="U267" s="146"/>
      <c r="V267" s="146"/>
      <c r="W267" s="146"/>
      <c r="X267" s="146"/>
      <c r="Y267" s="146"/>
      <c r="Z267" s="92"/>
      <c r="AA267" s="206"/>
      <c r="AB267" s="92"/>
      <c r="AC267" s="92"/>
      <c r="AD267" s="31"/>
      <c r="AE267" s="206"/>
      <c r="AF267" s="146"/>
      <c r="AG267" s="146"/>
      <c r="AH267" s="146"/>
      <c r="AI267" s="146"/>
      <c r="AJ267" s="146"/>
      <c r="AK267" s="146"/>
      <c r="AL267" s="146"/>
      <c r="AM267" s="146"/>
      <c r="AN267" s="146"/>
      <c r="AO267" s="146"/>
      <c r="AP267" s="92"/>
      <c r="AQ267" s="206"/>
      <c r="AR267" s="146"/>
      <c r="AS267" s="146"/>
      <c r="AT267" s="146"/>
      <c r="AU267" s="146"/>
      <c r="AV267" s="146"/>
      <c r="AW267" s="146"/>
      <c r="AX267" s="146"/>
      <c r="AY267" s="146"/>
      <c r="AZ267" s="146"/>
      <c r="BA267" s="146"/>
      <c r="BB267" s="92"/>
      <c r="BC267" s="206"/>
      <c r="BD267" s="92"/>
    </row>
    <row r="268" spans="2:56" ht="17.100000000000001" customHeight="1">
      <c r="B268" s="31"/>
      <c r="C268" s="206"/>
      <c r="D268" s="146"/>
      <c r="E268" s="146"/>
      <c r="F268" s="146"/>
      <c r="G268" s="146"/>
      <c r="H268" s="146"/>
      <c r="I268" s="146"/>
      <c r="J268" s="146"/>
      <c r="K268" s="146"/>
      <c r="L268" s="146"/>
      <c r="M268" s="146"/>
      <c r="N268" s="92"/>
      <c r="O268" s="206"/>
      <c r="P268" s="146"/>
      <c r="Q268" s="146"/>
      <c r="R268" s="146"/>
      <c r="S268" s="146"/>
      <c r="T268" s="146"/>
      <c r="U268" s="146"/>
      <c r="V268" s="146"/>
      <c r="W268" s="146"/>
      <c r="X268" s="146"/>
      <c r="Y268" s="146"/>
      <c r="Z268" s="92"/>
      <c r="AA268" s="206"/>
      <c r="AB268" s="92"/>
      <c r="AC268" s="92"/>
      <c r="AD268" s="31"/>
      <c r="AE268" s="206"/>
      <c r="AF268" s="146"/>
      <c r="AG268" s="146"/>
      <c r="AH268" s="146"/>
      <c r="AI268" s="146"/>
      <c r="AJ268" s="146"/>
      <c r="AK268" s="146"/>
      <c r="AL268" s="146"/>
      <c r="AM268" s="146"/>
      <c r="AN268" s="146"/>
      <c r="AO268" s="146"/>
      <c r="AP268" s="92"/>
      <c r="AQ268" s="206"/>
      <c r="AR268" s="146"/>
      <c r="AS268" s="146"/>
      <c r="AT268" s="146"/>
      <c r="AU268" s="146"/>
      <c r="AV268" s="146"/>
      <c r="AW268" s="146"/>
      <c r="AX268" s="146"/>
      <c r="AY268" s="146"/>
      <c r="AZ268" s="146"/>
      <c r="BA268" s="146"/>
      <c r="BB268" s="92"/>
      <c r="BC268" s="206"/>
      <c r="BD268" s="92"/>
    </row>
    <row r="269" spans="2:56" ht="17.100000000000001" customHeight="1">
      <c r="B269" s="31"/>
      <c r="C269" s="206"/>
      <c r="D269" s="146"/>
      <c r="E269" s="146"/>
      <c r="F269" s="146"/>
      <c r="G269" s="146"/>
      <c r="H269" s="146"/>
      <c r="I269" s="146"/>
      <c r="J269" s="146"/>
      <c r="K269" s="146"/>
      <c r="L269" s="146"/>
      <c r="M269" s="146"/>
      <c r="N269" s="92"/>
      <c r="O269" s="206"/>
      <c r="P269" s="146"/>
      <c r="Q269" s="146"/>
      <c r="R269" s="146"/>
      <c r="S269" s="146"/>
      <c r="T269" s="146"/>
      <c r="U269" s="146"/>
      <c r="V269" s="146"/>
      <c r="W269" s="146"/>
      <c r="X269" s="146"/>
      <c r="Y269" s="146"/>
      <c r="Z269" s="92"/>
      <c r="AA269" s="206"/>
      <c r="AB269" s="92"/>
      <c r="AC269" s="92"/>
      <c r="AD269" s="31"/>
      <c r="AE269" s="206"/>
      <c r="AF269" s="146"/>
      <c r="AG269" s="146"/>
      <c r="AH269" s="146"/>
      <c r="AI269" s="146"/>
      <c r="AJ269" s="146"/>
      <c r="AK269" s="146"/>
      <c r="AL269" s="146"/>
      <c r="AM269" s="146"/>
      <c r="AN269" s="146"/>
      <c r="AO269" s="146"/>
      <c r="AP269" s="92"/>
      <c r="AQ269" s="206"/>
      <c r="AR269" s="146"/>
      <c r="AS269" s="146"/>
      <c r="AT269" s="146"/>
      <c r="AU269" s="146"/>
      <c r="AV269" s="146"/>
      <c r="AW269" s="146"/>
      <c r="AX269" s="146"/>
      <c r="AY269" s="146"/>
      <c r="AZ269" s="146"/>
      <c r="BA269" s="146"/>
      <c r="BB269" s="92"/>
      <c r="BC269" s="206"/>
      <c r="BD269" s="92"/>
    </row>
    <row r="270" spans="2:56" ht="17.100000000000001" customHeight="1">
      <c r="B270" s="31"/>
      <c r="C270" s="206"/>
      <c r="D270" s="146"/>
      <c r="E270" s="146"/>
      <c r="F270" s="146"/>
      <c r="G270" s="146"/>
      <c r="H270" s="146"/>
      <c r="I270" s="146"/>
      <c r="J270" s="146"/>
      <c r="K270" s="146"/>
      <c r="L270" s="146"/>
      <c r="M270" s="146"/>
      <c r="N270" s="92"/>
      <c r="O270" s="206"/>
      <c r="P270" s="146"/>
      <c r="Q270" s="146"/>
      <c r="R270" s="146"/>
      <c r="S270" s="146"/>
      <c r="T270" s="146"/>
      <c r="U270" s="146"/>
      <c r="V270" s="146"/>
      <c r="W270" s="146"/>
      <c r="X270" s="146"/>
      <c r="Y270" s="146"/>
      <c r="Z270" s="92"/>
      <c r="AA270" s="206"/>
      <c r="AB270" s="92"/>
      <c r="AC270" s="92"/>
      <c r="AD270" s="31"/>
      <c r="AE270" s="206"/>
      <c r="AF270" s="146"/>
      <c r="AG270" s="146"/>
      <c r="AH270" s="146"/>
      <c r="AI270" s="146"/>
      <c r="AJ270" s="146"/>
      <c r="AK270" s="146"/>
      <c r="AL270" s="146"/>
      <c r="AM270" s="146"/>
      <c r="AN270" s="146"/>
      <c r="AO270" s="146"/>
      <c r="AP270" s="92"/>
      <c r="AQ270" s="206"/>
      <c r="AR270" s="146"/>
      <c r="AS270" s="146"/>
      <c r="AT270" s="146"/>
      <c r="AU270" s="146"/>
      <c r="AV270" s="146"/>
      <c r="AW270" s="146"/>
      <c r="AX270" s="146"/>
      <c r="AY270" s="146"/>
      <c r="AZ270" s="146"/>
      <c r="BA270" s="146"/>
      <c r="BB270" s="92"/>
      <c r="BC270" s="206"/>
      <c r="BD270" s="92"/>
    </row>
    <row r="271" spans="2:56" ht="17.100000000000001" customHeight="1">
      <c r="B271" s="31"/>
      <c r="C271" s="206"/>
      <c r="D271" s="146"/>
      <c r="E271" s="146"/>
      <c r="F271" s="146"/>
      <c r="G271" s="146"/>
      <c r="H271" s="146"/>
      <c r="I271" s="146"/>
      <c r="J271" s="146"/>
      <c r="K271" s="146"/>
      <c r="L271" s="146"/>
      <c r="M271" s="146"/>
      <c r="N271" s="92"/>
      <c r="O271" s="206"/>
      <c r="P271" s="146"/>
      <c r="Q271" s="146"/>
      <c r="R271" s="146"/>
      <c r="S271" s="146"/>
      <c r="T271" s="146"/>
      <c r="U271" s="146"/>
      <c r="V271" s="146"/>
      <c r="W271" s="146"/>
      <c r="X271" s="146"/>
      <c r="Y271" s="146"/>
      <c r="Z271" s="92"/>
      <c r="AA271" s="206"/>
      <c r="AB271" s="92"/>
      <c r="AC271" s="92"/>
      <c r="AD271" s="31"/>
      <c r="AE271" s="206"/>
      <c r="AF271" s="146"/>
      <c r="AG271" s="146"/>
      <c r="AH271" s="146"/>
      <c r="AI271" s="146"/>
      <c r="AJ271" s="146"/>
      <c r="AK271" s="146"/>
      <c r="AL271" s="146"/>
      <c r="AM271" s="146"/>
      <c r="AN271" s="146"/>
      <c r="AO271" s="146"/>
      <c r="AP271" s="92"/>
      <c r="AQ271" s="206"/>
      <c r="AR271" s="146"/>
      <c r="AS271" s="146"/>
      <c r="AT271" s="146"/>
      <c r="AU271" s="146"/>
      <c r="AV271" s="146"/>
      <c r="AW271" s="146"/>
      <c r="AX271" s="146"/>
      <c r="AY271" s="146"/>
      <c r="AZ271" s="146"/>
      <c r="BA271" s="146"/>
      <c r="BB271" s="92"/>
      <c r="BC271" s="206"/>
      <c r="BD271" s="92"/>
    </row>
    <row r="272" spans="2:56" ht="17.100000000000001" customHeight="1">
      <c r="B272" s="31"/>
      <c r="C272" s="206"/>
      <c r="D272" s="146"/>
      <c r="E272" s="146"/>
      <c r="F272" s="146"/>
      <c r="G272" s="146"/>
      <c r="H272" s="146"/>
      <c r="I272" s="146"/>
      <c r="J272" s="146"/>
      <c r="K272" s="146"/>
      <c r="L272" s="146"/>
      <c r="M272" s="146"/>
      <c r="N272" s="92"/>
      <c r="O272" s="206"/>
      <c r="P272" s="146"/>
      <c r="Q272" s="146"/>
      <c r="R272" s="146"/>
      <c r="S272" s="146"/>
      <c r="T272" s="146"/>
      <c r="U272" s="146"/>
      <c r="V272" s="146"/>
      <c r="W272" s="146"/>
      <c r="X272" s="146"/>
      <c r="Y272" s="146"/>
      <c r="Z272" s="92"/>
      <c r="AA272" s="206"/>
      <c r="AB272" s="92"/>
      <c r="AC272" s="92"/>
      <c r="AD272" s="31"/>
      <c r="AE272" s="206"/>
      <c r="AF272" s="146"/>
      <c r="AG272" s="146"/>
      <c r="AH272" s="146"/>
      <c r="AI272" s="146"/>
      <c r="AJ272" s="146"/>
      <c r="AK272" s="146"/>
      <c r="AL272" s="146"/>
      <c r="AM272" s="146"/>
      <c r="AN272" s="146"/>
      <c r="AO272" s="146"/>
      <c r="AP272" s="92"/>
      <c r="AQ272" s="206"/>
      <c r="AR272" s="146"/>
      <c r="AS272" s="146"/>
      <c r="AT272" s="146"/>
      <c r="AU272" s="146"/>
      <c r="AV272" s="146"/>
      <c r="AW272" s="146"/>
      <c r="AX272" s="146"/>
      <c r="AY272" s="146"/>
      <c r="AZ272" s="146"/>
      <c r="BA272" s="146"/>
      <c r="BB272" s="92"/>
      <c r="BC272" s="206"/>
      <c r="BD272" s="92"/>
    </row>
    <row r="273" spans="2:56" ht="17.100000000000001" customHeight="1">
      <c r="B273" s="31"/>
      <c r="C273" s="206"/>
      <c r="D273" s="146"/>
      <c r="E273" s="146"/>
      <c r="F273" s="146"/>
      <c r="G273" s="146"/>
      <c r="H273" s="146"/>
      <c r="I273" s="146"/>
      <c r="J273" s="146"/>
      <c r="K273" s="146"/>
      <c r="L273" s="146"/>
      <c r="M273" s="146"/>
      <c r="N273" s="92"/>
      <c r="O273" s="206"/>
      <c r="P273" s="146"/>
      <c r="Q273" s="146"/>
      <c r="R273" s="146"/>
      <c r="S273" s="146"/>
      <c r="T273" s="146"/>
      <c r="U273" s="146"/>
      <c r="V273" s="146"/>
      <c r="W273" s="146"/>
      <c r="X273" s="146"/>
      <c r="Y273" s="146"/>
      <c r="Z273" s="92"/>
      <c r="AA273" s="206"/>
      <c r="AB273" s="92"/>
      <c r="AC273" s="92"/>
      <c r="AD273" s="31"/>
      <c r="AE273" s="206"/>
      <c r="AF273" s="146"/>
      <c r="AG273" s="146"/>
      <c r="AH273" s="146"/>
      <c r="AI273" s="146"/>
      <c r="AJ273" s="146"/>
      <c r="AK273" s="146"/>
      <c r="AL273" s="146"/>
      <c r="AM273" s="146"/>
      <c r="AN273" s="146"/>
      <c r="AO273" s="146"/>
      <c r="AP273" s="92"/>
      <c r="AQ273" s="206"/>
      <c r="AR273" s="146"/>
      <c r="AS273" s="146"/>
      <c r="AT273" s="146"/>
      <c r="AU273" s="146"/>
      <c r="AV273" s="146"/>
      <c r="AW273" s="146"/>
      <c r="AX273" s="146"/>
      <c r="AY273" s="146"/>
      <c r="AZ273" s="146"/>
      <c r="BA273" s="146"/>
      <c r="BB273" s="92"/>
      <c r="BC273" s="206"/>
      <c r="BD273" s="92"/>
    </row>
    <row r="274" spans="2:56" ht="17.100000000000001" customHeight="1">
      <c r="B274" s="31"/>
      <c r="C274" s="206"/>
      <c r="D274" s="146"/>
      <c r="E274" s="146"/>
      <c r="F274" s="146"/>
      <c r="G274" s="146"/>
      <c r="H274" s="146"/>
      <c r="I274" s="146"/>
      <c r="J274" s="146"/>
      <c r="K274" s="146"/>
      <c r="L274" s="146"/>
      <c r="M274" s="146"/>
      <c r="N274" s="92"/>
      <c r="O274" s="206"/>
      <c r="P274" s="146"/>
      <c r="Q274" s="146"/>
      <c r="R274" s="146"/>
      <c r="S274" s="146"/>
      <c r="T274" s="146"/>
      <c r="U274" s="146"/>
      <c r="V274" s="146"/>
      <c r="W274" s="146"/>
      <c r="X274" s="146"/>
      <c r="Y274" s="146"/>
      <c r="Z274" s="92"/>
      <c r="AA274" s="206"/>
      <c r="AB274" s="92"/>
      <c r="AC274" s="92"/>
      <c r="AD274" s="31"/>
      <c r="AE274" s="206"/>
      <c r="AF274" s="146"/>
      <c r="AG274" s="146"/>
      <c r="AH274" s="146"/>
      <c r="AI274" s="146"/>
      <c r="AJ274" s="146"/>
      <c r="AK274" s="146"/>
      <c r="AL274" s="146"/>
      <c r="AM274" s="146"/>
      <c r="AN274" s="146"/>
      <c r="AO274" s="146"/>
      <c r="AP274" s="92"/>
      <c r="AQ274" s="206"/>
      <c r="AR274" s="146"/>
      <c r="AS274" s="146"/>
      <c r="AT274" s="146"/>
      <c r="AU274" s="146"/>
      <c r="AV274" s="146"/>
      <c r="AW274" s="146"/>
      <c r="AX274" s="146"/>
      <c r="AY274" s="146"/>
      <c r="AZ274" s="146"/>
      <c r="BA274" s="146"/>
      <c r="BB274" s="92"/>
      <c r="BC274" s="206"/>
      <c r="BD274" s="92"/>
    </row>
    <row r="275" spans="2:56" ht="17.100000000000001" customHeight="1">
      <c r="B275" s="31"/>
      <c r="C275" s="206"/>
      <c r="D275" s="146"/>
      <c r="E275" s="146"/>
      <c r="F275" s="146"/>
      <c r="G275" s="146"/>
      <c r="H275" s="146"/>
      <c r="I275" s="146"/>
      <c r="J275" s="146"/>
      <c r="K275" s="146"/>
      <c r="L275" s="146"/>
      <c r="M275" s="146"/>
      <c r="N275" s="92"/>
      <c r="O275" s="206"/>
      <c r="P275" s="146"/>
      <c r="Q275" s="146"/>
      <c r="R275" s="146"/>
      <c r="S275" s="146"/>
      <c r="T275" s="146"/>
      <c r="U275" s="146"/>
      <c r="V275" s="146"/>
      <c r="W275" s="146"/>
      <c r="X275" s="146"/>
      <c r="Y275" s="146"/>
      <c r="Z275" s="92"/>
      <c r="AA275" s="206"/>
      <c r="AB275" s="92"/>
      <c r="AC275" s="92"/>
      <c r="AD275" s="31"/>
      <c r="AE275" s="206"/>
      <c r="AF275" s="146"/>
      <c r="AG275" s="146"/>
      <c r="AH275" s="146"/>
      <c r="AI275" s="146"/>
      <c r="AJ275" s="146"/>
      <c r="AK275" s="146"/>
      <c r="AL275" s="146"/>
      <c r="AM275" s="146"/>
      <c r="AN275" s="146"/>
      <c r="AO275" s="146"/>
      <c r="AP275" s="92"/>
      <c r="AQ275" s="206"/>
      <c r="AR275" s="146"/>
      <c r="AS275" s="146"/>
      <c r="AT275" s="146"/>
      <c r="AU275" s="146"/>
      <c r="AV275" s="146"/>
      <c r="AW275" s="146"/>
      <c r="AX275" s="146"/>
      <c r="AY275" s="146"/>
      <c r="AZ275" s="146"/>
      <c r="BA275" s="146"/>
      <c r="BB275" s="92"/>
      <c r="BC275" s="206"/>
      <c r="BD275" s="92"/>
    </row>
    <row r="276" spans="2:56" ht="17.100000000000001" customHeight="1">
      <c r="B276" s="31"/>
      <c r="C276" s="206"/>
      <c r="D276" s="146"/>
      <c r="E276" s="146"/>
      <c r="F276" s="146"/>
      <c r="G276" s="146"/>
      <c r="H276" s="146"/>
      <c r="I276" s="146"/>
      <c r="J276" s="146"/>
      <c r="K276" s="146"/>
      <c r="L276" s="146"/>
      <c r="M276" s="146"/>
      <c r="N276" s="92"/>
      <c r="O276" s="206"/>
      <c r="P276" s="146"/>
      <c r="Q276" s="146"/>
      <c r="R276" s="146"/>
      <c r="S276" s="146"/>
      <c r="T276" s="146"/>
      <c r="U276" s="146"/>
      <c r="V276" s="146"/>
      <c r="W276" s="146"/>
      <c r="X276" s="146"/>
      <c r="Y276" s="146"/>
      <c r="Z276" s="92"/>
      <c r="AA276" s="206"/>
      <c r="AB276" s="92"/>
      <c r="AC276" s="92"/>
      <c r="AD276" s="31"/>
      <c r="AE276" s="206"/>
      <c r="AF276" s="146"/>
      <c r="AG276" s="146"/>
      <c r="AH276" s="146"/>
      <c r="AI276" s="146"/>
      <c r="AJ276" s="146"/>
      <c r="AK276" s="146"/>
      <c r="AL276" s="146"/>
      <c r="AM276" s="146"/>
      <c r="AN276" s="146"/>
      <c r="AO276" s="146"/>
      <c r="AP276" s="92"/>
      <c r="AQ276" s="206"/>
      <c r="AR276" s="146"/>
      <c r="AS276" s="146"/>
      <c r="AT276" s="146"/>
      <c r="AU276" s="146"/>
      <c r="AV276" s="146"/>
      <c r="AW276" s="146"/>
      <c r="AX276" s="146"/>
      <c r="AY276" s="146"/>
      <c r="AZ276" s="146"/>
      <c r="BA276" s="146"/>
      <c r="BB276" s="92"/>
      <c r="BC276" s="206"/>
      <c r="BD276" s="92"/>
    </row>
    <row r="277" spans="2:56" ht="17.100000000000001" customHeight="1">
      <c r="B277" s="31"/>
      <c r="C277" s="206"/>
      <c r="D277" s="146"/>
      <c r="E277" s="146"/>
      <c r="F277" s="146"/>
      <c r="G277" s="146"/>
      <c r="H277" s="146"/>
      <c r="I277" s="146"/>
      <c r="J277" s="146"/>
      <c r="K277" s="146"/>
      <c r="L277" s="146"/>
      <c r="M277" s="146"/>
      <c r="N277" s="92"/>
      <c r="O277" s="206"/>
      <c r="P277" s="146"/>
      <c r="Q277" s="146"/>
      <c r="R277" s="146"/>
      <c r="S277" s="146"/>
      <c r="T277" s="146"/>
      <c r="U277" s="146"/>
      <c r="V277" s="146"/>
      <c r="W277" s="146"/>
      <c r="X277" s="146"/>
      <c r="Y277" s="146"/>
      <c r="Z277" s="92"/>
      <c r="AA277" s="206"/>
      <c r="AB277" s="92"/>
      <c r="AC277" s="92"/>
      <c r="AD277" s="31"/>
      <c r="AE277" s="206"/>
      <c r="AF277" s="146"/>
      <c r="AG277" s="146"/>
      <c r="AH277" s="146"/>
      <c r="AI277" s="146"/>
      <c r="AJ277" s="146"/>
      <c r="AK277" s="146"/>
      <c r="AL277" s="146"/>
      <c r="AM277" s="146"/>
      <c r="AN277" s="146"/>
      <c r="AO277" s="146"/>
      <c r="AP277" s="92"/>
      <c r="AQ277" s="206"/>
      <c r="AR277" s="146"/>
      <c r="AS277" s="146"/>
      <c r="AT277" s="146"/>
      <c r="AU277" s="146"/>
      <c r="AV277" s="146"/>
      <c r="AW277" s="146"/>
      <c r="AX277" s="146"/>
      <c r="AY277" s="146"/>
      <c r="AZ277" s="146"/>
      <c r="BA277" s="146"/>
      <c r="BB277" s="92"/>
      <c r="BC277" s="206"/>
      <c r="BD277" s="92"/>
    </row>
    <row r="278" spans="2:56" ht="17.100000000000001" customHeight="1">
      <c r="B278" s="31"/>
      <c r="C278" s="206"/>
      <c r="D278" s="146"/>
      <c r="E278" s="146"/>
      <c r="F278" s="146"/>
      <c r="G278" s="146"/>
      <c r="H278" s="146"/>
      <c r="I278" s="146"/>
      <c r="J278" s="146"/>
      <c r="K278" s="146"/>
      <c r="L278" s="146"/>
      <c r="M278" s="146"/>
      <c r="N278" s="92"/>
      <c r="O278" s="206"/>
      <c r="P278" s="146"/>
      <c r="Q278" s="146"/>
      <c r="R278" s="146"/>
      <c r="S278" s="146"/>
      <c r="T278" s="146"/>
      <c r="U278" s="146"/>
      <c r="V278" s="146"/>
      <c r="W278" s="146"/>
      <c r="X278" s="146"/>
      <c r="Y278" s="146"/>
      <c r="Z278" s="92"/>
      <c r="AA278" s="206"/>
      <c r="AB278" s="92"/>
      <c r="AC278" s="92"/>
      <c r="AD278" s="31"/>
      <c r="AE278" s="206"/>
      <c r="AF278" s="146"/>
      <c r="AG278" s="146"/>
      <c r="AH278" s="146"/>
      <c r="AI278" s="146"/>
      <c r="AJ278" s="146"/>
      <c r="AK278" s="146"/>
      <c r="AL278" s="146"/>
      <c r="AM278" s="146"/>
      <c r="AN278" s="146"/>
      <c r="AO278" s="146"/>
      <c r="AP278" s="92"/>
      <c r="AQ278" s="206"/>
      <c r="AR278" s="146"/>
      <c r="AS278" s="146"/>
      <c r="AT278" s="146"/>
      <c r="AU278" s="146"/>
      <c r="AV278" s="146"/>
      <c r="AW278" s="146"/>
      <c r="AX278" s="146"/>
      <c r="AY278" s="146"/>
      <c r="AZ278" s="146"/>
      <c r="BA278" s="146"/>
      <c r="BB278" s="92"/>
      <c r="BC278" s="206"/>
      <c r="BD278" s="92"/>
    </row>
    <row r="279" spans="2:56" ht="17.100000000000001" customHeight="1">
      <c r="B279" s="31"/>
      <c r="C279" s="206"/>
      <c r="D279" s="146"/>
      <c r="E279" s="146"/>
      <c r="F279" s="146"/>
      <c r="G279" s="146"/>
      <c r="H279" s="146"/>
      <c r="I279" s="146"/>
      <c r="J279" s="146"/>
      <c r="K279" s="146"/>
      <c r="L279" s="146"/>
      <c r="M279" s="146"/>
      <c r="N279" s="92"/>
      <c r="O279" s="206"/>
      <c r="P279" s="146"/>
      <c r="Q279" s="146"/>
      <c r="R279" s="146"/>
      <c r="S279" s="146"/>
      <c r="T279" s="146"/>
      <c r="U279" s="146"/>
      <c r="V279" s="146"/>
      <c r="W279" s="146"/>
      <c r="X279" s="146"/>
      <c r="Y279" s="146"/>
      <c r="Z279" s="92"/>
      <c r="AA279" s="206"/>
      <c r="AB279" s="92"/>
      <c r="AC279" s="92"/>
      <c r="AD279" s="31"/>
      <c r="AE279" s="206"/>
      <c r="AF279" s="146"/>
      <c r="AG279" s="146"/>
      <c r="AH279" s="146"/>
      <c r="AI279" s="146"/>
      <c r="AJ279" s="146"/>
      <c r="AK279" s="146"/>
      <c r="AL279" s="146"/>
      <c r="AM279" s="146"/>
      <c r="AN279" s="146"/>
      <c r="AO279" s="146"/>
      <c r="AP279" s="92"/>
      <c r="AQ279" s="206"/>
      <c r="AR279" s="146"/>
      <c r="AS279" s="146"/>
      <c r="AT279" s="146"/>
      <c r="AU279" s="146"/>
      <c r="AV279" s="146"/>
      <c r="AW279" s="146"/>
      <c r="AX279" s="146"/>
      <c r="AY279" s="146"/>
      <c r="AZ279" s="146"/>
      <c r="BA279" s="146"/>
      <c r="BB279" s="92"/>
      <c r="BC279" s="206"/>
      <c r="BD279" s="92"/>
    </row>
    <row r="280" spans="2:56" ht="17.100000000000001" customHeight="1">
      <c r="B280" s="31"/>
      <c r="C280" s="206"/>
      <c r="D280" s="146"/>
      <c r="E280" s="146"/>
      <c r="F280" s="146"/>
      <c r="G280" s="146"/>
      <c r="H280" s="146"/>
      <c r="I280" s="146"/>
      <c r="J280" s="146"/>
      <c r="K280" s="146"/>
      <c r="L280" s="146"/>
      <c r="M280" s="146"/>
      <c r="N280" s="92"/>
      <c r="O280" s="206"/>
      <c r="P280" s="146"/>
      <c r="Q280" s="146"/>
      <c r="R280" s="146"/>
      <c r="S280" s="146"/>
      <c r="T280" s="146"/>
      <c r="U280" s="146"/>
      <c r="V280" s="146"/>
      <c r="W280" s="146"/>
      <c r="X280" s="146"/>
      <c r="Y280" s="146"/>
      <c r="Z280" s="92"/>
      <c r="AA280" s="206"/>
      <c r="AB280" s="92"/>
      <c r="AC280" s="92"/>
      <c r="AD280" s="31"/>
      <c r="AE280" s="206"/>
      <c r="AF280" s="146"/>
      <c r="AG280" s="146"/>
      <c r="AH280" s="146"/>
      <c r="AI280" s="146"/>
      <c r="AJ280" s="146"/>
      <c r="AK280" s="146"/>
      <c r="AL280" s="146"/>
      <c r="AM280" s="146"/>
      <c r="AN280" s="146"/>
      <c r="AO280" s="146"/>
      <c r="AP280" s="92"/>
      <c r="AQ280" s="206"/>
      <c r="AR280" s="146"/>
      <c r="AS280" s="146"/>
      <c r="AT280" s="146"/>
      <c r="AU280" s="146"/>
      <c r="AV280" s="146"/>
      <c r="AW280" s="146"/>
      <c r="AX280" s="146"/>
      <c r="AY280" s="146"/>
      <c r="AZ280" s="146"/>
      <c r="BA280" s="146"/>
      <c r="BB280" s="92"/>
      <c r="BC280" s="206"/>
      <c r="BD280" s="92"/>
    </row>
    <row r="281" spans="2:56" ht="17.100000000000001" customHeight="1">
      <c r="B281" s="31"/>
      <c r="C281" s="206"/>
      <c r="D281" s="146"/>
      <c r="E281" s="146"/>
      <c r="F281" s="146"/>
      <c r="G281" s="146"/>
      <c r="H281" s="146"/>
      <c r="I281" s="146"/>
      <c r="J281" s="146"/>
      <c r="K281" s="146"/>
      <c r="L281" s="146"/>
      <c r="M281" s="146"/>
      <c r="N281" s="92"/>
      <c r="O281" s="206"/>
      <c r="P281" s="146"/>
      <c r="Q281" s="146"/>
      <c r="R281" s="146"/>
      <c r="S281" s="146"/>
      <c r="T281" s="146"/>
      <c r="U281" s="146"/>
      <c r="V281" s="146"/>
      <c r="W281" s="146"/>
      <c r="X281" s="146"/>
      <c r="Y281" s="146"/>
      <c r="Z281" s="92"/>
      <c r="AA281" s="206"/>
      <c r="AB281" s="92"/>
      <c r="AC281" s="92"/>
      <c r="AD281" s="31"/>
      <c r="AE281" s="206"/>
      <c r="AF281" s="146"/>
      <c r="AG281" s="146"/>
      <c r="AH281" s="146"/>
      <c r="AI281" s="146"/>
      <c r="AJ281" s="146"/>
      <c r="AK281" s="146"/>
      <c r="AL281" s="146"/>
      <c r="AM281" s="146"/>
      <c r="AN281" s="146"/>
      <c r="AO281" s="146"/>
      <c r="AP281" s="92"/>
      <c r="AQ281" s="206"/>
      <c r="AR281" s="146"/>
      <c r="AS281" s="146"/>
      <c r="AT281" s="146"/>
      <c r="AU281" s="146"/>
      <c r="AV281" s="146"/>
      <c r="AW281" s="146"/>
      <c r="AX281" s="146"/>
      <c r="AY281" s="146"/>
      <c r="AZ281" s="146"/>
      <c r="BA281" s="146"/>
      <c r="BB281" s="92"/>
      <c r="BC281" s="206"/>
      <c r="BD281" s="92"/>
    </row>
    <row r="282" spans="2:56" ht="17.100000000000001" customHeight="1">
      <c r="B282" s="31"/>
      <c r="C282" s="206"/>
      <c r="D282" s="146"/>
      <c r="E282" s="146"/>
      <c r="F282" s="146"/>
      <c r="G282" s="146"/>
      <c r="H282" s="146"/>
      <c r="I282" s="146"/>
      <c r="J282" s="146"/>
      <c r="K282" s="146"/>
      <c r="L282" s="146"/>
      <c r="M282" s="146"/>
      <c r="N282" s="92"/>
      <c r="O282" s="206"/>
      <c r="P282" s="146"/>
      <c r="Q282" s="146"/>
      <c r="R282" s="146"/>
      <c r="S282" s="146"/>
      <c r="T282" s="146"/>
      <c r="U282" s="146"/>
      <c r="V282" s="146"/>
      <c r="W282" s="146"/>
      <c r="X282" s="146"/>
      <c r="Y282" s="146"/>
      <c r="Z282" s="92"/>
      <c r="AA282" s="206"/>
      <c r="AB282" s="92"/>
      <c r="AC282" s="92"/>
      <c r="AD282" s="31"/>
      <c r="AE282" s="206"/>
      <c r="AF282" s="146"/>
      <c r="AG282" s="146"/>
      <c r="AH282" s="146"/>
      <c r="AI282" s="146"/>
      <c r="AJ282" s="146"/>
      <c r="AK282" s="146"/>
      <c r="AL282" s="146"/>
      <c r="AM282" s="146"/>
      <c r="AN282" s="146"/>
      <c r="AO282" s="146"/>
      <c r="AP282" s="92"/>
      <c r="AQ282" s="206"/>
      <c r="AR282" s="146"/>
      <c r="AS282" s="146"/>
      <c r="AT282" s="146"/>
      <c r="AU282" s="146"/>
      <c r="AV282" s="146"/>
      <c r="AW282" s="146"/>
      <c r="AX282" s="146"/>
      <c r="AY282" s="146"/>
      <c r="AZ282" s="146"/>
      <c r="BA282" s="146"/>
      <c r="BB282" s="92"/>
      <c r="BC282" s="206"/>
      <c r="BD282" s="92"/>
    </row>
    <row r="283" spans="2:56" ht="17.100000000000001" customHeight="1">
      <c r="B283" s="31"/>
      <c r="C283" s="206"/>
      <c r="D283" s="146"/>
      <c r="E283" s="146"/>
      <c r="F283" s="146"/>
      <c r="G283" s="146"/>
      <c r="H283" s="146"/>
      <c r="I283" s="146"/>
      <c r="J283" s="146"/>
      <c r="K283" s="146"/>
      <c r="L283" s="146"/>
      <c r="M283" s="146"/>
      <c r="N283" s="92"/>
      <c r="O283" s="206"/>
      <c r="P283" s="146"/>
      <c r="Q283" s="146"/>
      <c r="R283" s="146"/>
      <c r="S283" s="146"/>
      <c r="T283" s="146"/>
      <c r="U283" s="146"/>
      <c r="V283" s="146"/>
      <c r="W283" s="146"/>
      <c r="X283" s="146"/>
      <c r="Y283" s="146"/>
      <c r="Z283" s="92"/>
      <c r="AA283" s="206"/>
      <c r="AB283" s="92"/>
      <c r="AC283" s="92"/>
      <c r="AD283" s="31"/>
      <c r="AE283" s="206"/>
      <c r="AF283" s="146"/>
      <c r="AG283" s="146"/>
      <c r="AH283" s="146"/>
      <c r="AI283" s="146"/>
      <c r="AJ283" s="146"/>
      <c r="AK283" s="146"/>
      <c r="AL283" s="146"/>
      <c r="AM283" s="146"/>
      <c r="AN283" s="146"/>
      <c r="AO283" s="146"/>
      <c r="AP283" s="92"/>
      <c r="AQ283" s="206"/>
      <c r="AR283" s="146"/>
      <c r="AS283" s="146"/>
      <c r="AT283" s="146"/>
      <c r="AU283" s="146"/>
      <c r="AV283" s="146"/>
      <c r="AW283" s="146"/>
      <c r="AX283" s="146"/>
      <c r="AY283" s="146"/>
      <c r="AZ283" s="146"/>
      <c r="BA283" s="146"/>
      <c r="BB283" s="92"/>
      <c r="BC283" s="206"/>
      <c r="BD283" s="92"/>
    </row>
    <row r="284" spans="2:56" ht="17.100000000000001" customHeight="1">
      <c r="B284" s="31"/>
      <c r="C284" s="206"/>
      <c r="D284" s="146"/>
      <c r="E284" s="146"/>
      <c r="F284" s="146"/>
      <c r="G284" s="146"/>
      <c r="H284" s="146"/>
      <c r="I284" s="146"/>
      <c r="J284" s="146"/>
      <c r="K284" s="146"/>
      <c r="L284" s="146"/>
      <c r="M284" s="146"/>
      <c r="N284" s="92"/>
      <c r="O284" s="206"/>
      <c r="P284" s="146"/>
      <c r="Q284" s="146"/>
      <c r="R284" s="146"/>
      <c r="S284" s="146"/>
      <c r="T284" s="146"/>
      <c r="U284" s="146"/>
      <c r="V284" s="146"/>
      <c r="W284" s="146"/>
      <c r="X284" s="146"/>
      <c r="Y284" s="146"/>
      <c r="Z284" s="92"/>
      <c r="AA284" s="206"/>
      <c r="AB284" s="92"/>
      <c r="AC284" s="92"/>
      <c r="AD284" s="31"/>
      <c r="AE284" s="206"/>
      <c r="AF284" s="146"/>
      <c r="AG284" s="146"/>
      <c r="AH284" s="146"/>
      <c r="AI284" s="146"/>
      <c r="AJ284" s="146"/>
      <c r="AK284" s="146"/>
      <c r="AL284" s="146"/>
      <c r="AM284" s="146"/>
      <c r="AN284" s="146"/>
      <c r="AO284" s="146"/>
      <c r="AP284" s="92"/>
      <c r="AQ284" s="206"/>
      <c r="AR284" s="146"/>
      <c r="AS284" s="146"/>
      <c r="AT284" s="146"/>
      <c r="AU284" s="146"/>
      <c r="AV284" s="146"/>
      <c r="AW284" s="146"/>
      <c r="AX284" s="146"/>
      <c r="AY284" s="146"/>
      <c r="AZ284" s="146"/>
      <c r="BA284" s="146"/>
      <c r="BB284" s="92"/>
      <c r="BC284" s="206"/>
      <c r="BD284" s="92"/>
    </row>
    <row r="285" spans="2:56" ht="17.100000000000001" customHeight="1">
      <c r="B285" s="31"/>
      <c r="C285" s="206"/>
      <c r="D285" s="146"/>
      <c r="E285" s="146"/>
      <c r="F285" s="146"/>
      <c r="G285" s="146"/>
      <c r="H285" s="146"/>
      <c r="I285" s="146"/>
      <c r="J285" s="146"/>
      <c r="K285" s="146"/>
      <c r="L285" s="146"/>
      <c r="M285" s="146"/>
      <c r="N285" s="92"/>
      <c r="O285" s="206"/>
      <c r="P285" s="146"/>
      <c r="Q285" s="146"/>
      <c r="R285" s="146"/>
      <c r="S285" s="146"/>
      <c r="T285" s="146"/>
      <c r="U285" s="146"/>
      <c r="V285" s="146"/>
      <c r="W285" s="146"/>
      <c r="X285" s="146"/>
      <c r="Y285" s="146"/>
      <c r="Z285" s="92"/>
      <c r="AA285" s="206"/>
      <c r="AB285" s="92"/>
      <c r="AC285" s="92"/>
      <c r="AD285" s="31"/>
      <c r="AE285" s="206"/>
      <c r="AF285" s="146"/>
      <c r="AG285" s="146"/>
      <c r="AH285" s="146"/>
      <c r="AI285" s="146"/>
      <c r="AJ285" s="146"/>
      <c r="AK285" s="146"/>
      <c r="AL285" s="146"/>
      <c r="AM285" s="146"/>
      <c r="AN285" s="146"/>
      <c r="AO285" s="146"/>
      <c r="AP285" s="92"/>
      <c r="AQ285" s="206"/>
      <c r="AR285" s="146"/>
      <c r="AS285" s="146"/>
      <c r="AT285" s="146"/>
      <c r="AU285" s="146"/>
      <c r="AV285" s="146"/>
      <c r="AW285" s="146"/>
      <c r="AX285" s="146"/>
      <c r="AY285" s="146"/>
      <c r="AZ285" s="146"/>
      <c r="BA285" s="146"/>
      <c r="BB285" s="92"/>
      <c r="BC285" s="206"/>
      <c r="BD285" s="92"/>
    </row>
    <row r="286" spans="2:56" ht="17.100000000000001" customHeight="1">
      <c r="B286" s="31"/>
      <c r="C286" s="206"/>
      <c r="D286" s="146"/>
      <c r="E286" s="146"/>
      <c r="F286" s="146"/>
      <c r="G286" s="146"/>
      <c r="H286" s="146"/>
      <c r="I286" s="146"/>
      <c r="J286" s="146"/>
      <c r="K286" s="146"/>
      <c r="L286" s="146"/>
      <c r="M286" s="146"/>
      <c r="N286" s="92"/>
      <c r="O286" s="206"/>
      <c r="P286" s="146"/>
      <c r="Q286" s="146"/>
      <c r="R286" s="146"/>
      <c r="S286" s="146"/>
      <c r="T286" s="146"/>
      <c r="U286" s="146"/>
      <c r="V286" s="146"/>
      <c r="W286" s="146"/>
      <c r="X286" s="146"/>
      <c r="Y286" s="146"/>
      <c r="Z286" s="92"/>
      <c r="AA286" s="206"/>
      <c r="AB286" s="92"/>
      <c r="AC286" s="92"/>
      <c r="AD286" s="31"/>
      <c r="AE286" s="206"/>
      <c r="AF286" s="146"/>
      <c r="AG286" s="146"/>
      <c r="AH286" s="146"/>
      <c r="AI286" s="146"/>
      <c r="AJ286" s="146"/>
      <c r="AK286" s="146"/>
      <c r="AL286" s="146"/>
      <c r="AM286" s="146"/>
      <c r="AN286" s="146"/>
      <c r="AO286" s="146"/>
      <c r="AP286" s="92"/>
      <c r="AQ286" s="206"/>
      <c r="AR286" s="146"/>
      <c r="AS286" s="146"/>
      <c r="AT286" s="146"/>
      <c r="AU286" s="146"/>
      <c r="AV286" s="146"/>
      <c r="AW286" s="146"/>
      <c r="AX286" s="146"/>
      <c r="AY286" s="146"/>
      <c r="AZ286" s="146"/>
      <c r="BA286" s="146"/>
      <c r="BB286" s="92"/>
      <c r="BC286" s="206"/>
      <c r="BD286" s="92"/>
    </row>
    <row r="287" spans="2:56" ht="17.100000000000001" customHeight="1">
      <c r="B287" s="90"/>
      <c r="C287" s="91"/>
      <c r="D287" s="92"/>
      <c r="E287" s="92"/>
      <c r="F287" s="92"/>
      <c r="G287" s="92"/>
      <c r="H287" s="92"/>
      <c r="I287" s="92"/>
      <c r="J287" s="92"/>
      <c r="K287" s="92"/>
      <c r="L287" s="92"/>
      <c r="M287" s="92"/>
      <c r="N287" s="92"/>
      <c r="O287" s="91"/>
      <c r="P287" s="92"/>
      <c r="Q287" s="92"/>
      <c r="R287" s="92"/>
      <c r="S287" s="92"/>
      <c r="T287" s="92"/>
      <c r="U287" s="92"/>
      <c r="V287" s="92"/>
      <c r="W287" s="92"/>
      <c r="X287" s="92"/>
      <c r="Y287" s="92"/>
      <c r="Z287" s="92"/>
      <c r="AA287" s="91"/>
      <c r="AB287" s="92"/>
      <c r="AC287" s="92"/>
      <c r="AD287" s="210"/>
      <c r="AE287" s="211"/>
      <c r="AF287" s="202"/>
      <c r="AG287" s="202"/>
      <c r="AH287" s="202"/>
      <c r="AI287" s="202"/>
      <c r="AJ287" s="202"/>
      <c r="AK287" s="202"/>
      <c r="AL287" s="202"/>
      <c r="AM287" s="202"/>
      <c r="AN287" s="202"/>
      <c r="AO287" s="202"/>
      <c r="AP287" s="202"/>
      <c r="AQ287" s="211"/>
      <c r="AR287" s="202"/>
      <c r="AS287" s="202"/>
      <c r="AT287" s="202"/>
      <c r="AU287" s="202"/>
      <c r="AV287" s="202"/>
      <c r="AW287" s="202"/>
      <c r="AX287" s="202"/>
      <c r="AY287" s="202"/>
      <c r="AZ287" s="202"/>
      <c r="BA287" s="202"/>
      <c r="BB287" s="202"/>
      <c r="BC287" s="211"/>
      <c r="BD287" s="202"/>
    </row>
    <row r="288" spans="2:56" ht="18.899999999999999" customHeight="1">
      <c r="C288" s="84"/>
      <c r="G288" s="84"/>
      <c r="H288" s="84"/>
      <c r="I288" s="84"/>
      <c r="J288" s="84"/>
      <c r="K288" s="84"/>
      <c r="L288" s="84"/>
      <c r="M288" s="84"/>
      <c r="N288" s="84"/>
      <c r="O288" s="84"/>
      <c r="S288" s="84"/>
      <c r="T288" s="84"/>
      <c r="U288" s="84"/>
      <c r="V288" s="84"/>
      <c r="W288" s="84"/>
      <c r="X288" s="84"/>
      <c r="Y288" s="84"/>
      <c r="Z288" s="84"/>
      <c r="AA288" s="84"/>
      <c r="AB288" s="84"/>
      <c r="AC288" s="93"/>
      <c r="AD288" s="84"/>
      <c r="AE288" s="84"/>
      <c r="AF288" s="84"/>
      <c r="AG288" s="84"/>
      <c r="AH288" s="84"/>
      <c r="AI288" s="84"/>
      <c r="AJ288" s="84"/>
      <c r="AK288" s="84"/>
      <c r="AL288" s="84"/>
      <c r="AM288" s="84"/>
      <c r="AN288" s="84"/>
      <c r="AO288" s="84"/>
      <c r="AP288" s="84"/>
      <c r="AQ288" s="84"/>
      <c r="AR288" s="84"/>
      <c r="AS288" s="84"/>
      <c r="AT288" s="84"/>
      <c r="AU288" s="84"/>
      <c r="AV288" s="84"/>
      <c r="AW288" s="84"/>
      <c r="AX288" s="84"/>
      <c r="AY288" s="84"/>
      <c r="AZ288" s="84"/>
      <c r="BA288" s="84"/>
      <c r="BB288" s="84"/>
      <c r="BC288" s="84"/>
      <c r="BD288" s="84"/>
    </row>
    <row r="289" spans="3:92" ht="24.9" customHeight="1">
      <c r="C289" s="84"/>
      <c r="G289" s="84"/>
      <c r="H289" s="84"/>
      <c r="I289" s="84"/>
      <c r="J289" s="84"/>
      <c r="K289" s="84"/>
      <c r="L289" s="84"/>
      <c r="M289" s="84"/>
      <c r="N289" s="84"/>
      <c r="O289" s="84"/>
      <c r="S289" s="84"/>
      <c r="T289" s="84"/>
      <c r="U289" s="84"/>
      <c r="V289" s="84"/>
      <c r="W289" s="84"/>
      <c r="X289" s="84"/>
      <c r="Y289" s="84"/>
      <c r="Z289" s="84"/>
      <c r="AA289" s="84"/>
      <c r="AB289" s="84"/>
      <c r="AC289" s="94"/>
      <c r="AD289" s="84"/>
      <c r="AE289" s="84"/>
      <c r="AF289" s="84"/>
      <c r="AG289" s="84"/>
      <c r="AH289" s="84"/>
      <c r="AI289" s="84"/>
      <c r="AJ289" s="84"/>
      <c r="AK289" s="84"/>
      <c r="AL289" s="84"/>
      <c r="AM289" s="84"/>
      <c r="AN289" s="84"/>
      <c r="AO289" s="84"/>
      <c r="AP289" s="84"/>
      <c r="AQ289" s="84"/>
      <c r="AR289" s="84"/>
      <c r="AS289" s="84"/>
      <c r="AT289" s="84"/>
      <c r="AU289" s="84"/>
      <c r="AV289" s="84"/>
      <c r="AW289" s="84"/>
      <c r="AX289" s="84"/>
      <c r="AY289" s="84"/>
      <c r="AZ289" s="84"/>
      <c r="BA289" s="84"/>
      <c r="BB289" s="84"/>
      <c r="BC289" s="84"/>
      <c r="BD289" s="84"/>
    </row>
    <row r="290" spans="3:92" ht="24.9" customHeight="1">
      <c r="C290" s="84"/>
      <c r="G290" s="84"/>
      <c r="H290" s="84"/>
      <c r="I290" s="84"/>
      <c r="J290" s="84"/>
      <c r="K290" s="84"/>
      <c r="L290" s="84"/>
      <c r="M290" s="84"/>
      <c r="N290" s="84"/>
      <c r="O290" s="84"/>
      <c r="S290" s="84"/>
      <c r="T290" s="84"/>
      <c r="U290" s="84"/>
      <c r="V290" s="84"/>
      <c r="W290" s="84"/>
      <c r="X290" s="84"/>
      <c r="Y290" s="84"/>
      <c r="Z290" s="84"/>
      <c r="AA290" s="84"/>
      <c r="AB290" s="84"/>
      <c r="AC290" s="94"/>
      <c r="AD290" s="84"/>
      <c r="AE290" s="84"/>
      <c r="AF290" s="84"/>
      <c r="AG290" s="84"/>
      <c r="AH290" s="84"/>
      <c r="AI290" s="84"/>
      <c r="AJ290" s="84"/>
      <c r="AK290" s="84"/>
      <c r="AL290" s="84"/>
      <c r="AM290" s="84"/>
      <c r="AN290" s="84"/>
      <c r="AO290" s="84"/>
      <c r="AP290" s="84"/>
      <c r="AQ290" s="84"/>
      <c r="AR290" s="84"/>
      <c r="AS290" s="84"/>
      <c r="AT290" s="84"/>
      <c r="AU290" s="84"/>
      <c r="AV290" s="84"/>
      <c r="AW290" s="84"/>
      <c r="AX290" s="84"/>
      <c r="AY290" s="84"/>
      <c r="AZ290" s="84"/>
      <c r="BA290" s="84"/>
      <c r="BB290" s="84"/>
      <c r="BC290" s="84"/>
      <c r="BD290" s="84"/>
    </row>
    <row r="291" spans="3:92" s="107" customFormat="1" ht="9.9" customHeight="1">
      <c r="AC291" s="108"/>
      <c r="BG291" s="111"/>
      <c r="BH291" s="111"/>
      <c r="BI291" s="111"/>
      <c r="CH291" s="108"/>
      <c r="CI291" s="108"/>
      <c r="CJ291" s="108"/>
      <c r="CK291" s="108"/>
      <c r="CL291" s="108"/>
      <c r="CM291" s="108"/>
      <c r="CN291" s="108"/>
    </row>
    <row r="292" spans="3:92" ht="20.100000000000001" customHeight="1">
      <c r="C292" s="84"/>
      <c r="G292" s="84"/>
      <c r="H292" s="84"/>
      <c r="I292" s="84"/>
      <c r="J292" s="84"/>
      <c r="K292" s="84"/>
      <c r="L292" s="84"/>
      <c r="M292" s="84"/>
      <c r="N292" s="84"/>
      <c r="O292" s="84"/>
      <c r="S292" s="84"/>
      <c r="T292" s="84"/>
      <c r="U292" s="84"/>
      <c r="V292" s="84"/>
      <c r="W292" s="84"/>
      <c r="X292" s="84"/>
      <c r="Y292" s="84"/>
      <c r="Z292" s="84"/>
      <c r="AA292" s="84"/>
      <c r="AB292" s="84"/>
      <c r="AC292" s="201"/>
      <c r="AD292" s="84"/>
      <c r="AE292" s="84"/>
      <c r="AF292" s="84"/>
      <c r="AG292" s="84"/>
      <c r="AH292" s="84"/>
      <c r="AI292" s="84"/>
      <c r="AJ292" s="84"/>
      <c r="AK292" s="84"/>
      <c r="AL292" s="84"/>
      <c r="AM292" s="84"/>
      <c r="AN292" s="84"/>
      <c r="AO292" s="84"/>
      <c r="AP292" s="84"/>
      <c r="AQ292" s="84"/>
      <c r="AR292" s="84"/>
      <c r="AS292" s="84"/>
      <c r="AT292" s="84"/>
      <c r="AU292" s="84"/>
      <c r="AV292" s="84"/>
      <c r="AW292" s="84"/>
      <c r="AX292" s="84"/>
      <c r="AY292" s="84"/>
      <c r="AZ292" s="84"/>
      <c r="BA292" s="84"/>
      <c r="BB292" s="84"/>
      <c r="BC292" s="84"/>
      <c r="BD292" s="84"/>
    </row>
    <row r="293" spans="3:92" ht="18" customHeight="1">
      <c r="C293" s="84"/>
      <c r="G293" s="84"/>
      <c r="H293" s="84"/>
      <c r="I293" s="84"/>
      <c r="J293" s="84"/>
      <c r="K293" s="84"/>
      <c r="L293" s="84"/>
      <c r="M293" s="84"/>
      <c r="N293" s="84"/>
      <c r="O293" s="84"/>
      <c r="S293" s="84"/>
      <c r="T293" s="84"/>
      <c r="U293" s="84"/>
      <c r="V293" s="84"/>
      <c r="W293" s="84"/>
      <c r="X293" s="84"/>
      <c r="Y293" s="84"/>
      <c r="Z293" s="84"/>
      <c r="AA293" s="84"/>
      <c r="AB293" s="84"/>
      <c r="AC293" s="201"/>
      <c r="AD293" s="84"/>
      <c r="AE293" s="84"/>
      <c r="AF293" s="84"/>
      <c r="AG293" s="84"/>
      <c r="AH293" s="84"/>
      <c r="AI293" s="84"/>
      <c r="AJ293" s="84"/>
      <c r="AK293" s="84"/>
      <c r="AL293" s="84"/>
      <c r="AM293" s="84"/>
      <c r="AN293" s="84"/>
      <c r="AO293" s="84"/>
      <c r="AP293" s="84"/>
      <c r="AQ293" s="84"/>
      <c r="AR293" s="84"/>
      <c r="AS293" s="84"/>
      <c r="AT293" s="84"/>
      <c r="AU293" s="84"/>
      <c r="AV293" s="84"/>
      <c r="AW293" s="84"/>
      <c r="AX293" s="84"/>
      <c r="AY293" s="84"/>
      <c r="AZ293" s="84"/>
      <c r="BA293" s="84"/>
      <c r="BB293" s="84"/>
      <c r="BC293" s="84"/>
      <c r="BD293" s="84"/>
    </row>
    <row r="294" spans="3:92" ht="15" customHeight="1">
      <c r="C294" s="84"/>
      <c r="G294" s="84"/>
      <c r="H294" s="84"/>
      <c r="I294" s="84"/>
      <c r="J294" s="84"/>
      <c r="K294" s="84"/>
      <c r="L294" s="84"/>
      <c r="M294" s="84"/>
      <c r="N294" s="84"/>
      <c r="O294" s="84"/>
      <c r="S294" s="84"/>
      <c r="T294" s="84"/>
      <c r="U294" s="84"/>
      <c r="V294" s="84"/>
      <c r="W294" s="84"/>
      <c r="X294" s="84"/>
      <c r="Y294" s="84"/>
      <c r="Z294" s="84"/>
      <c r="AA294" s="84"/>
      <c r="AB294" s="84"/>
      <c r="AC294" s="201"/>
      <c r="AD294" s="84"/>
      <c r="AE294" s="84"/>
      <c r="AF294" s="84"/>
      <c r="AG294" s="84"/>
      <c r="AH294" s="84"/>
      <c r="AI294" s="84"/>
      <c r="AJ294" s="84"/>
      <c r="AK294" s="84"/>
      <c r="AL294" s="84"/>
      <c r="AM294" s="84"/>
      <c r="AN294" s="84"/>
      <c r="AO294" s="84"/>
      <c r="AP294" s="84"/>
      <c r="AQ294" s="84"/>
      <c r="AR294" s="84"/>
      <c r="AS294" s="84"/>
      <c r="AT294" s="84"/>
      <c r="AU294" s="84"/>
      <c r="AV294" s="84"/>
      <c r="AW294" s="84"/>
      <c r="AX294" s="84"/>
      <c r="AY294" s="84"/>
      <c r="AZ294" s="84"/>
      <c r="BA294" s="84"/>
      <c r="BB294" s="84"/>
      <c r="BC294" s="84"/>
      <c r="BD294" s="84"/>
    </row>
    <row r="295" spans="3:92" ht="110.1" customHeight="1">
      <c r="C295" s="84"/>
      <c r="G295" s="84"/>
      <c r="H295" s="84"/>
      <c r="I295" s="84"/>
      <c r="J295" s="84"/>
      <c r="K295" s="84"/>
      <c r="L295" s="84"/>
      <c r="M295" s="84"/>
      <c r="N295" s="84"/>
      <c r="O295" s="84"/>
      <c r="S295" s="84"/>
      <c r="T295" s="84"/>
      <c r="U295" s="84"/>
      <c r="V295" s="84"/>
      <c r="W295" s="84"/>
      <c r="X295" s="84"/>
      <c r="Y295" s="84"/>
      <c r="Z295" s="84"/>
      <c r="AA295" s="84"/>
      <c r="AB295" s="84"/>
      <c r="AC295" s="201"/>
      <c r="AD295" s="84"/>
      <c r="AE295" s="84"/>
      <c r="AF295" s="84"/>
      <c r="AG295" s="84"/>
      <c r="AH295" s="84"/>
      <c r="AI295" s="84"/>
      <c r="AJ295" s="84"/>
      <c r="AK295" s="84"/>
      <c r="AL295" s="84"/>
      <c r="AM295" s="84"/>
      <c r="AN295" s="84"/>
      <c r="AO295" s="84"/>
      <c r="AP295" s="84"/>
      <c r="AQ295" s="84"/>
      <c r="AR295" s="84"/>
      <c r="AS295" s="84"/>
      <c r="AT295" s="84"/>
      <c r="AU295" s="84"/>
      <c r="AV295" s="84"/>
      <c r="AW295" s="84"/>
      <c r="AX295" s="84"/>
      <c r="AY295" s="84"/>
      <c r="AZ295" s="84"/>
      <c r="BA295" s="84"/>
      <c r="BB295" s="84"/>
      <c r="BC295" s="84"/>
      <c r="BD295" s="84"/>
    </row>
    <row r="296" spans="3:92" ht="3.9" customHeight="1">
      <c r="C296" s="84"/>
      <c r="G296" s="84"/>
      <c r="H296" s="84"/>
      <c r="I296" s="84"/>
      <c r="J296" s="84"/>
      <c r="K296" s="84"/>
      <c r="L296" s="84"/>
      <c r="M296" s="84"/>
      <c r="N296" s="84"/>
      <c r="O296" s="84"/>
      <c r="S296" s="84"/>
      <c r="T296" s="84"/>
      <c r="U296" s="84"/>
      <c r="V296" s="84"/>
      <c r="W296" s="84"/>
      <c r="X296" s="84"/>
      <c r="Y296" s="84"/>
      <c r="Z296" s="84"/>
      <c r="AA296" s="84"/>
      <c r="AB296" s="84"/>
      <c r="AC296" s="201"/>
      <c r="AD296" s="84"/>
      <c r="AE296" s="84"/>
      <c r="AF296" s="84"/>
      <c r="AG296" s="84"/>
      <c r="AH296" s="84"/>
      <c r="AI296" s="84"/>
      <c r="AJ296" s="84"/>
      <c r="AK296" s="84"/>
      <c r="AL296" s="84"/>
      <c r="AM296" s="84"/>
      <c r="AN296" s="84"/>
      <c r="AO296" s="84"/>
      <c r="AP296" s="84"/>
      <c r="AQ296" s="84"/>
      <c r="AR296" s="84"/>
      <c r="AS296" s="84"/>
      <c r="AT296" s="84"/>
      <c r="AU296" s="84"/>
      <c r="AV296" s="84"/>
      <c r="AW296" s="84"/>
      <c r="AX296" s="84"/>
      <c r="AY296" s="84"/>
      <c r="AZ296" s="84"/>
      <c r="BA296" s="84"/>
      <c r="BB296" s="84"/>
      <c r="BC296" s="84"/>
      <c r="BD296" s="84"/>
    </row>
    <row r="297" spans="3:92" ht="17.100000000000001" customHeight="1">
      <c r="C297" s="84"/>
      <c r="G297" s="84"/>
      <c r="H297" s="84"/>
      <c r="I297" s="84"/>
      <c r="J297" s="84"/>
      <c r="K297" s="84"/>
      <c r="L297" s="84"/>
      <c r="M297" s="84"/>
      <c r="N297" s="84"/>
      <c r="O297" s="84"/>
      <c r="S297" s="84"/>
      <c r="T297" s="84"/>
      <c r="U297" s="84"/>
      <c r="V297" s="84"/>
      <c r="W297" s="84"/>
      <c r="X297" s="84"/>
      <c r="Y297" s="84"/>
      <c r="Z297" s="84"/>
      <c r="AA297" s="84"/>
      <c r="AB297" s="84"/>
      <c r="AC297" s="92"/>
      <c r="AD297" s="84"/>
      <c r="AE297" s="84"/>
      <c r="AF297" s="84"/>
      <c r="AG297" s="84"/>
      <c r="AH297" s="84"/>
      <c r="AI297" s="84"/>
      <c r="AJ297" s="84"/>
      <c r="AK297" s="84"/>
      <c r="AL297" s="84"/>
      <c r="AM297" s="84"/>
      <c r="AN297" s="84"/>
      <c r="AO297" s="84"/>
      <c r="AP297" s="84"/>
      <c r="AQ297" s="84"/>
      <c r="AR297" s="84"/>
      <c r="AS297" s="84"/>
      <c r="AT297" s="84"/>
      <c r="AU297" s="84"/>
      <c r="AV297" s="84"/>
      <c r="AW297" s="84"/>
      <c r="AX297" s="84"/>
      <c r="AY297" s="84"/>
      <c r="AZ297" s="84"/>
      <c r="BA297" s="84"/>
      <c r="BB297" s="84"/>
      <c r="BC297" s="84"/>
      <c r="BD297" s="84"/>
    </row>
    <row r="298" spans="3:92" ht="17.100000000000001" customHeight="1">
      <c r="C298" s="84"/>
      <c r="G298" s="84"/>
      <c r="H298" s="84"/>
      <c r="I298" s="84"/>
      <c r="J298" s="84"/>
      <c r="K298" s="84"/>
      <c r="L298" s="84"/>
      <c r="M298" s="84"/>
      <c r="N298" s="84"/>
      <c r="O298" s="84"/>
      <c r="S298" s="84"/>
      <c r="T298" s="84"/>
      <c r="U298" s="84"/>
      <c r="V298" s="84"/>
      <c r="W298" s="84"/>
      <c r="X298" s="84"/>
      <c r="Y298" s="84"/>
      <c r="Z298" s="84"/>
      <c r="AA298" s="84"/>
      <c r="AB298" s="84"/>
      <c r="AC298" s="92"/>
      <c r="AD298" s="84"/>
      <c r="AE298" s="84"/>
      <c r="AF298" s="84"/>
      <c r="AG298" s="84"/>
      <c r="AH298" s="84"/>
      <c r="AI298" s="84"/>
      <c r="AJ298" s="84"/>
      <c r="AK298" s="84"/>
      <c r="AL298" s="84"/>
      <c r="AM298" s="84"/>
      <c r="AN298" s="84"/>
      <c r="AO298" s="84"/>
      <c r="AP298" s="84"/>
      <c r="AQ298" s="84"/>
      <c r="AR298" s="84"/>
      <c r="AS298" s="84"/>
      <c r="AT298" s="84"/>
      <c r="AU298" s="84"/>
      <c r="AV298" s="84"/>
      <c r="AW298" s="84"/>
      <c r="AX298" s="84"/>
      <c r="AY298" s="84"/>
      <c r="AZ298" s="84"/>
      <c r="BA298" s="84"/>
      <c r="BB298" s="84"/>
      <c r="BC298" s="84"/>
      <c r="BD298" s="84"/>
    </row>
    <row r="299" spans="3:92" ht="17.100000000000001" customHeight="1">
      <c r="C299" s="84"/>
      <c r="G299" s="84"/>
      <c r="H299" s="84"/>
      <c r="I299" s="84"/>
      <c r="J299" s="84"/>
      <c r="K299" s="84"/>
      <c r="L299" s="84"/>
      <c r="M299" s="84"/>
      <c r="N299" s="84"/>
      <c r="O299" s="84"/>
      <c r="S299" s="84"/>
      <c r="T299" s="84"/>
      <c r="U299" s="84"/>
      <c r="V299" s="84"/>
      <c r="W299" s="84"/>
      <c r="X299" s="84"/>
      <c r="Y299" s="84"/>
      <c r="Z299" s="84"/>
      <c r="AA299" s="84"/>
      <c r="AB299" s="84"/>
      <c r="AC299" s="92"/>
      <c r="AD299" s="84"/>
      <c r="AE299" s="84"/>
      <c r="AF299" s="84"/>
      <c r="AG299" s="84"/>
      <c r="AH299" s="84"/>
      <c r="AI299" s="84"/>
      <c r="AJ299" s="84"/>
      <c r="AK299" s="84"/>
      <c r="AL299" s="84"/>
      <c r="AM299" s="84"/>
      <c r="AN299" s="84"/>
      <c r="AO299" s="84"/>
      <c r="AP299" s="84"/>
      <c r="AQ299" s="84"/>
      <c r="AR299" s="84"/>
      <c r="AS299" s="84"/>
      <c r="AT299" s="84"/>
      <c r="AU299" s="84"/>
      <c r="AV299" s="84"/>
      <c r="AW299" s="84"/>
      <c r="AX299" s="84"/>
      <c r="AY299" s="84"/>
      <c r="AZ299" s="84"/>
      <c r="BA299" s="84"/>
      <c r="BB299" s="84"/>
      <c r="BC299" s="84"/>
      <c r="BD299" s="84"/>
    </row>
    <row r="300" spans="3:92" ht="17.100000000000001" customHeight="1">
      <c r="C300" s="84"/>
      <c r="G300" s="84"/>
      <c r="H300" s="84"/>
      <c r="I300" s="84"/>
      <c r="J300" s="84"/>
      <c r="K300" s="84"/>
      <c r="L300" s="84"/>
      <c r="M300" s="84"/>
      <c r="N300" s="84"/>
      <c r="O300" s="84"/>
      <c r="S300" s="84"/>
      <c r="T300" s="84"/>
      <c r="U300" s="84"/>
      <c r="V300" s="84"/>
      <c r="W300" s="84"/>
      <c r="X300" s="84"/>
      <c r="Y300" s="84"/>
      <c r="Z300" s="84"/>
      <c r="AA300" s="84"/>
      <c r="AB300" s="84"/>
      <c r="AC300" s="92"/>
      <c r="AD300" s="84"/>
      <c r="AE300" s="84"/>
      <c r="AF300" s="84"/>
      <c r="AG300" s="84"/>
      <c r="AH300" s="84"/>
      <c r="AI300" s="84"/>
      <c r="AJ300" s="84"/>
      <c r="AK300" s="84"/>
      <c r="AL300" s="84"/>
      <c r="AM300" s="84"/>
      <c r="AN300" s="84"/>
      <c r="AO300" s="84"/>
      <c r="AP300" s="84"/>
      <c r="AQ300" s="84"/>
      <c r="AR300" s="84"/>
      <c r="AS300" s="84"/>
      <c r="AT300" s="84"/>
      <c r="AU300" s="84"/>
      <c r="AV300" s="84"/>
      <c r="AW300" s="84"/>
      <c r="AX300" s="84"/>
      <c r="AY300" s="84"/>
      <c r="AZ300" s="84"/>
      <c r="BA300" s="84"/>
      <c r="BB300" s="84"/>
      <c r="BC300" s="84"/>
      <c r="BD300" s="84"/>
    </row>
    <row r="301" spans="3:92" ht="17.100000000000001" customHeight="1">
      <c r="C301" s="84"/>
      <c r="G301" s="84"/>
      <c r="H301" s="84"/>
      <c r="I301" s="84"/>
      <c r="J301" s="84"/>
      <c r="K301" s="84"/>
      <c r="L301" s="84"/>
      <c r="M301" s="84"/>
      <c r="N301" s="84"/>
      <c r="O301" s="84"/>
      <c r="S301" s="84"/>
      <c r="T301" s="84"/>
      <c r="U301" s="84"/>
      <c r="V301" s="84"/>
      <c r="W301" s="84"/>
      <c r="X301" s="84"/>
      <c r="Y301" s="84"/>
      <c r="Z301" s="84"/>
      <c r="AA301" s="84"/>
      <c r="AB301" s="84"/>
      <c r="AC301" s="92"/>
      <c r="AD301" s="84"/>
      <c r="AE301" s="84"/>
      <c r="AF301" s="84"/>
      <c r="AG301" s="84"/>
      <c r="AH301" s="84"/>
      <c r="AI301" s="84"/>
      <c r="AJ301" s="84"/>
      <c r="AK301" s="84"/>
      <c r="AL301" s="84"/>
      <c r="AM301" s="84"/>
      <c r="AN301" s="84"/>
      <c r="AO301" s="84"/>
      <c r="AP301" s="84"/>
      <c r="AQ301" s="84"/>
      <c r="AR301" s="84"/>
      <c r="AS301" s="84"/>
      <c r="AT301" s="84"/>
      <c r="AU301" s="84"/>
      <c r="AV301" s="84"/>
      <c r="AW301" s="84"/>
      <c r="AX301" s="84"/>
      <c r="AY301" s="84"/>
      <c r="AZ301" s="84"/>
      <c r="BA301" s="84"/>
      <c r="BB301" s="84"/>
      <c r="BC301" s="84"/>
      <c r="BD301" s="84"/>
    </row>
    <row r="302" spans="3:92" ht="17.100000000000001" customHeight="1">
      <c r="C302" s="84"/>
      <c r="G302" s="84"/>
      <c r="H302" s="84"/>
      <c r="I302" s="84"/>
      <c r="J302" s="84"/>
      <c r="K302" s="84"/>
      <c r="L302" s="84"/>
      <c r="M302" s="84"/>
      <c r="N302" s="84"/>
      <c r="O302" s="84"/>
      <c r="S302" s="84"/>
      <c r="T302" s="84"/>
      <c r="U302" s="84"/>
      <c r="V302" s="84"/>
      <c r="W302" s="84"/>
      <c r="X302" s="84"/>
      <c r="Y302" s="84"/>
      <c r="Z302" s="84"/>
      <c r="AA302" s="84"/>
      <c r="AB302" s="84"/>
      <c r="AC302" s="92"/>
      <c r="AD302" s="84"/>
      <c r="AE302" s="84"/>
      <c r="AF302" s="84"/>
      <c r="AG302" s="84"/>
      <c r="AH302" s="84"/>
      <c r="AI302" s="84"/>
      <c r="AJ302" s="84"/>
      <c r="AK302" s="84"/>
      <c r="AL302" s="84"/>
      <c r="AM302" s="84"/>
      <c r="AN302" s="84"/>
      <c r="AO302" s="84"/>
      <c r="AP302" s="84"/>
      <c r="AQ302" s="84"/>
      <c r="AR302" s="84"/>
      <c r="AS302" s="84"/>
      <c r="AT302" s="84"/>
      <c r="AU302" s="84"/>
      <c r="AV302" s="84"/>
      <c r="AW302" s="84"/>
      <c r="AX302" s="84"/>
      <c r="AY302" s="84"/>
      <c r="AZ302" s="84"/>
      <c r="BA302" s="84"/>
      <c r="BB302" s="84"/>
      <c r="BC302" s="84"/>
      <c r="BD302" s="84"/>
    </row>
    <row r="303" spans="3:92" ht="17.100000000000001" customHeight="1">
      <c r="C303" s="84"/>
      <c r="G303" s="84"/>
      <c r="H303" s="84"/>
      <c r="I303" s="84"/>
      <c r="J303" s="84"/>
      <c r="K303" s="84"/>
      <c r="L303" s="84"/>
      <c r="M303" s="84"/>
      <c r="N303" s="84"/>
      <c r="O303" s="84"/>
      <c r="S303" s="84"/>
      <c r="T303" s="84"/>
      <c r="U303" s="84"/>
      <c r="V303" s="84"/>
      <c r="W303" s="84"/>
      <c r="X303" s="84"/>
      <c r="Y303" s="84"/>
      <c r="Z303" s="84"/>
      <c r="AA303" s="84"/>
      <c r="AB303" s="84"/>
      <c r="AC303" s="92"/>
      <c r="AD303" s="84"/>
      <c r="AE303" s="84"/>
      <c r="AF303" s="84"/>
      <c r="AG303" s="84"/>
      <c r="AH303" s="84"/>
      <c r="AI303" s="84"/>
      <c r="AJ303" s="84"/>
      <c r="AK303" s="84"/>
      <c r="AL303" s="84"/>
      <c r="AM303" s="84"/>
      <c r="AN303" s="84"/>
      <c r="AO303" s="84"/>
      <c r="AP303" s="84"/>
      <c r="AQ303" s="84"/>
      <c r="AR303" s="84"/>
      <c r="AS303" s="84"/>
      <c r="AT303" s="84"/>
      <c r="AU303" s="84"/>
      <c r="AV303" s="84"/>
      <c r="AW303" s="84"/>
      <c r="AX303" s="84"/>
      <c r="AY303" s="84"/>
      <c r="AZ303" s="84"/>
      <c r="BA303" s="84"/>
      <c r="BB303" s="84"/>
      <c r="BC303" s="84"/>
      <c r="BD303" s="84"/>
    </row>
    <row r="304" spans="3:92" ht="17.100000000000001" customHeight="1">
      <c r="C304" s="84"/>
      <c r="G304" s="84"/>
      <c r="H304" s="84"/>
      <c r="I304" s="84"/>
      <c r="J304" s="84"/>
      <c r="K304" s="84"/>
      <c r="L304" s="84"/>
      <c r="M304" s="84"/>
      <c r="N304" s="84"/>
      <c r="O304" s="84"/>
      <c r="S304" s="84"/>
      <c r="T304" s="84"/>
      <c r="U304" s="84"/>
      <c r="V304" s="84"/>
      <c r="W304" s="84"/>
      <c r="X304" s="84"/>
      <c r="Y304" s="84"/>
      <c r="Z304" s="84"/>
      <c r="AA304" s="84"/>
      <c r="AB304" s="84"/>
      <c r="AC304" s="92"/>
      <c r="AD304" s="84"/>
      <c r="AE304" s="84"/>
      <c r="AF304" s="84"/>
      <c r="AG304" s="84"/>
      <c r="AH304" s="84"/>
      <c r="AI304" s="84"/>
      <c r="AJ304" s="84"/>
      <c r="AK304" s="84"/>
      <c r="AL304" s="84"/>
      <c r="AM304" s="84"/>
      <c r="AN304" s="84"/>
      <c r="AO304" s="84"/>
      <c r="AP304" s="84"/>
      <c r="AQ304" s="84"/>
      <c r="AR304" s="84"/>
      <c r="AS304" s="84"/>
      <c r="AT304" s="84"/>
      <c r="AU304" s="84"/>
      <c r="AV304" s="84"/>
      <c r="AW304" s="84"/>
      <c r="AX304" s="84"/>
      <c r="AY304" s="84"/>
      <c r="AZ304" s="84"/>
      <c r="BA304" s="84"/>
      <c r="BB304" s="84"/>
      <c r="BC304" s="84"/>
      <c r="BD304" s="84"/>
    </row>
    <row r="305" spans="3:56" ht="17.100000000000001" customHeight="1">
      <c r="C305" s="84"/>
      <c r="G305" s="84"/>
      <c r="H305" s="84"/>
      <c r="I305" s="84"/>
      <c r="J305" s="84"/>
      <c r="K305" s="84"/>
      <c r="L305" s="84"/>
      <c r="M305" s="84"/>
      <c r="N305" s="84"/>
      <c r="O305" s="84"/>
      <c r="S305" s="84"/>
      <c r="T305" s="84"/>
      <c r="U305" s="84"/>
      <c r="V305" s="84"/>
      <c r="W305" s="84"/>
      <c r="X305" s="84"/>
      <c r="Y305" s="84"/>
      <c r="Z305" s="84"/>
      <c r="AA305" s="84"/>
      <c r="AB305" s="84"/>
      <c r="AC305" s="92"/>
      <c r="AD305" s="84"/>
      <c r="AE305" s="84"/>
      <c r="AF305" s="84"/>
      <c r="AG305" s="84"/>
      <c r="AH305" s="84"/>
      <c r="AI305" s="84"/>
      <c r="AJ305" s="84"/>
      <c r="AK305" s="84"/>
      <c r="AL305" s="84"/>
      <c r="AM305" s="84"/>
      <c r="AN305" s="84"/>
      <c r="AO305" s="84"/>
      <c r="AP305" s="84"/>
      <c r="AQ305" s="84"/>
      <c r="AR305" s="84"/>
      <c r="AS305" s="84"/>
      <c r="AT305" s="84"/>
      <c r="AU305" s="84"/>
      <c r="AV305" s="84"/>
      <c r="AW305" s="84"/>
      <c r="AX305" s="84"/>
      <c r="AY305" s="84"/>
      <c r="AZ305" s="84"/>
      <c r="BA305" s="84"/>
      <c r="BB305" s="84"/>
      <c r="BC305" s="84"/>
      <c r="BD305" s="84"/>
    </row>
    <row r="306" spans="3:56" ht="17.100000000000001" customHeight="1">
      <c r="C306" s="84"/>
      <c r="G306" s="84"/>
      <c r="H306" s="84"/>
      <c r="I306" s="84"/>
      <c r="J306" s="84"/>
      <c r="K306" s="84"/>
      <c r="L306" s="84"/>
      <c r="M306" s="84"/>
      <c r="N306" s="84"/>
      <c r="O306" s="84"/>
      <c r="S306" s="84"/>
      <c r="T306" s="84"/>
      <c r="U306" s="84"/>
      <c r="V306" s="84"/>
      <c r="W306" s="84"/>
      <c r="X306" s="84"/>
      <c r="Y306" s="84"/>
      <c r="Z306" s="84"/>
      <c r="AA306" s="84"/>
      <c r="AB306" s="84"/>
      <c r="AC306" s="92"/>
      <c r="AD306" s="84"/>
      <c r="AE306" s="84"/>
      <c r="AF306" s="84"/>
      <c r="AG306" s="84"/>
      <c r="AH306" s="84"/>
      <c r="AI306" s="84"/>
      <c r="AJ306" s="84"/>
      <c r="AK306" s="84"/>
      <c r="AL306" s="84"/>
      <c r="AM306" s="84"/>
      <c r="AN306" s="84"/>
      <c r="AO306" s="84"/>
      <c r="AP306" s="84"/>
      <c r="AQ306" s="84"/>
      <c r="AR306" s="84"/>
      <c r="AS306" s="84"/>
      <c r="AT306" s="84"/>
      <c r="AU306" s="84"/>
      <c r="AV306" s="84"/>
      <c r="AW306" s="84"/>
      <c r="AX306" s="84"/>
      <c r="AY306" s="84"/>
      <c r="AZ306" s="84"/>
      <c r="BA306" s="84"/>
      <c r="BB306" s="84"/>
      <c r="BC306" s="84"/>
      <c r="BD306" s="84"/>
    </row>
    <row r="307" spans="3:56" ht="17.100000000000001" customHeight="1">
      <c r="C307" s="84"/>
      <c r="G307" s="84"/>
      <c r="H307" s="84"/>
      <c r="I307" s="84"/>
      <c r="J307" s="84"/>
      <c r="K307" s="84"/>
      <c r="L307" s="84"/>
      <c r="M307" s="84"/>
      <c r="N307" s="84"/>
      <c r="O307" s="84"/>
      <c r="S307" s="84"/>
      <c r="T307" s="84"/>
      <c r="U307" s="84"/>
      <c r="V307" s="84"/>
      <c r="W307" s="84"/>
      <c r="X307" s="84"/>
      <c r="Y307" s="84"/>
      <c r="Z307" s="84"/>
      <c r="AA307" s="84"/>
      <c r="AB307" s="84"/>
      <c r="AC307" s="92"/>
      <c r="AD307" s="84"/>
      <c r="AE307" s="84"/>
      <c r="AF307" s="84"/>
      <c r="AG307" s="84"/>
      <c r="AH307" s="84"/>
      <c r="AI307" s="84"/>
      <c r="AJ307" s="84"/>
      <c r="AK307" s="84"/>
      <c r="AL307" s="84"/>
      <c r="AM307" s="84"/>
      <c r="AN307" s="84"/>
      <c r="AO307" s="84"/>
      <c r="AP307" s="84"/>
      <c r="AQ307" s="84"/>
      <c r="AR307" s="84"/>
      <c r="AS307" s="84"/>
      <c r="AT307" s="84"/>
      <c r="AU307" s="84"/>
      <c r="AV307" s="84"/>
      <c r="AW307" s="84"/>
      <c r="AX307" s="84"/>
      <c r="AY307" s="84"/>
      <c r="AZ307" s="84"/>
      <c r="BA307" s="84"/>
      <c r="BB307" s="84"/>
      <c r="BC307" s="84"/>
      <c r="BD307" s="84"/>
    </row>
    <row r="308" spans="3:56" ht="17.100000000000001" customHeight="1">
      <c r="C308" s="84"/>
      <c r="G308" s="84"/>
      <c r="H308" s="84"/>
      <c r="I308" s="84"/>
      <c r="J308" s="84"/>
      <c r="K308" s="84"/>
      <c r="L308" s="84"/>
      <c r="M308" s="84"/>
      <c r="N308" s="84"/>
      <c r="O308" s="84"/>
      <c r="S308" s="84"/>
      <c r="T308" s="84"/>
      <c r="U308" s="84"/>
      <c r="V308" s="84"/>
      <c r="W308" s="84"/>
      <c r="X308" s="84"/>
      <c r="Y308" s="84"/>
      <c r="Z308" s="84"/>
      <c r="AA308" s="84"/>
      <c r="AB308" s="84"/>
      <c r="AC308" s="92"/>
      <c r="AD308" s="84"/>
      <c r="AE308" s="84"/>
      <c r="AF308" s="84"/>
      <c r="AG308" s="84"/>
      <c r="AH308" s="84"/>
      <c r="AI308" s="84"/>
      <c r="AJ308" s="84"/>
      <c r="AK308" s="84"/>
      <c r="AL308" s="84"/>
      <c r="AM308" s="84"/>
      <c r="AN308" s="84"/>
      <c r="AO308" s="84"/>
      <c r="AP308" s="84"/>
      <c r="AQ308" s="84"/>
      <c r="AR308" s="84"/>
      <c r="AS308" s="84"/>
      <c r="AT308" s="84"/>
      <c r="AU308" s="84"/>
      <c r="AV308" s="84"/>
      <c r="AW308" s="84"/>
      <c r="AX308" s="84"/>
      <c r="AY308" s="84"/>
      <c r="AZ308" s="84"/>
      <c r="BA308" s="84"/>
      <c r="BB308" s="84"/>
      <c r="BC308" s="84"/>
      <c r="BD308" s="84"/>
    </row>
    <row r="309" spans="3:56" ht="17.100000000000001" customHeight="1">
      <c r="C309" s="84"/>
      <c r="G309" s="84"/>
      <c r="H309" s="84"/>
      <c r="I309" s="84"/>
      <c r="J309" s="84"/>
      <c r="K309" s="84"/>
      <c r="L309" s="84"/>
      <c r="M309" s="84"/>
      <c r="N309" s="84"/>
      <c r="O309" s="84"/>
      <c r="S309" s="84"/>
      <c r="T309" s="84"/>
      <c r="U309" s="84"/>
      <c r="V309" s="84"/>
      <c r="W309" s="84"/>
      <c r="X309" s="84"/>
      <c r="Y309" s="84"/>
      <c r="Z309" s="84"/>
      <c r="AA309" s="84"/>
      <c r="AB309" s="84"/>
      <c r="AC309" s="92"/>
      <c r="AD309" s="84"/>
      <c r="AE309" s="84"/>
      <c r="AF309" s="84"/>
      <c r="AG309" s="84"/>
      <c r="AH309" s="84"/>
      <c r="AI309" s="84"/>
      <c r="AJ309" s="84"/>
      <c r="AK309" s="84"/>
      <c r="AL309" s="84"/>
      <c r="AM309" s="84"/>
      <c r="AN309" s="84"/>
      <c r="AO309" s="84"/>
      <c r="AP309" s="84"/>
      <c r="AQ309" s="84"/>
      <c r="AR309" s="84"/>
      <c r="AS309" s="84"/>
      <c r="AT309" s="84"/>
      <c r="AU309" s="84"/>
      <c r="AV309" s="84"/>
      <c r="AW309" s="84"/>
      <c r="AX309" s="84"/>
      <c r="AY309" s="84"/>
      <c r="AZ309" s="84"/>
      <c r="BA309" s="84"/>
      <c r="BB309" s="84"/>
      <c r="BC309" s="84"/>
      <c r="BD309" s="84"/>
    </row>
    <row r="310" spans="3:56" ht="12.75" customHeight="1"/>
    <row r="335" spans="2:29" ht="17.100000000000001" customHeight="1">
      <c r="B335" s="31"/>
      <c r="C335" s="206"/>
      <c r="D335" s="146"/>
      <c r="E335" s="146"/>
      <c r="F335" s="146"/>
      <c r="G335" s="146"/>
      <c r="H335" s="146"/>
      <c r="I335" s="146"/>
      <c r="J335" s="146"/>
      <c r="K335" s="146"/>
      <c r="L335" s="146"/>
      <c r="M335" s="146"/>
      <c r="N335" s="92"/>
      <c r="O335" s="206"/>
      <c r="P335" s="146"/>
      <c r="Q335" s="146"/>
      <c r="R335" s="146"/>
      <c r="S335" s="146"/>
      <c r="T335" s="146"/>
      <c r="U335" s="146"/>
      <c r="V335" s="146"/>
      <c r="W335" s="146"/>
      <c r="X335" s="146"/>
      <c r="Y335" s="146"/>
      <c r="Z335" s="92"/>
      <c r="AA335" s="206"/>
      <c r="AB335" s="92"/>
      <c r="AC335" s="92"/>
    </row>
    <row r="336" spans="2:29" ht="17.100000000000001" customHeight="1">
      <c r="B336" s="31"/>
      <c r="C336" s="206"/>
      <c r="D336" s="146"/>
      <c r="E336" s="146"/>
      <c r="F336" s="146"/>
      <c r="G336" s="146"/>
      <c r="H336" s="146"/>
      <c r="I336" s="146"/>
      <c r="J336" s="146"/>
      <c r="K336" s="146"/>
      <c r="L336" s="146"/>
      <c r="M336" s="146"/>
      <c r="N336" s="92"/>
      <c r="O336" s="206"/>
      <c r="P336" s="146"/>
      <c r="Q336" s="146"/>
      <c r="R336" s="146"/>
      <c r="S336" s="146"/>
      <c r="T336" s="146"/>
      <c r="U336" s="146"/>
      <c r="V336" s="146"/>
      <c r="W336" s="146"/>
      <c r="X336" s="146"/>
      <c r="Y336" s="146"/>
      <c r="Z336" s="92"/>
      <c r="AA336" s="206"/>
      <c r="AB336" s="92"/>
      <c r="AC336" s="92"/>
    </row>
    <row r="337" spans="2:29" ht="17.100000000000001" customHeight="1">
      <c r="B337" s="31"/>
      <c r="C337" s="206"/>
      <c r="D337" s="146"/>
      <c r="E337" s="146"/>
      <c r="F337" s="146"/>
      <c r="G337" s="146"/>
      <c r="H337" s="146"/>
      <c r="I337" s="146"/>
      <c r="J337" s="146"/>
      <c r="K337" s="146"/>
      <c r="L337" s="146"/>
      <c r="M337" s="146"/>
      <c r="N337" s="92"/>
      <c r="O337" s="206"/>
      <c r="P337" s="146"/>
      <c r="Q337" s="146"/>
      <c r="R337" s="146"/>
      <c r="S337" s="146"/>
      <c r="T337" s="146"/>
      <c r="U337" s="146"/>
      <c r="V337" s="146"/>
      <c r="W337" s="146"/>
      <c r="X337" s="146"/>
      <c r="Y337" s="146"/>
      <c r="Z337" s="92"/>
      <c r="AA337" s="206"/>
      <c r="AB337" s="92"/>
      <c r="AC337" s="92"/>
    </row>
    <row r="338" spans="2:29" ht="17.100000000000001" customHeight="1">
      <c r="B338" s="31"/>
      <c r="C338" s="206"/>
      <c r="D338" s="146"/>
      <c r="E338" s="146"/>
      <c r="F338" s="146"/>
      <c r="G338" s="146"/>
      <c r="H338" s="146"/>
      <c r="I338" s="146"/>
      <c r="J338" s="146"/>
      <c r="K338" s="146"/>
      <c r="L338" s="146"/>
      <c r="M338" s="146"/>
      <c r="N338" s="92"/>
      <c r="O338" s="206"/>
      <c r="P338" s="146"/>
      <c r="Q338" s="146"/>
      <c r="R338" s="146"/>
      <c r="S338" s="146"/>
      <c r="T338" s="146"/>
      <c r="U338" s="146"/>
      <c r="V338" s="146"/>
      <c r="W338" s="146"/>
      <c r="X338" s="146"/>
      <c r="Y338" s="146"/>
      <c r="Z338" s="92"/>
      <c r="AA338" s="206"/>
      <c r="AB338" s="92"/>
      <c r="AC338" s="92"/>
    </row>
    <row r="339" spans="2:29" ht="17.100000000000001" customHeight="1">
      <c r="B339" s="31"/>
      <c r="C339" s="206"/>
      <c r="D339" s="146"/>
      <c r="E339" s="146"/>
      <c r="F339" s="146"/>
      <c r="G339" s="146"/>
      <c r="H339" s="146"/>
      <c r="I339" s="146"/>
      <c r="J339" s="146"/>
      <c r="K339" s="146"/>
      <c r="L339" s="146"/>
      <c r="M339" s="146"/>
      <c r="N339" s="92"/>
      <c r="O339" s="206"/>
      <c r="P339" s="146"/>
      <c r="Q339" s="146"/>
      <c r="R339" s="146"/>
      <c r="S339" s="146"/>
      <c r="T339" s="146"/>
      <c r="U339" s="146"/>
      <c r="V339" s="146"/>
      <c r="W339" s="146"/>
      <c r="X339" s="146"/>
      <c r="Y339" s="146"/>
      <c r="Z339" s="92"/>
      <c r="AA339" s="206"/>
      <c r="AB339" s="92"/>
      <c r="AC339" s="92"/>
    </row>
    <row r="340" spans="2:29" ht="17.100000000000001" customHeight="1">
      <c r="B340" s="31"/>
      <c r="C340" s="206"/>
      <c r="D340" s="146"/>
      <c r="E340" s="146"/>
      <c r="F340" s="146"/>
      <c r="G340" s="146"/>
      <c r="H340" s="146"/>
      <c r="I340" s="146"/>
      <c r="J340" s="146"/>
      <c r="K340" s="146"/>
      <c r="L340" s="146"/>
      <c r="M340" s="146"/>
      <c r="N340" s="92"/>
      <c r="O340" s="206"/>
      <c r="P340" s="146"/>
      <c r="Q340" s="146"/>
      <c r="R340" s="146"/>
      <c r="S340" s="146"/>
      <c r="T340" s="146"/>
      <c r="U340" s="146"/>
      <c r="V340" s="146"/>
      <c r="W340" s="146"/>
      <c r="X340" s="146"/>
      <c r="Y340" s="146"/>
      <c r="Z340" s="92"/>
      <c r="AA340" s="206"/>
      <c r="AB340" s="92"/>
      <c r="AC340" s="92"/>
    </row>
    <row r="341" spans="2:29" ht="17.100000000000001" customHeight="1">
      <c r="B341" s="31"/>
      <c r="C341" s="206"/>
      <c r="D341" s="146"/>
      <c r="E341" s="146"/>
      <c r="F341" s="146"/>
      <c r="G341" s="146"/>
      <c r="H341" s="146"/>
      <c r="I341" s="146"/>
      <c r="J341" s="146"/>
      <c r="K341" s="146"/>
      <c r="L341" s="146"/>
      <c r="M341" s="146"/>
      <c r="N341" s="92"/>
      <c r="O341" s="206"/>
      <c r="P341" s="146"/>
      <c r="Q341" s="146"/>
      <c r="R341" s="146"/>
      <c r="S341" s="146"/>
      <c r="T341" s="146"/>
      <c r="U341" s="146"/>
      <c r="V341" s="146"/>
      <c r="W341" s="146"/>
      <c r="X341" s="146"/>
      <c r="Y341" s="146"/>
      <c r="Z341" s="92"/>
      <c r="AA341" s="206"/>
      <c r="AB341" s="92"/>
      <c r="AC341" s="92"/>
    </row>
    <row r="342" spans="2:29" ht="17.100000000000001" customHeight="1">
      <c r="B342" s="31"/>
      <c r="C342" s="206"/>
      <c r="D342" s="146"/>
      <c r="E342" s="146"/>
      <c r="F342" s="146"/>
      <c r="G342" s="146"/>
      <c r="H342" s="146"/>
      <c r="I342" s="146"/>
      <c r="J342" s="146"/>
      <c r="K342" s="146"/>
      <c r="L342" s="146"/>
      <c r="M342" s="146"/>
      <c r="N342" s="92"/>
      <c r="O342" s="206"/>
      <c r="P342" s="146"/>
      <c r="Q342" s="146"/>
      <c r="R342" s="146"/>
      <c r="S342" s="146"/>
      <c r="T342" s="146"/>
      <c r="U342" s="146"/>
      <c r="V342" s="146"/>
      <c r="W342" s="146"/>
      <c r="X342" s="146"/>
      <c r="Y342" s="146"/>
      <c r="Z342" s="92"/>
      <c r="AA342" s="206"/>
      <c r="AB342" s="92"/>
      <c r="AC342" s="92"/>
    </row>
    <row r="343" spans="2:29" ht="17.100000000000001" customHeight="1">
      <c r="B343" s="31"/>
      <c r="C343" s="206"/>
      <c r="D343" s="146"/>
      <c r="E343" s="146"/>
      <c r="F343" s="146"/>
      <c r="G343" s="146"/>
      <c r="H343" s="146"/>
      <c r="I343" s="146"/>
      <c r="J343" s="146"/>
      <c r="K343" s="146"/>
      <c r="L343" s="146"/>
      <c r="M343" s="146"/>
      <c r="N343" s="92"/>
      <c r="O343" s="206"/>
      <c r="P343" s="146"/>
      <c r="Q343" s="146"/>
      <c r="R343" s="146"/>
      <c r="S343" s="146"/>
      <c r="T343" s="146"/>
      <c r="U343" s="146"/>
      <c r="V343" s="146"/>
      <c r="W343" s="146"/>
      <c r="X343" s="146"/>
      <c r="Y343" s="146"/>
      <c r="Z343" s="92"/>
      <c r="AA343" s="206"/>
      <c r="AB343" s="92"/>
      <c r="AC343" s="92"/>
    </row>
    <row r="344" spans="2:29" ht="17.100000000000001" customHeight="1">
      <c r="B344" s="31"/>
      <c r="C344" s="206"/>
      <c r="D344" s="146"/>
      <c r="E344" s="146"/>
      <c r="F344" s="146"/>
      <c r="G344" s="146"/>
      <c r="H344" s="146"/>
      <c r="I344" s="146"/>
      <c r="J344" s="146"/>
      <c r="K344" s="146"/>
      <c r="L344" s="146"/>
      <c r="M344" s="146"/>
      <c r="N344" s="92"/>
      <c r="O344" s="206"/>
      <c r="P344" s="146"/>
      <c r="Q344" s="146"/>
      <c r="R344" s="146"/>
      <c r="S344" s="146"/>
      <c r="T344" s="146"/>
      <c r="U344" s="146"/>
      <c r="V344" s="146"/>
      <c r="W344" s="146"/>
      <c r="X344" s="146"/>
      <c r="Y344" s="146"/>
      <c r="Z344" s="92"/>
      <c r="AA344" s="206"/>
      <c r="AB344" s="92"/>
      <c r="AC344" s="92"/>
    </row>
    <row r="345" spans="2:29" ht="17.100000000000001" customHeight="1">
      <c r="B345" s="31"/>
      <c r="C345" s="206"/>
      <c r="D345" s="146"/>
      <c r="E345" s="146"/>
      <c r="F345" s="146"/>
      <c r="G345" s="146"/>
      <c r="H345" s="146"/>
      <c r="I345" s="146"/>
      <c r="J345" s="146"/>
      <c r="K345" s="146"/>
      <c r="L345" s="146"/>
      <c r="M345" s="146"/>
      <c r="N345" s="92"/>
      <c r="O345" s="206"/>
      <c r="P345" s="146"/>
      <c r="Q345" s="146"/>
      <c r="R345" s="146"/>
      <c r="S345" s="146"/>
      <c r="T345" s="146"/>
      <c r="U345" s="146"/>
      <c r="V345" s="146"/>
      <c r="W345" s="146"/>
      <c r="X345" s="146"/>
      <c r="Y345" s="146"/>
      <c r="Z345" s="92"/>
      <c r="AA345" s="206"/>
      <c r="AB345" s="92"/>
      <c r="AC345" s="92"/>
    </row>
    <row r="346" spans="2:29" ht="17.100000000000001" customHeight="1">
      <c r="B346" s="31"/>
      <c r="C346" s="206"/>
      <c r="D346" s="146"/>
      <c r="E346" s="146"/>
      <c r="F346" s="146"/>
      <c r="G346" s="146"/>
      <c r="H346" s="146"/>
      <c r="I346" s="146"/>
      <c r="J346" s="146"/>
      <c r="K346" s="146"/>
      <c r="L346" s="146"/>
      <c r="M346" s="146"/>
      <c r="N346" s="92"/>
      <c r="O346" s="206"/>
      <c r="P346" s="146"/>
      <c r="Q346" s="146"/>
      <c r="R346" s="146"/>
      <c r="S346" s="146"/>
      <c r="T346" s="146"/>
      <c r="U346" s="146"/>
      <c r="V346" s="146"/>
      <c r="W346" s="146"/>
      <c r="X346" s="146"/>
      <c r="Y346" s="146"/>
      <c r="Z346" s="92"/>
      <c r="AA346" s="206"/>
      <c r="AB346" s="92"/>
      <c r="AC346" s="92"/>
    </row>
    <row r="347" spans="2:29" ht="17.100000000000001" customHeight="1">
      <c r="B347" s="31"/>
      <c r="C347" s="206"/>
      <c r="D347" s="146"/>
      <c r="E347" s="146"/>
      <c r="F347" s="146"/>
      <c r="G347" s="146"/>
      <c r="H347" s="146"/>
      <c r="I347" s="146"/>
      <c r="J347" s="146"/>
      <c r="K347" s="146"/>
      <c r="L347" s="146"/>
      <c r="M347" s="146"/>
      <c r="N347" s="92"/>
      <c r="O347" s="206"/>
      <c r="P347" s="146"/>
      <c r="Q347" s="146"/>
      <c r="R347" s="146"/>
      <c r="S347" s="146"/>
      <c r="T347" s="146"/>
      <c r="U347" s="146"/>
      <c r="V347" s="146"/>
      <c r="W347" s="146"/>
      <c r="X347" s="146"/>
      <c r="Y347" s="146"/>
      <c r="Z347" s="92"/>
      <c r="AA347" s="206"/>
      <c r="AB347" s="92"/>
      <c r="AC347" s="92"/>
    </row>
    <row r="348" spans="2:29" ht="17.100000000000001" customHeight="1">
      <c r="B348" s="31"/>
      <c r="C348" s="206"/>
      <c r="D348" s="146"/>
      <c r="E348" s="146"/>
      <c r="F348" s="146"/>
      <c r="G348" s="146"/>
      <c r="H348" s="146"/>
      <c r="I348" s="146"/>
      <c r="J348" s="146"/>
      <c r="K348" s="146"/>
      <c r="L348" s="146"/>
      <c r="M348" s="146"/>
      <c r="N348" s="92"/>
      <c r="O348" s="206"/>
      <c r="P348" s="146"/>
      <c r="Q348" s="146"/>
      <c r="R348" s="146"/>
      <c r="S348" s="146"/>
      <c r="T348" s="146"/>
      <c r="U348" s="146"/>
      <c r="V348" s="146"/>
      <c r="W348" s="146"/>
      <c r="X348" s="146"/>
      <c r="Y348" s="146"/>
      <c r="Z348" s="92"/>
      <c r="AA348" s="206"/>
      <c r="AB348" s="92"/>
      <c r="AC348" s="92"/>
    </row>
    <row r="349" spans="2:29" ht="17.100000000000001" customHeight="1">
      <c r="B349" s="31"/>
      <c r="C349" s="206"/>
      <c r="D349" s="146"/>
      <c r="E349" s="146"/>
      <c r="F349" s="146"/>
      <c r="G349" s="146"/>
      <c r="H349" s="146"/>
      <c r="I349" s="146"/>
      <c r="J349" s="146"/>
      <c r="K349" s="146"/>
      <c r="L349" s="146"/>
      <c r="M349" s="146"/>
      <c r="N349" s="92"/>
      <c r="O349" s="206"/>
      <c r="P349" s="146"/>
      <c r="Q349" s="146"/>
      <c r="R349" s="146"/>
      <c r="S349" s="146"/>
      <c r="T349" s="146"/>
      <c r="U349" s="146"/>
      <c r="V349" s="146"/>
      <c r="W349" s="146"/>
      <c r="X349" s="146"/>
      <c r="Y349" s="146"/>
      <c r="Z349" s="92"/>
      <c r="AA349" s="206"/>
      <c r="AB349" s="92"/>
      <c r="AC349" s="92"/>
    </row>
    <row r="350" spans="2:29" ht="17.100000000000001" customHeight="1">
      <c r="B350" s="31"/>
      <c r="C350" s="206"/>
      <c r="D350" s="146"/>
      <c r="E350" s="146"/>
      <c r="F350" s="146"/>
      <c r="G350" s="146"/>
      <c r="H350" s="146"/>
      <c r="I350" s="146"/>
      <c r="J350" s="146"/>
      <c r="K350" s="146"/>
      <c r="L350" s="146"/>
      <c r="M350" s="146"/>
      <c r="N350" s="92"/>
      <c r="O350" s="206"/>
      <c r="P350" s="146"/>
      <c r="Q350" s="146"/>
      <c r="R350" s="146"/>
      <c r="S350" s="146"/>
      <c r="T350" s="146"/>
      <c r="U350" s="146"/>
      <c r="V350" s="146"/>
      <c r="W350" s="146"/>
      <c r="X350" s="146"/>
      <c r="Y350" s="146"/>
      <c r="Z350" s="92"/>
      <c r="AA350" s="206"/>
      <c r="AB350" s="92"/>
      <c r="AC350" s="92"/>
    </row>
    <row r="351" spans="2:29" ht="17.100000000000001" customHeight="1">
      <c r="B351" s="31"/>
      <c r="C351" s="206"/>
      <c r="D351" s="146"/>
      <c r="E351" s="146"/>
      <c r="F351" s="146"/>
      <c r="G351" s="146"/>
      <c r="H351" s="146"/>
      <c r="I351" s="146"/>
      <c r="J351" s="146"/>
      <c r="K351" s="146"/>
      <c r="L351" s="146"/>
      <c r="M351" s="146"/>
      <c r="N351" s="92"/>
      <c r="O351" s="206"/>
      <c r="P351" s="146"/>
      <c r="Q351" s="146"/>
      <c r="R351" s="146"/>
      <c r="S351" s="146"/>
      <c r="T351" s="146"/>
      <c r="U351" s="146"/>
      <c r="V351" s="146"/>
      <c r="W351" s="146"/>
      <c r="X351" s="146"/>
      <c r="Y351" s="146"/>
      <c r="Z351" s="92"/>
      <c r="AA351" s="206"/>
      <c r="AB351" s="92"/>
      <c r="AC351" s="92"/>
    </row>
    <row r="352" spans="2:29" ht="17.100000000000001" customHeight="1">
      <c r="B352" s="31"/>
      <c r="C352" s="206"/>
      <c r="D352" s="146"/>
      <c r="E352" s="146"/>
      <c r="F352" s="146"/>
      <c r="G352" s="146"/>
      <c r="H352" s="146"/>
      <c r="I352" s="146"/>
      <c r="J352" s="146"/>
      <c r="K352" s="146"/>
      <c r="L352" s="146"/>
      <c r="M352" s="146"/>
      <c r="N352" s="92"/>
      <c r="O352" s="206"/>
      <c r="P352" s="146"/>
      <c r="Q352" s="146"/>
      <c r="R352" s="146"/>
      <c r="S352" s="146"/>
      <c r="T352" s="146"/>
      <c r="U352" s="146"/>
      <c r="V352" s="146"/>
      <c r="W352" s="146"/>
      <c r="X352" s="146"/>
      <c r="Y352" s="146"/>
      <c r="Z352" s="92"/>
      <c r="AA352" s="206"/>
      <c r="AB352" s="92"/>
      <c r="AC352" s="92"/>
    </row>
    <row r="353" spans="2:92" ht="17.100000000000001" customHeight="1">
      <c r="B353" s="31"/>
      <c r="C353" s="206"/>
      <c r="D353" s="146"/>
      <c r="E353" s="146"/>
      <c r="F353" s="146"/>
      <c r="G353" s="146"/>
      <c r="H353" s="146"/>
      <c r="I353" s="146"/>
      <c r="J353" s="146"/>
      <c r="K353" s="146"/>
      <c r="L353" s="146"/>
      <c r="M353" s="146"/>
      <c r="N353" s="92"/>
      <c r="O353" s="206"/>
      <c r="P353" s="146"/>
      <c r="Q353" s="146"/>
      <c r="R353" s="146"/>
      <c r="S353" s="146"/>
      <c r="T353" s="146"/>
      <c r="U353" s="146"/>
      <c r="V353" s="146"/>
      <c r="W353" s="146"/>
      <c r="X353" s="146"/>
      <c r="Y353" s="146"/>
      <c r="Z353" s="92"/>
      <c r="AA353" s="206"/>
      <c r="AB353" s="92"/>
      <c r="AC353" s="92"/>
    </row>
    <row r="354" spans="2:92" ht="17.100000000000001" customHeight="1">
      <c r="B354" s="31"/>
      <c r="C354" s="206"/>
      <c r="D354" s="146"/>
      <c r="E354" s="146"/>
      <c r="F354" s="146"/>
      <c r="G354" s="146"/>
      <c r="H354" s="146"/>
      <c r="I354" s="146"/>
      <c r="J354" s="146"/>
      <c r="K354" s="146"/>
      <c r="L354" s="146"/>
      <c r="M354" s="146"/>
      <c r="N354" s="92"/>
      <c r="O354" s="206"/>
      <c r="P354" s="146"/>
      <c r="Q354" s="146"/>
      <c r="R354" s="146"/>
      <c r="S354" s="146"/>
      <c r="T354" s="146"/>
      <c r="U354" s="146"/>
      <c r="V354" s="146"/>
      <c r="W354" s="146"/>
      <c r="X354" s="146"/>
      <c r="Y354" s="146"/>
      <c r="Z354" s="92"/>
      <c r="AA354" s="206"/>
      <c r="AB354" s="92"/>
      <c r="AC354" s="92"/>
    </row>
    <row r="355" spans="2:92" ht="17.100000000000001" customHeight="1">
      <c r="B355" s="31"/>
      <c r="C355" s="206"/>
      <c r="D355" s="146"/>
      <c r="E355" s="146"/>
      <c r="F355" s="146"/>
      <c r="G355" s="146"/>
      <c r="H355" s="146"/>
      <c r="I355" s="146"/>
      <c r="J355" s="146"/>
      <c r="K355" s="146"/>
      <c r="L355" s="146"/>
      <c r="M355" s="146"/>
      <c r="N355" s="92"/>
      <c r="O355" s="206"/>
      <c r="P355" s="146"/>
      <c r="Q355" s="146"/>
      <c r="R355" s="146"/>
      <c r="S355" s="146"/>
      <c r="T355" s="146"/>
      <c r="U355" s="146"/>
      <c r="V355" s="146"/>
      <c r="W355" s="146"/>
      <c r="X355" s="146"/>
      <c r="Y355" s="146"/>
      <c r="Z355" s="92"/>
      <c r="AA355" s="206"/>
      <c r="AB355" s="92"/>
      <c r="AC355" s="92"/>
    </row>
    <row r="356" spans="2:92" ht="17.100000000000001" customHeight="1">
      <c r="B356" s="31"/>
      <c r="C356" s="206"/>
      <c r="D356" s="146"/>
      <c r="E356" s="146"/>
      <c r="F356" s="146"/>
      <c r="G356" s="146"/>
      <c r="H356" s="146"/>
      <c r="I356" s="146"/>
      <c r="J356" s="146"/>
      <c r="K356" s="146"/>
      <c r="L356" s="146"/>
      <c r="M356" s="146"/>
      <c r="N356" s="92"/>
      <c r="O356" s="206"/>
      <c r="P356" s="146"/>
      <c r="Q356" s="146"/>
      <c r="R356" s="146"/>
      <c r="S356" s="146"/>
      <c r="T356" s="146"/>
      <c r="U356" s="146"/>
      <c r="V356" s="146"/>
      <c r="W356" s="146"/>
      <c r="X356" s="146"/>
      <c r="Y356" s="146"/>
      <c r="Z356" s="92"/>
      <c r="AA356" s="206"/>
      <c r="AB356" s="92"/>
      <c r="AC356" s="92"/>
    </row>
    <row r="357" spans="2:92" ht="17.100000000000001" customHeight="1">
      <c r="B357" s="90"/>
      <c r="C357" s="91"/>
      <c r="D357" s="92"/>
      <c r="E357" s="92"/>
      <c r="F357" s="92"/>
      <c r="G357" s="92"/>
      <c r="H357" s="92"/>
      <c r="I357" s="92"/>
      <c r="J357" s="92"/>
      <c r="K357" s="92"/>
      <c r="L357" s="92"/>
      <c r="M357" s="92"/>
      <c r="N357" s="92"/>
      <c r="O357" s="91"/>
      <c r="P357" s="92"/>
      <c r="Q357" s="92"/>
      <c r="R357" s="92"/>
      <c r="S357" s="92"/>
      <c r="T357" s="92"/>
      <c r="U357" s="92"/>
      <c r="V357" s="92"/>
      <c r="W357" s="92"/>
      <c r="X357" s="92"/>
      <c r="Y357" s="92"/>
      <c r="Z357" s="92"/>
      <c r="AA357" s="91"/>
      <c r="AB357" s="92"/>
      <c r="AC357" s="92"/>
    </row>
    <row r="358" spans="2:92" ht="18.899999999999999" customHeight="1">
      <c r="C358" s="84"/>
      <c r="G358" s="84"/>
      <c r="H358" s="84"/>
      <c r="I358" s="84"/>
      <c r="J358" s="84"/>
      <c r="K358" s="84"/>
      <c r="L358" s="84"/>
      <c r="M358" s="84"/>
      <c r="N358" s="84"/>
      <c r="O358" s="84"/>
      <c r="S358" s="84"/>
      <c r="T358" s="84"/>
      <c r="U358" s="84"/>
      <c r="V358" s="84"/>
      <c r="W358" s="84"/>
      <c r="X358" s="84"/>
      <c r="Y358" s="84"/>
      <c r="Z358" s="84"/>
      <c r="AA358" s="84"/>
      <c r="AB358" s="84"/>
      <c r="AC358" s="93"/>
      <c r="BD358" s="93"/>
    </row>
    <row r="359" spans="2:92" ht="24.9" customHeight="1">
      <c r="C359" s="84"/>
      <c r="G359" s="84"/>
      <c r="H359" s="84"/>
      <c r="I359" s="84"/>
      <c r="J359" s="84"/>
      <c r="K359" s="84"/>
      <c r="L359" s="84"/>
      <c r="M359" s="84"/>
      <c r="N359" s="84"/>
      <c r="O359" s="84"/>
      <c r="S359" s="84"/>
      <c r="T359" s="84"/>
      <c r="U359" s="84"/>
      <c r="V359" s="84"/>
      <c r="W359" s="84"/>
      <c r="X359" s="84"/>
      <c r="Y359" s="84"/>
      <c r="Z359" s="84"/>
      <c r="AA359" s="84"/>
      <c r="AB359" s="84"/>
      <c r="AC359" s="94"/>
    </row>
    <row r="360" spans="2:92" ht="24.9" customHeight="1">
      <c r="C360" s="84"/>
      <c r="G360" s="84"/>
      <c r="H360" s="84"/>
      <c r="I360" s="84"/>
      <c r="J360" s="84"/>
      <c r="K360" s="84"/>
      <c r="L360" s="84"/>
      <c r="M360" s="84"/>
      <c r="N360" s="84"/>
      <c r="O360" s="84"/>
      <c r="S360" s="84"/>
      <c r="T360" s="84"/>
      <c r="U360" s="84"/>
      <c r="V360" s="84"/>
      <c r="W360" s="84"/>
      <c r="X360" s="84"/>
      <c r="Y360" s="84"/>
      <c r="Z360" s="84"/>
      <c r="AA360" s="84"/>
      <c r="AB360" s="84"/>
      <c r="AC360" s="94"/>
    </row>
    <row r="361" spans="2:92" s="107" customFormat="1" ht="9.9" customHeight="1">
      <c r="AC361" s="108"/>
      <c r="AD361" s="86"/>
      <c r="AE361" s="86"/>
      <c r="AF361" s="86"/>
      <c r="AG361" s="86"/>
      <c r="AH361" s="86"/>
      <c r="AI361" s="86"/>
      <c r="AJ361" s="86"/>
      <c r="AK361" s="86"/>
      <c r="AL361" s="86"/>
      <c r="AM361" s="86"/>
      <c r="AN361" s="86"/>
      <c r="AO361" s="86"/>
      <c r="AP361" s="86"/>
      <c r="AQ361" s="86"/>
      <c r="AR361" s="86"/>
      <c r="AS361" s="86"/>
      <c r="AT361" s="86"/>
      <c r="AU361" s="86"/>
      <c r="AV361" s="86"/>
      <c r="AW361" s="86"/>
      <c r="AX361" s="86"/>
      <c r="AY361" s="86"/>
      <c r="AZ361" s="86"/>
      <c r="BA361" s="86"/>
      <c r="BB361" s="86"/>
      <c r="BC361" s="86"/>
      <c r="BD361" s="86"/>
      <c r="BG361" s="111"/>
      <c r="BH361" s="111"/>
      <c r="BI361" s="111"/>
      <c r="CH361" s="108"/>
      <c r="CI361" s="108"/>
      <c r="CJ361" s="108"/>
      <c r="CK361" s="108"/>
      <c r="CL361" s="108"/>
      <c r="CM361" s="108"/>
      <c r="CN361" s="108"/>
    </row>
    <row r="362" spans="2:92" ht="20.100000000000001" customHeight="1">
      <c r="C362" s="84"/>
      <c r="G362" s="84"/>
      <c r="H362" s="84"/>
      <c r="I362" s="84"/>
      <c r="J362" s="84"/>
      <c r="K362" s="84"/>
      <c r="L362" s="84"/>
      <c r="M362" s="84"/>
      <c r="N362" s="84"/>
      <c r="O362" s="84"/>
      <c r="S362" s="84"/>
      <c r="T362" s="84"/>
      <c r="U362" s="84"/>
      <c r="V362" s="84"/>
      <c r="W362" s="84"/>
      <c r="X362" s="84"/>
      <c r="Y362" s="84"/>
      <c r="Z362" s="84"/>
      <c r="AA362" s="84"/>
      <c r="AB362" s="84"/>
      <c r="AC362" s="201"/>
    </row>
    <row r="363" spans="2:92" ht="18" customHeight="1">
      <c r="C363" s="84"/>
      <c r="G363" s="84"/>
      <c r="H363" s="84"/>
      <c r="I363" s="84"/>
      <c r="J363" s="84"/>
      <c r="K363" s="84"/>
      <c r="L363" s="84"/>
      <c r="M363" s="84"/>
      <c r="N363" s="84"/>
      <c r="O363" s="84"/>
      <c r="S363" s="84"/>
      <c r="T363" s="84"/>
      <c r="U363" s="84"/>
      <c r="V363" s="84"/>
      <c r="W363" s="84"/>
      <c r="X363" s="84"/>
      <c r="Y363" s="84"/>
      <c r="Z363" s="84"/>
      <c r="AA363" s="84"/>
      <c r="AB363" s="84"/>
      <c r="AC363" s="201"/>
    </row>
    <row r="364" spans="2:92" ht="15" customHeight="1">
      <c r="C364" s="84"/>
      <c r="G364" s="84"/>
      <c r="H364" s="84"/>
      <c r="I364" s="84"/>
      <c r="J364" s="84"/>
      <c r="K364" s="84"/>
      <c r="L364" s="84"/>
      <c r="M364" s="84"/>
      <c r="N364" s="84"/>
      <c r="O364" s="84"/>
      <c r="S364" s="84"/>
      <c r="T364" s="84"/>
      <c r="U364" s="84"/>
      <c r="V364" s="84"/>
      <c r="W364" s="84"/>
      <c r="X364" s="84"/>
      <c r="Y364" s="84"/>
      <c r="Z364" s="84"/>
      <c r="AA364" s="84"/>
      <c r="AB364" s="84"/>
      <c r="AC364" s="201"/>
    </row>
    <row r="365" spans="2:92" ht="110.1" customHeight="1">
      <c r="C365" s="84"/>
      <c r="G365" s="84"/>
      <c r="H365" s="84"/>
      <c r="I365" s="84"/>
      <c r="J365" s="84"/>
      <c r="K365" s="84"/>
      <c r="L365" s="84"/>
      <c r="M365" s="84"/>
      <c r="N365" s="84"/>
      <c r="O365" s="84"/>
      <c r="S365" s="84"/>
      <c r="T365" s="84"/>
      <c r="U365" s="84"/>
      <c r="V365" s="84"/>
      <c r="W365" s="84"/>
      <c r="X365" s="84"/>
      <c r="Y365" s="84"/>
      <c r="Z365" s="84"/>
      <c r="AA365" s="84"/>
      <c r="AB365" s="84"/>
      <c r="AC365" s="201"/>
    </row>
    <row r="366" spans="2:92" ht="3.9" customHeight="1">
      <c r="C366" s="84"/>
      <c r="G366" s="84"/>
      <c r="H366" s="84"/>
      <c r="I366" s="84"/>
      <c r="J366" s="84"/>
      <c r="K366" s="84"/>
      <c r="L366" s="84"/>
      <c r="M366" s="84"/>
      <c r="N366" s="84"/>
      <c r="O366" s="84"/>
      <c r="S366" s="84"/>
      <c r="T366" s="84"/>
      <c r="U366" s="84"/>
      <c r="V366" s="84"/>
      <c r="W366" s="84"/>
      <c r="X366" s="84"/>
      <c r="Y366" s="84"/>
      <c r="Z366" s="84"/>
      <c r="AA366" s="84"/>
      <c r="AB366" s="84"/>
      <c r="AC366" s="201"/>
    </row>
    <row r="367" spans="2:92" ht="17.100000000000001" customHeight="1">
      <c r="C367" s="84"/>
      <c r="G367" s="84"/>
      <c r="H367" s="84"/>
      <c r="I367" s="84"/>
      <c r="J367" s="84"/>
      <c r="K367" s="84"/>
      <c r="L367" s="84"/>
      <c r="M367" s="84"/>
      <c r="N367" s="84"/>
      <c r="O367" s="84"/>
      <c r="S367" s="84"/>
      <c r="T367" s="84"/>
      <c r="U367" s="84"/>
      <c r="V367" s="84"/>
      <c r="W367" s="84"/>
      <c r="X367" s="84"/>
      <c r="Y367" s="84"/>
      <c r="Z367" s="84"/>
      <c r="AA367" s="84"/>
      <c r="AB367" s="84"/>
      <c r="AC367" s="92"/>
    </row>
    <row r="368" spans="2:92" ht="17.100000000000001" customHeight="1">
      <c r="C368" s="84"/>
      <c r="G368" s="84"/>
      <c r="H368" s="84"/>
      <c r="I368" s="84"/>
      <c r="J368" s="84"/>
      <c r="K368" s="84"/>
      <c r="L368" s="84"/>
      <c r="M368" s="84"/>
      <c r="N368" s="84"/>
      <c r="O368" s="84"/>
      <c r="S368" s="84"/>
      <c r="T368" s="84"/>
      <c r="U368" s="84"/>
      <c r="V368" s="84"/>
      <c r="W368" s="84"/>
      <c r="X368" s="84"/>
      <c r="Y368" s="84"/>
      <c r="Z368" s="84"/>
      <c r="AA368" s="84"/>
      <c r="AB368" s="84"/>
      <c r="AC368" s="92"/>
    </row>
    <row r="369" spans="3:29" ht="17.100000000000001" customHeight="1">
      <c r="C369" s="84"/>
      <c r="G369" s="84"/>
      <c r="H369" s="84"/>
      <c r="I369" s="84"/>
      <c r="J369" s="84"/>
      <c r="K369" s="84"/>
      <c r="L369" s="84"/>
      <c r="M369" s="84"/>
      <c r="N369" s="84"/>
      <c r="O369" s="84"/>
      <c r="S369" s="84"/>
      <c r="T369" s="84"/>
      <c r="U369" s="84"/>
      <c r="V369" s="84"/>
      <c r="W369" s="84"/>
      <c r="X369" s="84"/>
      <c r="Y369" s="84"/>
      <c r="Z369" s="84"/>
      <c r="AA369" s="84"/>
      <c r="AB369" s="84"/>
      <c r="AC369" s="92"/>
    </row>
    <row r="370" spans="3:29" ht="17.100000000000001" customHeight="1">
      <c r="C370" s="84"/>
      <c r="G370" s="84"/>
      <c r="H370" s="84"/>
      <c r="I370" s="84"/>
      <c r="J370" s="84"/>
      <c r="K370" s="84"/>
      <c r="L370" s="84"/>
      <c r="M370" s="84"/>
      <c r="N370" s="84"/>
      <c r="O370" s="84"/>
      <c r="S370" s="84"/>
      <c r="T370" s="84"/>
      <c r="U370" s="84"/>
      <c r="V370" s="84"/>
      <c r="W370" s="84"/>
      <c r="X370" s="84"/>
      <c r="Y370" s="84"/>
      <c r="Z370" s="84"/>
      <c r="AA370" s="84"/>
      <c r="AB370" s="84"/>
      <c r="AC370" s="92"/>
    </row>
    <row r="371" spans="3:29" ht="17.100000000000001" customHeight="1">
      <c r="C371" s="84"/>
      <c r="G371" s="84"/>
      <c r="H371" s="84"/>
      <c r="I371" s="84"/>
      <c r="J371" s="84"/>
      <c r="K371" s="84"/>
      <c r="L371" s="84"/>
      <c r="M371" s="84"/>
      <c r="N371" s="84"/>
      <c r="O371" s="84"/>
      <c r="S371" s="84"/>
      <c r="T371" s="84"/>
      <c r="U371" s="84"/>
      <c r="V371" s="84"/>
      <c r="W371" s="84"/>
      <c r="X371" s="84"/>
      <c r="Y371" s="84"/>
      <c r="Z371" s="84"/>
      <c r="AA371" s="84"/>
      <c r="AB371" s="84"/>
      <c r="AC371" s="92"/>
    </row>
    <row r="372" spans="3:29" ht="17.100000000000001" customHeight="1">
      <c r="C372" s="84"/>
      <c r="G372" s="84"/>
      <c r="H372" s="84"/>
      <c r="I372" s="84"/>
      <c r="J372" s="84"/>
      <c r="K372" s="84"/>
      <c r="L372" s="84"/>
      <c r="M372" s="84"/>
      <c r="N372" s="84"/>
      <c r="O372" s="84"/>
      <c r="S372" s="84"/>
      <c r="T372" s="84"/>
      <c r="U372" s="84"/>
      <c r="V372" s="84"/>
      <c r="W372" s="84"/>
      <c r="X372" s="84"/>
      <c r="Y372" s="84"/>
      <c r="Z372" s="84"/>
      <c r="AA372" s="84"/>
      <c r="AB372" s="84"/>
      <c r="AC372" s="92"/>
    </row>
    <row r="373" spans="3:29" ht="17.100000000000001" customHeight="1">
      <c r="C373" s="84"/>
      <c r="G373" s="84"/>
      <c r="H373" s="84"/>
      <c r="I373" s="84"/>
      <c r="J373" s="84"/>
      <c r="K373" s="84"/>
      <c r="L373" s="84"/>
      <c r="M373" s="84"/>
      <c r="N373" s="84"/>
      <c r="O373" s="84"/>
      <c r="S373" s="84"/>
      <c r="T373" s="84"/>
      <c r="U373" s="84"/>
      <c r="V373" s="84"/>
      <c r="W373" s="84"/>
      <c r="X373" s="84"/>
      <c r="Y373" s="84"/>
      <c r="Z373" s="84"/>
      <c r="AA373" s="84"/>
      <c r="AB373" s="84"/>
      <c r="AC373" s="92"/>
    </row>
    <row r="374" spans="3:29" ht="17.100000000000001" customHeight="1">
      <c r="C374" s="84"/>
      <c r="G374" s="84"/>
      <c r="H374" s="84"/>
      <c r="I374" s="84"/>
      <c r="J374" s="84"/>
      <c r="K374" s="84"/>
      <c r="L374" s="84"/>
      <c r="M374" s="84"/>
      <c r="N374" s="84"/>
      <c r="O374" s="84"/>
      <c r="S374" s="84"/>
      <c r="T374" s="84"/>
      <c r="U374" s="84"/>
      <c r="V374" s="84"/>
      <c r="W374" s="84"/>
      <c r="X374" s="84"/>
      <c r="Y374" s="84"/>
      <c r="Z374" s="84"/>
      <c r="AA374" s="84"/>
      <c r="AB374" s="84"/>
      <c r="AC374" s="92"/>
    </row>
    <row r="375" spans="3:29" ht="17.100000000000001" customHeight="1">
      <c r="C375" s="84"/>
      <c r="G375" s="84"/>
      <c r="H375" s="84"/>
      <c r="I375" s="84"/>
      <c r="J375" s="84"/>
      <c r="K375" s="84"/>
      <c r="L375" s="84"/>
      <c r="M375" s="84"/>
      <c r="N375" s="84"/>
      <c r="O375" s="84"/>
      <c r="S375" s="84"/>
      <c r="T375" s="84"/>
      <c r="U375" s="84"/>
      <c r="V375" s="84"/>
      <c r="W375" s="84"/>
      <c r="X375" s="84"/>
      <c r="Y375" s="84"/>
      <c r="Z375" s="84"/>
      <c r="AA375" s="84"/>
      <c r="AB375" s="84"/>
      <c r="AC375" s="92"/>
    </row>
    <row r="376" spans="3:29" ht="17.100000000000001" customHeight="1">
      <c r="C376" s="84"/>
      <c r="G376" s="84"/>
      <c r="H376" s="84"/>
      <c r="I376" s="84"/>
      <c r="J376" s="84"/>
      <c r="K376" s="84"/>
      <c r="L376" s="84"/>
      <c r="M376" s="84"/>
      <c r="N376" s="84"/>
      <c r="O376" s="84"/>
      <c r="S376" s="84"/>
      <c r="T376" s="84"/>
      <c r="U376" s="84"/>
      <c r="V376" s="84"/>
      <c r="W376" s="84"/>
      <c r="X376" s="84"/>
      <c r="Y376" s="84"/>
      <c r="Z376" s="84"/>
      <c r="AA376" s="84"/>
      <c r="AB376" s="84"/>
      <c r="AC376" s="92"/>
    </row>
    <row r="377" spans="3:29" ht="17.100000000000001" customHeight="1">
      <c r="C377" s="84"/>
      <c r="G377" s="84"/>
      <c r="H377" s="84"/>
      <c r="I377" s="84"/>
      <c r="J377" s="84"/>
      <c r="K377" s="84"/>
      <c r="L377" s="84"/>
      <c r="M377" s="84"/>
      <c r="N377" s="84"/>
      <c r="O377" s="84"/>
      <c r="S377" s="84"/>
      <c r="T377" s="84"/>
      <c r="U377" s="84"/>
      <c r="V377" s="84"/>
      <c r="W377" s="84"/>
      <c r="X377" s="84"/>
      <c r="Y377" s="84"/>
      <c r="Z377" s="84"/>
      <c r="AA377" s="84"/>
      <c r="AB377" s="84"/>
      <c r="AC377" s="92"/>
    </row>
    <row r="378" spans="3:29" ht="17.100000000000001" customHeight="1">
      <c r="C378" s="84"/>
      <c r="G378" s="84"/>
      <c r="H378" s="84"/>
      <c r="I378" s="84"/>
      <c r="J378" s="84"/>
      <c r="K378" s="84"/>
      <c r="L378" s="84"/>
      <c r="M378" s="84"/>
      <c r="N378" s="84"/>
      <c r="O378" s="84"/>
      <c r="S378" s="84"/>
      <c r="T378" s="84"/>
      <c r="U378" s="84"/>
      <c r="V378" s="84"/>
      <c r="W378" s="84"/>
      <c r="X378" s="84"/>
      <c r="Y378" s="84"/>
      <c r="Z378" s="84"/>
      <c r="AA378" s="84"/>
      <c r="AB378" s="84"/>
      <c r="AC378" s="92"/>
    </row>
    <row r="379" spans="3:29" ht="17.100000000000001" customHeight="1">
      <c r="C379" s="84"/>
      <c r="G379" s="84"/>
      <c r="H379" s="84"/>
      <c r="I379" s="84"/>
      <c r="J379" s="84"/>
      <c r="K379" s="84"/>
      <c r="L379" s="84"/>
      <c r="M379" s="84"/>
      <c r="N379" s="84"/>
      <c r="O379" s="84"/>
      <c r="S379" s="84"/>
      <c r="T379" s="84"/>
      <c r="U379" s="84"/>
      <c r="V379" s="84"/>
      <c r="W379" s="84"/>
      <c r="X379" s="84"/>
      <c r="Y379" s="84"/>
      <c r="Z379" s="84"/>
      <c r="AA379" s="84"/>
      <c r="AB379" s="84"/>
      <c r="AC379" s="92"/>
    </row>
    <row r="380" spans="3:29" ht="17.100000000000001" customHeight="1">
      <c r="C380" s="84"/>
      <c r="G380" s="84"/>
      <c r="H380" s="84"/>
      <c r="I380" s="84"/>
      <c r="J380" s="84"/>
      <c r="K380" s="84"/>
      <c r="L380" s="84"/>
      <c r="M380" s="84"/>
      <c r="N380" s="84"/>
      <c r="O380" s="84"/>
      <c r="S380" s="84"/>
      <c r="T380" s="84"/>
      <c r="U380" s="84"/>
      <c r="V380" s="84"/>
      <c r="W380" s="84"/>
      <c r="X380" s="84"/>
      <c r="Y380" s="84"/>
      <c r="Z380" s="84"/>
      <c r="AA380" s="84"/>
      <c r="AB380" s="84"/>
      <c r="AC380" s="92"/>
    </row>
    <row r="381" spans="3:29" ht="17.100000000000001" customHeight="1">
      <c r="C381" s="84"/>
      <c r="G381" s="84"/>
      <c r="H381" s="84"/>
      <c r="I381" s="84"/>
      <c r="J381" s="84"/>
      <c r="K381" s="84"/>
      <c r="L381" s="84"/>
      <c r="M381" s="84"/>
      <c r="N381" s="84"/>
      <c r="O381" s="84"/>
      <c r="S381" s="84"/>
      <c r="T381" s="84"/>
      <c r="U381" s="84"/>
      <c r="V381" s="84"/>
      <c r="W381" s="84"/>
      <c r="X381" s="84"/>
      <c r="Y381" s="84"/>
      <c r="Z381" s="84"/>
      <c r="AA381" s="84"/>
      <c r="AB381" s="84"/>
      <c r="AC381" s="92"/>
    </row>
    <row r="382" spans="3:29" ht="17.100000000000001" customHeight="1">
      <c r="C382" s="84"/>
      <c r="G382" s="84"/>
      <c r="H382" s="84"/>
      <c r="I382" s="84"/>
      <c r="J382" s="84"/>
      <c r="K382" s="84"/>
      <c r="L382" s="84"/>
      <c r="M382" s="84"/>
      <c r="N382" s="84"/>
      <c r="O382" s="84"/>
      <c r="S382" s="84"/>
      <c r="T382" s="84"/>
      <c r="U382" s="84"/>
      <c r="V382" s="84"/>
      <c r="W382" s="84"/>
      <c r="X382" s="84"/>
      <c r="Y382" s="84"/>
      <c r="Z382" s="84"/>
      <c r="AA382" s="84"/>
      <c r="AB382" s="84"/>
      <c r="AC382" s="92"/>
    </row>
    <row r="383" spans="3:29" ht="17.100000000000001" customHeight="1">
      <c r="C383" s="84"/>
      <c r="G383" s="84"/>
      <c r="H383" s="84"/>
      <c r="I383" s="84"/>
      <c r="J383" s="84"/>
      <c r="K383" s="84"/>
      <c r="L383" s="84"/>
      <c r="M383" s="84"/>
      <c r="N383" s="84"/>
      <c r="O383" s="84"/>
      <c r="S383" s="84"/>
      <c r="T383" s="84"/>
      <c r="U383" s="84"/>
      <c r="V383" s="84"/>
      <c r="W383" s="84"/>
      <c r="X383" s="84"/>
      <c r="Y383" s="84"/>
      <c r="Z383" s="84"/>
      <c r="AA383" s="84"/>
      <c r="AB383" s="84"/>
      <c r="AC383" s="92"/>
    </row>
    <row r="384" spans="3:29" ht="17.100000000000001" customHeight="1">
      <c r="C384" s="84"/>
      <c r="G384" s="84"/>
      <c r="H384" s="84"/>
      <c r="I384" s="84"/>
      <c r="J384" s="84"/>
      <c r="K384" s="84"/>
      <c r="L384" s="84"/>
      <c r="M384" s="84"/>
      <c r="N384" s="84"/>
      <c r="O384" s="84"/>
      <c r="S384" s="84"/>
      <c r="T384" s="84"/>
      <c r="U384" s="84"/>
      <c r="V384" s="84"/>
      <c r="W384" s="84"/>
      <c r="X384" s="84"/>
      <c r="Y384" s="84"/>
      <c r="Z384" s="84"/>
      <c r="AA384" s="84"/>
      <c r="AB384" s="84"/>
      <c r="AC384" s="92"/>
    </row>
    <row r="385" spans="2:92" ht="17.100000000000001" customHeight="1">
      <c r="C385" s="84"/>
      <c r="G385" s="84"/>
      <c r="H385" s="84"/>
      <c r="I385" s="84"/>
      <c r="J385" s="84"/>
      <c r="K385" s="84"/>
      <c r="L385" s="84"/>
      <c r="M385" s="84"/>
      <c r="N385" s="84"/>
      <c r="O385" s="84"/>
      <c r="S385" s="84"/>
      <c r="T385" s="84"/>
      <c r="U385" s="84"/>
      <c r="V385" s="84"/>
      <c r="W385" s="84"/>
      <c r="X385" s="84"/>
      <c r="Y385" s="84"/>
      <c r="Z385" s="84"/>
      <c r="AA385" s="84"/>
      <c r="AB385" s="84"/>
      <c r="AC385" s="92"/>
    </row>
    <row r="386" spans="2:92" ht="17.100000000000001" customHeight="1">
      <c r="C386" s="84"/>
      <c r="G386" s="84"/>
      <c r="H386" s="84"/>
      <c r="I386" s="84"/>
      <c r="J386" s="84"/>
      <c r="K386" s="84"/>
      <c r="L386" s="84"/>
      <c r="M386" s="84"/>
      <c r="N386" s="84"/>
      <c r="O386" s="84"/>
      <c r="S386" s="84"/>
      <c r="T386" s="84"/>
      <c r="U386" s="84"/>
      <c r="V386" s="84"/>
      <c r="W386" s="84"/>
      <c r="X386" s="84"/>
      <c r="Y386" s="84"/>
      <c r="Z386" s="84"/>
      <c r="AA386" s="84"/>
      <c r="AB386" s="84"/>
      <c r="AC386" s="92"/>
    </row>
    <row r="387" spans="2:92" ht="17.100000000000001" customHeight="1">
      <c r="C387" s="84"/>
      <c r="G387" s="84"/>
      <c r="H387" s="84"/>
      <c r="I387" s="84"/>
      <c r="J387" s="84"/>
      <c r="K387" s="84"/>
      <c r="L387" s="84"/>
      <c r="M387" s="84"/>
      <c r="N387" s="84"/>
      <c r="O387" s="84"/>
      <c r="S387" s="84"/>
      <c r="T387" s="84"/>
      <c r="U387" s="84"/>
      <c r="V387" s="84"/>
      <c r="W387" s="84"/>
      <c r="X387" s="84"/>
      <c r="Y387" s="84"/>
      <c r="Z387" s="84"/>
      <c r="AA387" s="84"/>
      <c r="AB387" s="84"/>
      <c r="AC387" s="92"/>
    </row>
    <row r="388" spans="2:92" ht="17.100000000000001" customHeight="1">
      <c r="C388" s="84"/>
      <c r="G388" s="84"/>
      <c r="H388" s="84"/>
      <c r="I388" s="84"/>
      <c r="J388" s="84"/>
      <c r="K388" s="84"/>
      <c r="L388" s="84"/>
      <c r="M388" s="84"/>
      <c r="N388" s="84"/>
      <c r="O388" s="84"/>
      <c r="S388" s="84"/>
      <c r="T388" s="84"/>
      <c r="U388" s="84"/>
      <c r="V388" s="84"/>
      <c r="W388" s="84"/>
      <c r="X388" s="84"/>
      <c r="Y388" s="84"/>
      <c r="Z388" s="84"/>
      <c r="AA388" s="84"/>
      <c r="AB388" s="84"/>
      <c r="AC388" s="92"/>
    </row>
    <row r="389" spans="2:92" ht="17.100000000000001" customHeight="1">
      <c r="C389" s="84"/>
      <c r="G389" s="84"/>
      <c r="H389" s="84"/>
      <c r="I389" s="84"/>
      <c r="J389" s="84"/>
      <c r="K389" s="84"/>
      <c r="L389" s="84"/>
      <c r="M389" s="84"/>
      <c r="N389" s="84"/>
      <c r="O389" s="84"/>
      <c r="S389" s="84"/>
      <c r="T389" s="84"/>
      <c r="U389" s="84"/>
      <c r="V389" s="84"/>
      <c r="W389" s="84"/>
      <c r="X389" s="84"/>
      <c r="Y389" s="84"/>
      <c r="Z389" s="84"/>
      <c r="AA389" s="84"/>
      <c r="AB389" s="84"/>
      <c r="AC389" s="92"/>
    </row>
    <row r="390" spans="2:92" ht="17.100000000000001" customHeight="1">
      <c r="C390" s="84"/>
      <c r="G390" s="84"/>
      <c r="H390" s="84"/>
      <c r="I390" s="84"/>
      <c r="J390" s="84"/>
      <c r="K390" s="84"/>
      <c r="L390" s="84"/>
      <c r="M390" s="84"/>
      <c r="N390" s="84"/>
      <c r="O390" s="84"/>
      <c r="S390" s="84"/>
      <c r="T390" s="84"/>
      <c r="U390" s="84"/>
      <c r="V390" s="84"/>
      <c r="W390" s="84"/>
      <c r="X390" s="84"/>
      <c r="Y390" s="84"/>
      <c r="Z390" s="84"/>
      <c r="AA390" s="84"/>
      <c r="AB390" s="84"/>
      <c r="AC390" s="92"/>
    </row>
    <row r="391" spans="2:92" ht="17.100000000000001" customHeight="1">
      <c r="C391" s="84"/>
      <c r="G391" s="84"/>
      <c r="H391" s="84"/>
      <c r="I391" s="84"/>
      <c r="J391" s="84"/>
      <c r="K391" s="84"/>
      <c r="L391" s="84"/>
      <c r="M391" s="84"/>
      <c r="N391" s="84"/>
      <c r="O391" s="84"/>
      <c r="S391" s="84"/>
      <c r="T391" s="84"/>
      <c r="U391" s="84"/>
      <c r="V391" s="84"/>
      <c r="W391" s="84"/>
      <c r="X391" s="84"/>
      <c r="Y391" s="84"/>
      <c r="Z391" s="84"/>
      <c r="AA391" s="84"/>
      <c r="AB391" s="84"/>
      <c r="AC391" s="92"/>
    </row>
    <row r="392" spans="2:92" s="32" customFormat="1" ht="17.100000000000001" customHeight="1">
      <c r="AC392" s="202"/>
      <c r="AD392" s="86"/>
      <c r="AE392" s="86"/>
      <c r="AF392" s="86"/>
      <c r="AG392" s="86"/>
      <c r="AH392" s="86"/>
      <c r="AI392" s="86"/>
      <c r="AJ392" s="86"/>
      <c r="AK392" s="86"/>
      <c r="AL392" s="86"/>
      <c r="AM392" s="86"/>
      <c r="AN392" s="86"/>
      <c r="AO392" s="86"/>
      <c r="AP392" s="86"/>
      <c r="AQ392" s="86"/>
      <c r="AR392" s="86"/>
      <c r="AS392" s="86"/>
      <c r="AT392" s="86"/>
      <c r="AU392" s="86"/>
      <c r="AV392" s="86"/>
      <c r="AW392" s="86"/>
      <c r="AX392" s="86"/>
      <c r="AY392" s="86"/>
      <c r="AZ392" s="86"/>
      <c r="BA392" s="86"/>
      <c r="BB392" s="86"/>
      <c r="BC392" s="86"/>
      <c r="BD392" s="86"/>
      <c r="BG392" s="203"/>
      <c r="BH392" s="203"/>
      <c r="BI392" s="203"/>
      <c r="CH392" s="29"/>
      <c r="CI392" s="29"/>
      <c r="CJ392" s="29"/>
      <c r="CK392" s="29"/>
      <c r="CL392" s="29"/>
      <c r="CM392" s="29"/>
      <c r="CN392" s="29"/>
    </row>
    <row r="393" spans="2:92" ht="18.899999999999999" customHeight="1">
      <c r="B393" s="90"/>
      <c r="C393" s="91"/>
      <c r="D393" s="92"/>
      <c r="E393" s="92"/>
      <c r="F393" s="92"/>
      <c r="G393" s="92"/>
      <c r="H393" s="92"/>
      <c r="I393" s="92"/>
      <c r="J393" s="92"/>
      <c r="K393" s="92"/>
      <c r="L393" s="92"/>
      <c r="M393" s="92"/>
      <c r="N393" s="92"/>
      <c r="O393" s="91"/>
      <c r="P393" s="92"/>
      <c r="Q393" s="92"/>
      <c r="R393" s="92"/>
      <c r="S393" s="92"/>
      <c r="T393" s="92"/>
      <c r="U393" s="92"/>
      <c r="V393" s="92"/>
      <c r="W393" s="92"/>
      <c r="X393" s="92"/>
      <c r="Y393" s="92"/>
      <c r="Z393" s="92"/>
      <c r="AA393" s="91"/>
      <c r="AB393" s="93"/>
      <c r="AC393" s="93"/>
      <c r="BD393" s="93"/>
    </row>
    <row r="394" spans="2:92" ht="24.9" customHeight="1">
      <c r="B394" s="563"/>
      <c r="C394" s="563"/>
      <c r="D394" s="563"/>
      <c r="E394" s="563"/>
      <c r="F394" s="563"/>
      <c r="G394" s="563"/>
      <c r="H394" s="563"/>
      <c r="I394" s="563"/>
      <c r="J394" s="563"/>
      <c r="K394" s="563"/>
      <c r="L394" s="563"/>
      <c r="M394" s="563"/>
      <c r="N394" s="563"/>
      <c r="O394" s="563"/>
      <c r="P394" s="563"/>
      <c r="Q394" s="563"/>
      <c r="R394" s="563"/>
      <c r="S394" s="563"/>
      <c r="T394" s="563"/>
      <c r="U394" s="563"/>
      <c r="V394" s="563"/>
      <c r="W394" s="563"/>
      <c r="X394" s="563"/>
      <c r="Y394" s="563"/>
      <c r="Z394" s="563"/>
      <c r="AA394" s="563"/>
      <c r="AB394" s="563"/>
      <c r="AC394" s="94"/>
    </row>
    <row r="395" spans="2:92" ht="24.9" customHeight="1">
      <c r="B395" s="563"/>
      <c r="C395" s="563"/>
      <c r="D395" s="563"/>
      <c r="E395" s="563"/>
      <c r="F395" s="563"/>
      <c r="G395" s="563"/>
      <c r="H395" s="563"/>
      <c r="I395" s="563"/>
      <c r="J395" s="563"/>
      <c r="K395" s="563"/>
      <c r="L395" s="563"/>
      <c r="M395" s="563"/>
      <c r="N395" s="563"/>
      <c r="O395" s="563"/>
      <c r="P395" s="563"/>
      <c r="Q395" s="563"/>
      <c r="R395" s="563"/>
      <c r="S395" s="563"/>
      <c r="T395" s="563"/>
      <c r="U395" s="563"/>
      <c r="V395" s="563"/>
      <c r="W395" s="563"/>
      <c r="X395" s="563"/>
      <c r="Y395" s="563"/>
      <c r="Z395" s="563"/>
      <c r="AA395" s="563"/>
      <c r="AB395" s="563"/>
      <c r="AC395" s="94"/>
    </row>
    <row r="396" spans="2:92" s="107" customFormat="1" ht="9.9" customHeight="1">
      <c r="C396" s="108"/>
      <c r="D396" s="109"/>
      <c r="G396" s="108"/>
      <c r="H396" s="108"/>
      <c r="I396" s="108"/>
      <c r="J396" s="108"/>
      <c r="K396" s="108"/>
      <c r="L396" s="108"/>
      <c r="M396" s="108"/>
      <c r="N396" s="108"/>
      <c r="O396" s="108"/>
      <c r="S396" s="108"/>
      <c r="T396" s="108"/>
      <c r="U396" s="108"/>
      <c r="V396" s="108"/>
      <c r="W396" s="108"/>
      <c r="X396" s="108"/>
      <c r="Y396" s="108"/>
      <c r="Z396" s="108"/>
      <c r="AA396" s="108"/>
      <c r="AB396" s="108"/>
      <c r="AC396" s="108"/>
      <c r="AD396" s="86"/>
      <c r="AE396" s="86"/>
      <c r="AF396" s="86"/>
      <c r="AG396" s="86"/>
      <c r="AH396" s="86"/>
      <c r="AI396" s="86"/>
      <c r="AJ396" s="86"/>
      <c r="AK396" s="86"/>
      <c r="AL396" s="86"/>
      <c r="AM396" s="86"/>
      <c r="AN396" s="86"/>
      <c r="AO396" s="86"/>
      <c r="AP396" s="86"/>
      <c r="AQ396" s="86"/>
      <c r="AR396" s="86"/>
      <c r="AS396" s="86"/>
      <c r="AT396" s="86"/>
      <c r="AU396" s="86"/>
      <c r="AV396" s="86"/>
      <c r="AW396" s="86"/>
      <c r="AX396" s="86"/>
      <c r="AY396" s="86"/>
      <c r="AZ396" s="86"/>
      <c r="BA396" s="86"/>
      <c r="BB396" s="86"/>
      <c r="BC396" s="86"/>
      <c r="BD396" s="86"/>
      <c r="BG396" s="111"/>
      <c r="BH396" s="111"/>
      <c r="BI396" s="111"/>
      <c r="CH396" s="108"/>
      <c r="CI396" s="108"/>
      <c r="CJ396" s="108"/>
      <c r="CK396" s="108"/>
      <c r="CL396" s="108"/>
      <c r="CM396" s="108"/>
      <c r="CN396" s="108"/>
    </row>
    <row r="397" spans="2:92" ht="20.100000000000001" customHeight="1">
      <c r="B397" s="562"/>
      <c r="D397" s="564"/>
      <c r="E397" s="564"/>
      <c r="F397" s="564"/>
      <c r="G397" s="564"/>
      <c r="H397" s="564"/>
      <c r="I397" s="564"/>
      <c r="J397" s="564"/>
      <c r="K397" s="564"/>
      <c r="L397" s="564"/>
      <c r="M397" s="564"/>
      <c r="N397" s="564"/>
      <c r="P397" s="564"/>
      <c r="Q397" s="564"/>
      <c r="R397" s="564"/>
      <c r="S397" s="564"/>
      <c r="T397" s="564"/>
      <c r="U397" s="564"/>
      <c r="V397" s="564"/>
      <c r="W397" s="564"/>
      <c r="X397" s="564"/>
      <c r="Y397" s="564"/>
      <c r="Z397" s="564"/>
      <c r="AB397" s="565"/>
      <c r="AC397" s="201"/>
    </row>
    <row r="398" spans="2:92" ht="18" customHeight="1">
      <c r="B398" s="562"/>
      <c r="D398" s="566"/>
      <c r="E398" s="566"/>
      <c r="F398" s="566"/>
      <c r="G398" s="566"/>
      <c r="H398" s="566"/>
      <c r="I398" s="566"/>
      <c r="J398" s="566"/>
      <c r="K398" s="566"/>
      <c r="L398" s="566"/>
      <c r="M398" s="566"/>
      <c r="N398" s="565"/>
      <c r="P398" s="566"/>
      <c r="Q398" s="566"/>
      <c r="R398" s="566"/>
      <c r="S398" s="566"/>
      <c r="T398" s="566"/>
      <c r="U398" s="566"/>
      <c r="V398" s="566"/>
      <c r="W398" s="566"/>
      <c r="X398" s="566"/>
      <c r="Y398" s="566"/>
      <c r="Z398" s="565"/>
      <c r="AB398" s="565"/>
      <c r="AC398" s="201"/>
    </row>
    <row r="399" spans="2:92" ht="15" customHeight="1">
      <c r="B399" s="562"/>
      <c r="C399" s="204"/>
      <c r="D399" s="128"/>
      <c r="E399" s="128"/>
      <c r="F399" s="128"/>
      <c r="G399" s="128"/>
      <c r="H399" s="128"/>
      <c r="I399" s="128"/>
      <c r="J399" s="128"/>
      <c r="K399" s="128"/>
      <c r="L399" s="128"/>
      <c r="M399" s="128"/>
      <c r="N399" s="565"/>
      <c r="O399" s="204"/>
      <c r="P399" s="128"/>
      <c r="Q399" s="128"/>
      <c r="R399" s="128"/>
      <c r="S399" s="128"/>
      <c r="T399" s="128"/>
      <c r="U399" s="128"/>
      <c r="V399" s="128"/>
      <c r="W399" s="128"/>
      <c r="X399" s="128"/>
      <c r="Y399" s="128"/>
      <c r="Z399" s="565"/>
      <c r="AA399" s="204"/>
      <c r="AB399" s="565"/>
      <c r="AC399" s="201"/>
    </row>
    <row r="400" spans="2:92" ht="110.1" customHeight="1">
      <c r="B400" s="562"/>
      <c r="C400" s="204"/>
      <c r="D400" s="129"/>
      <c r="E400" s="129"/>
      <c r="F400" s="129"/>
      <c r="G400" s="129"/>
      <c r="H400" s="129"/>
      <c r="I400" s="129"/>
      <c r="J400" s="129"/>
      <c r="K400" s="129"/>
      <c r="L400" s="129"/>
      <c r="M400" s="129"/>
      <c r="N400" s="565"/>
      <c r="O400" s="204"/>
      <c r="P400" s="129"/>
      <c r="Q400" s="129"/>
      <c r="R400" s="129"/>
      <c r="S400" s="129"/>
      <c r="T400" s="129"/>
      <c r="U400" s="129"/>
      <c r="V400" s="129"/>
      <c r="W400" s="129"/>
      <c r="X400" s="129"/>
      <c r="Y400" s="129"/>
      <c r="Z400" s="565"/>
      <c r="AA400" s="204"/>
      <c r="AB400" s="565"/>
      <c r="AC400" s="201"/>
    </row>
    <row r="401" spans="2:29" ht="3.9" customHeight="1">
      <c r="B401" s="205"/>
      <c r="C401" s="204"/>
      <c r="D401" s="129"/>
      <c r="E401" s="129"/>
      <c r="F401" s="129"/>
      <c r="G401" s="129"/>
      <c r="H401" s="129"/>
      <c r="I401" s="129"/>
      <c r="J401" s="129"/>
      <c r="K401" s="129"/>
      <c r="L401" s="129"/>
      <c r="M401" s="129"/>
      <c r="N401" s="201"/>
      <c r="O401" s="204"/>
      <c r="P401" s="129"/>
      <c r="Q401" s="129"/>
      <c r="R401" s="129"/>
      <c r="S401" s="129"/>
      <c r="T401" s="129"/>
      <c r="U401" s="129"/>
      <c r="V401" s="129"/>
      <c r="W401" s="129"/>
      <c r="X401" s="129"/>
      <c r="Y401" s="129"/>
      <c r="Z401" s="201"/>
      <c r="AA401" s="204"/>
      <c r="AB401" s="201"/>
      <c r="AC401" s="201"/>
    </row>
    <row r="402" spans="2:29" ht="17.100000000000001" customHeight="1">
      <c r="B402" s="31"/>
      <c r="C402" s="206"/>
      <c r="D402" s="146"/>
      <c r="E402" s="146"/>
      <c r="F402" s="146"/>
      <c r="G402" s="146"/>
      <c r="H402" s="146"/>
      <c r="I402" s="146"/>
      <c r="J402" s="146"/>
      <c r="K402" s="146"/>
      <c r="L402" s="146"/>
      <c r="M402" s="146"/>
      <c r="N402" s="92"/>
      <c r="O402" s="206"/>
      <c r="P402" s="146"/>
      <c r="Q402" s="146"/>
      <c r="R402" s="146"/>
      <c r="S402" s="146"/>
      <c r="T402" s="146"/>
      <c r="U402" s="146"/>
      <c r="V402" s="146"/>
      <c r="W402" s="146"/>
      <c r="X402" s="146"/>
      <c r="Y402" s="146"/>
      <c r="Z402" s="92"/>
      <c r="AA402" s="206"/>
      <c r="AB402" s="92"/>
      <c r="AC402" s="92"/>
    </row>
    <row r="403" spans="2:29" ht="17.100000000000001" customHeight="1">
      <c r="B403" s="31"/>
      <c r="C403" s="206"/>
      <c r="D403" s="146"/>
      <c r="E403" s="146"/>
      <c r="F403" s="146"/>
      <c r="G403" s="146"/>
      <c r="H403" s="146"/>
      <c r="I403" s="146"/>
      <c r="J403" s="146"/>
      <c r="K403" s="146"/>
      <c r="L403" s="146"/>
      <c r="M403" s="146"/>
      <c r="N403" s="92"/>
      <c r="O403" s="206"/>
      <c r="P403" s="146"/>
      <c r="Q403" s="146"/>
      <c r="R403" s="146"/>
      <c r="S403" s="146"/>
      <c r="T403" s="146"/>
      <c r="U403" s="146"/>
      <c r="V403" s="146"/>
      <c r="W403" s="146"/>
      <c r="X403" s="146"/>
      <c r="Y403" s="146"/>
      <c r="Z403" s="92"/>
      <c r="AA403" s="206"/>
      <c r="AB403" s="92"/>
      <c r="AC403" s="92"/>
    </row>
    <row r="404" spans="2:29" ht="17.100000000000001" customHeight="1">
      <c r="B404" s="31"/>
      <c r="C404" s="206"/>
      <c r="D404" s="146"/>
      <c r="E404" s="146"/>
      <c r="F404" s="146"/>
      <c r="G404" s="146"/>
      <c r="H404" s="146"/>
      <c r="I404" s="146"/>
      <c r="J404" s="146"/>
      <c r="K404" s="146"/>
      <c r="L404" s="146"/>
      <c r="M404" s="146"/>
      <c r="N404" s="92"/>
      <c r="O404" s="206"/>
      <c r="P404" s="146"/>
      <c r="Q404" s="146"/>
      <c r="R404" s="146"/>
      <c r="S404" s="146"/>
      <c r="T404" s="146"/>
      <c r="U404" s="146"/>
      <c r="V404" s="146"/>
      <c r="W404" s="146"/>
      <c r="X404" s="146"/>
      <c r="Y404" s="146"/>
      <c r="Z404" s="92"/>
      <c r="AA404" s="206"/>
      <c r="AB404" s="92"/>
      <c r="AC404" s="92"/>
    </row>
    <row r="405" spans="2:29" ht="17.100000000000001" customHeight="1">
      <c r="B405" s="31"/>
      <c r="C405" s="206"/>
      <c r="D405" s="146"/>
      <c r="E405" s="146"/>
      <c r="F405" s="146"/>
      <c r="G405" s="146"/>
      <c r="H405" s="146"/>
      <c r="I405" s="146"/>
      <c r="J405" s="146"/>
      <c r="K405" s="146"/>
      <c r="L405" s="146"/>
      <c r="M405" s="146"/>
      <c r="N405" s="92"/>
      <c r="O405" s="206"/>
      <c r="P405" s="146"/>
      <c r="Q405" s="146"/>
      <c r="R405" s="146"/>
      <c r="S405" s="146"/>
      <c r="T405" s="146"/>
      <c r="U405" s="146"/>
      <c r="V405" s="146"/>
      <c r="W405" s="146"/>
      <c r="X405" s="146"/>
      <c r="Y405" s="146"/>
      <c r="Z405" s="92"/>
      <c r="AA405" s="206"/>
      <c r="AB405" s="92"/>
      <c r="AC405" s="92"/>
    </row>
    <row r="406" spans="2:29" ht="17.100000000000001" customHeight="1">
      <c r="B406" s="31"/>
      <c r="C406" s="206"/>
      <c r="D406" s="146"/>
      <c r="E406" s="146"/>
      <c r="F406" s="146"/>
      <c r="G406" s="146"/>
      <c r="H406" s="146"/>
      <c r="I406" s="146"/>
      <c r="J406" s="146"/>
      <c r="K406" s="146"/>
      <c r="L406" s="146"/>
      <c r="M406" s="146"/>
      <c r="N406" s="92"/>
      <c r="O406" s="206"/>
      <c r="P406" s="146"/>
      <c r="Q406" s="146"/>
      <c r="R406" s="146"/>
      <c r="S406" s="146"/>
      <c r="T406" s="146"/>
      <c r="U406" s="146"/>
      <c r="V406" s="146"/>
      <c r="W406" s="146"/>
      <c r="X406" s="146"/>
      <c r="Y406" s="146"/>
      <c r="Z406" s="92"/>
      <c r="AA406" s="206"/>
      <c r="AB406" s="92"/>
      <c r="AC406" s="92"/>
    </row>
    <row r="407" spans="2:29" ht="17.100000000000001" customHeight="1">
      <c r="B407" s="31"/>
      <c r="C407" s="206"/>
      <c r="D407" s="146"/>
      <c r="E407" s="146"/>
      <c r="F407" s="146"/>
      <c r="G407" s="146"/>
      <c r="H407" s="146"/>
      <c r="I407" s="146"/>
      <c r="J407" s="146"/>
      <c r="K407" s="146"/>
      <c r="L407" s="146"/>
      <c r="M407" s="146"/>
      <c r="N407" s="92"/>
      <c r="O407" s="206"/>
      <c r="P407" s="146"/>
      <c r="Q407" s="146"/>
      <c r="R407" s="146"/>
      <c r="S407" s="146"/>
      <c r="T407" s="146"/>
      <c r="U407" s="146"/>
      <c r="V407" s="146"/>
      <c r="W407" s="146"/>
      <c r="X407" s="146"/>
      <c r="Y407" s="146"/>
      <c r="Z407" s="92"/>
      <c r="AA407" s="206"/>
      <c r="AB407" s="92"/>
      <c r="AC407" s="92"/>
    </row>
    <row r="408" spans="2:29" ht="17.100000000000001" customHeight="1">
      <c r="B408" s="31"/>
      <c r="C408" s="206"/>
      <c r="D408" s="146"/>
      <c r="E408" s="146"/>
      <c r="F408" s="146"/>
      <c r="G408" s="146"/>
      <c r="H408" s="146"/>
      <c r="I408" s="146"/>
      <c r="J408" s="146"/>
      <c r="K408" s="146"/>
      <c r="L408" s="146"/>
      <c r="M408" s="146"/>
      <c r="N408" s="92"/>
      <c r="O408" s="206"/>
      <c r="P408" s="146"/>
      <c r="Q408" s="146"/>
      <c r="R408" s="146"/>
      <c r="S408" s="146"/>
      <c r="T408" s="146"/>
      <c r="U408" s="146"/>
      <c r="V408" s="146"/>
      <c r="W408" s="146"/>
      <c r="X408" s="146"/>
      <c r="Y408" s="146"/>
      <c r="Z408" s="92"/>
      <c r="AA408" s="206"/>
      <c r="AB408" s="92"/>
      <c r="AC408" s="92"/>
    </row>
    <row r="409" spans="2:29" ht="17.100000000000001" customHeight="1">
      <c r="B409" s="31"/>
      <c r="C409" s="206"/>
      <c r="D409" s="146"/>
      <c r="E409" s="146"/>
      <c r="F409" s="146"/>
      <c r="G409" s="146"/>
      <c r="H409" s="146"/>
      <c r="I409" s="146"/>
      <c r="J409" s="146"/>
      <c r="K409" s="146"/>
      <c r="L409" s="146"/>
      <c r="M409" s="146"/>
      <c r="N409" s="92"/>
      <c r="O409" s="206"/>
      <c r="P409" s="146"/>
      <c r="Q409" s="146"/>
      <c r="R409" s="146"/>
      <c r="S409" s="146"/>
      <c r="T409" s="146"/>
      <c r="U409" s="146"/>
      <c r="V409" s="146"/>
      <c r="W409" s="146"/>
      <c r="X409" s="146"/>
      <c r="Y409" s="146"/>
      <c r="Z409" s="92"/>
      <c r="AA409" s="206"/>
      <c r="AB409" s="92"/>
      <c r="AC409" s="92"/>
    </row>
    <row r="410" spans="2:29" ht="17.100000000000001" customHeight="1">
      <c r="B410" s="31"/>
      <c r="C410" s="206"/>
      <c r="D410" s="146"/>
      <c r="E410" s="146"/>
      <c r="F410" s="146"/>
      <c r="G410" s="146"/>
      <c r="H410" s="146"/>
      <c r="I410" s="146"/>
      <c r="J410" s="146"/>
      <c r="K410" s="146"/>
      <c r="L410" s="146"/>
      <c r="M410" s="146"/>
      <c r="N410" s="92"/>
      <c r="O410" s="206"/>
      <c r="P410" s="146"/>
      <c r="Q410" s="146"/>
      <c r="R410" s="146"/>
      <c r="S410" s="146"/>
      <c r="T410" s="146"/>
      <c r="U410" s="146"/>
      <c r="V410" s="146"/>
      <c r="W410" s="146"/>
      <c r="X410" s="146"/>
      <c r="Y410" s="146"/>
      <c r="Z410" s="92"/>
      <c r="AA410" s="206"/>
      <c r="AB410" s="92"/>
      <c r="AC410" s="92"/>
    </row>
    <row r="411" spans="2:29" ht="17.100000000000001" customHeight="1">
      <c r="B411" s="31"/>
      <c r="C411" s="206"/>
      <c r="D411" s="146"/>
      <c r="E411" s="146"/>
      <c r="F411" s="146"/>
      <c r="G411" s="146"/>
      <c r="H411" s="146"/>
      <c r="I411" s="146"/>
      <c r="J411" s="146"/>
      <c r="K411" s="146"/>
      <c r="L411" s="146"/>
      <c r="M411" s="146"/>
      <c r="N411" s="92"/>
      <c r="O411" s="206"/>
      <c r="P411" s="146"/>
      <c r="Q411" s="146"/>
      <c r="R411" s="146"/>
      <c r="S411" s="146"/>
      <c r="T411" s="146"/>
      <c r="U411" s="146"/>
      <c r="V411" s="146"/>
      <c r="W411" s="146"/>
      <c r="X411" s="146"/>
      <c r="Y411" s="146"/>
      <c r="Z411" s="92"/>
      <c r="AA411" s="206"/>
      <c r="AB411" s="92"/>
      <c r="AC411" s="92"/>
    </row>
    <row r="412" spans="2:29" ht="17.100000000000001" customHeight="1">
      <c r="B412" s="31"/>
      <c r="C412" s="206"/>
      <c r="D412" s="146"/>
      <c r="E412" s="146"/>
      <c r="F412" s="146"/>
      <c r="G412" s="146"/>
      <c r="H412" s="146"/>
      <c r="I412" s="146"/>
      <c r="J412" s="146"/>
      <c r="K412" s="146"/>
      <c r="L412" s="146"/>
      <c r="M412" s="146"/>
      <c r="N412" s="92"/>
      <c r="O412" s="206"/>
      <c r="P412" s="146"/>
      <c r="Q412" s="146"/>
      <c r="R412" s="146"/>
      <c r="S412" s="146"/>
      <c r="T412" s="146"/>
      <c r="U412" s="146"/>
      <c r="V412" s="146"/>
      <c r="W412" s="146"/>
      <c r="X412" s="146"/>
      <c r="Y412" s="146"/>
      <c r="Z412" s="92"/>
      <c r="AA412" s="206"/>
      <c r="AB412" s="92"/>
      <c r="AC412" s="92"/>
    </row>
    <row r="413" spans="2:29" ht="17.100000000000001" customHeight="1">
      <c r="B413" s="31"/>
      <c r="C413" s="206"/>
      <c r="D413" s="146"/>
      <c r="E413" s="146"/>
      <c r="F413" s="146"/>
      <c r="G413" s="146"/>
      <c r="H413" s="146"/>
      <c r="I413" s="146"/>
      <c r="J413" s="146"/>
      <c r="K413" s="146"/>
      <c r="L413" s="146"/>
      <c r="M413" s="146"/>
      <c r="N413" s="92"/>
      <c r="O413" s="206"/>
      <c r="P413" s="146"/>
      <c r="Q413" s="146"/>
      <c r="R413" s="146"/>
      <c r="S413" s="146"/>
      <c r="T413" s="146"/>
      <c r="U413" s="146"/>
      <c r="V413" s="146"/>
      <c r="W413" s="146"/>
      <c r="X413" s="146"/>
      <c r="Y413" s="146"/>
      <c r="Z413" s="92"/>
      <c r="AA413" s="206"/>
      <c r="AB413" s="92"/>
      <c r="AC413" s="92"/>
    </row>
    <row r="414" spans="2:29" ht="17.100000000000001" customHeight="1">
      <c r="B414" s="31"/>
      <c r="C414" s="206"/>
      <c r="D414" s="146"/>
      <c r="E414" s="146"/>
      <c r="F414" s="146"/>
      <c r="G414" s="146"/>
      <c r="H414" s="146"/>
      <c r="I414" s="146"/>
      <c r="J414" s="146"/>
      <c r="K414" s="146"/>
      <c r="L414" s="146"/>
      <c r="M414" s="146"/>
      <c r="N414" s="92"/>
      <c r="O414" s="206"/>
      <c r="P414" s="146"/>
      <c r="Q414" s="146"/>
      <c r="R414" s="146"/>
      <c r="S414" s="146"/>
      <c r="T414" s="146"/>
      <c r="U414" s="146"/>
      <c r="V414" s="146"/>
      <c r="W414" s="146"/>
      <c r="X414" s="146"/>
      <c r="Y414" s="146"/>
      <c r="Z414" s="92"/>
      <c r="AA414" s="206"/>
      <c r="AB414" s="92"/>
      <c r="AC414" s="92"/>
    </row>
    <row r="415" spans="2:29" ht="17.100000000000001" customHeight="1">
      <c r="B415" s="31"/>
      <c r="C415" s="206"/>
      <c r="D415" s="146"/>
      <c r="E415" s="146"/>
      <c r="F415" s="146"/>
      <c r="G415" s="146"/>
      <c r="H415" s="146"/>
      <c r="I415" s="146"/>
      <c r="J415" s="146"/>
      <c r="K415" s="146"/>
      <c r="L415" s="146"/>
      <c r="M415" s="146"/>
      <c r="N415" s="92"/>
      <c r="O415" s="206"/>
      <c r="P415" s="146"/>
      <c r="Q415" s="146"/>
      <c r="R415" s="146"/>
      <c r="S415" s="146"/>
      <c r="T415" s="146"/>
      <c r="U415" s="146"/>
      <c r="V415" s="146"/>
      <c r="W415" s="146"/>
      <c r="X415" s="146"/>
      <c r="Y415" s="146"/>
      <c r="Z415" s="92"/>
      <c r="AA415" s="206"/>
      <c r="AB415" s="92"/>
      <c r="AC415" s="92"/>
    </row>
    <row r="416" spans="2:29" ht="17.100000000000001" customHeight="1">
      <c r="B416" s="31"/>
      <c r="C416" s="206"/>
      <c r="D416" s="146"/>
      <c r="E416" s="146"/>
      <c r="F416" s="146"/>
      <c r="G416" s="146"/>
      <c r="H416" s="146"/>
      <c r="I416" s="146"/>
      <c r="J416" s="146"/>
      <c r="K416" s="146"/>
      <c r="L416" s="146"/>
      <c r="M416" s="146"/>
      <c r="N416" s="92"/>
      <c r="O416" s="206"/>
      <c r="P416" s="146"/>
      <c r="Q416" s="146"/>
      <c r="R416" s="146"/>
      <c r="S416" s="146"/>
      <c r="T416" s="146"/>
      <c r="U416" s="146"/>
      <c r="V416" s="146"/>
      <c r="W416" s="146"/>
      <c r="X416" s="146"/>
      <c r="Y416" s="146"/>
      <c r="Z416" s="92"/>
      <c r="AA416" s="206"/>
      <c r="AB416" s="92"/>
      <c r="AC416" s="92"/>
    </row>
    <row r="417" spans="2:29" ht="17.100000000000001" customHeight="1">
      <c r="B417" s="31"/>
      <c r="C417" s="206"/>
      <c r="D417" s="146"/>
      <c r="E417" s="146"/>
      <c r="F417" s="146"/>
      <c r="G417" s="146"/>
      <c r="H417" s="146"/>
      <c r="I417" s="146"/>
      <c r="J417" s="146"/>
      <c r="K417" s="146"/>
      <c r="L417" s="146"/>
      <c r="M417" s="146"/>
      <c r="N417" s="92"/>
      <c r="O417" s="206"/>
      <c r="P417" s="146"/>
      <c r="Q417" s="146"/>
      <c r="R417" s="146"/>
      <c r="S417" s="146"/>
      <c r="T417" s="146"/>
      <c r="U417" s="146"/>
      <c r="V417" s="146"/>
      <c r="W417" s="146"/>
      <c r="X417" s="146"/>
      <c r="Y417" s="146"/>
      <c r="Z417" s="92"/>
      <c r="AA417" s="206"/>
      <c r="AB417" s="92"/>
      <c r="AC417" s="92"/>
    </row>
    <row r="418" spans="2:29" ht="17.100000000000001" customHeight="1">
      <c r="B418" s="31"/>
      <c r="C418" s="206"/>
      <c r="D418" s="146"/>
      <c r="E418" s="146"/>
      <c r="F418" s="146"/>
      <c r="G418" s="146"/>
      <c r="H418" s="146"/>
      <c r="I418" s="146"/>
      <c r="J418" s="146"/>
      <c r="K418" s="146"/>
      <c r="L418" s="146"/>
      <c r="M418" s="146"/>
      <c r="N418" s="92"/>
      <c r="O418" s="206"/>
      <c r="P418" s="146"/>
      <c r="Q418" s="146"/>
      <c r="R418" s="146"/>
      <c r="S418" s="146"/>
      <c r="T418" s="146"/>
      <c r="U418" s="146"/>
      <c r="V418" s="146"/>
      <c r="W418" s="146"/>
      <c r="X418" s="146"/>
      <c r="Y418" s="146"/>
      <c r="Z418" s="92"/>
      <c r="AA418" s="206"/>
      <c r="AB418" s="92"/>
      <c r="AC418" s="92"/>
    </row>
    <row r="419" spans="2:29" ht="17.100000000000001" customHeight="1">
      <c r="B419" s="31"/>
      <c r="C419" s="206"/>
      <c r="D419" s="146"/>
      <c r="E419" s="146"/>
      <c r="F419" s="146"/>
      <c r="G419" s="146"/>
      <c r="H419" s="146"/>
      <c r="I419" s="146"/>
      <c r="J419" s="146"/>
      <c r="K419" s="146"/>
      <c r="L419" s="146"/>
      <c r="M419" s="146"/>
      <c r="N419" s="92"/>
      <c r="O419" s="206"/>
      <c r="P419" s="146"/>
      <c r="Q419" s="146"/>
      <c r="R419" s="146"/>
      <c r="S419" s="146"/>
      <c r="T419" s="146"/>
      <c r="U419" s="146"/>
      <c r="V419" s="146"/>
      <c r="W419" s="146"/>
      <c r="X419" s="146"/>
      <c r="Y419" s="146"/>
      <c r="Z419" s="92"/>
      <c r="AA419" s="206"/>
      <c r="AB419" s="92"/>
      <c r="AC419" s="92"/>
    </row>
    <row r="420" spans="2:29" ht="17.100000000000001" customHeight="1">
      <c r="B420" s="31"/>
      <c r="C420" s="206"/>
      <c r="D420" s="146"/>
      <c r="E420" s="146"/>
      <c r="F420" s="146"/>
      <c r="G420" s="146"/>
      <c r="H420" s="146"/>
      <c r="I420" s="146"/>
      <c r="J420" s="146"/>
      <c r="K420" s="146"/>
      <c r="L420" s="146"/>
      <c r="M420" s="146"/>
      <c r="N420" s="92"/>
      <c r="O420" s="206"/>
      <c r="P420" s="146"/>
      <c r="Q420" s="146"/>
      <c r="R420" s="146"/>
      <c r="S420" s="146"/>
      <c r="T420" s="146"/>
      <c r="U420" s="146"/>
      <c r="V420" s="146"/>
      <c r="W420" s="146"/>
      <c r="X420" s="146"/>
      <c r="Y420" s="146"/>
      <c r="Z420" s="92"/>
      <c r="AA420" s="206"/>
      <c r="AB420" s="92"/>
      <c r="AC420" s="92"/>
    </row>
    <row r="421" spans="2:29" ht="17.100000000000001" customHeight="1">
      <c r="B421" s="31"/>
      <c r="C421" s="206"/>
      <c r="D421" s="146"/>
      <c r="E421" s="146"/>
      <c r="F421" s="146"/>
      <c r="G421" s="146"/>
      <c r="H421" s="146"/>
      <c r="I421" s="146"/>
      <c r="J421" s="146"/>
      <c r="K421" s="146"/>
      <c r="L421" s="146"/>
      <c r="M421" s="146"/>
      <c r="N421" s="92"/>
      <c r="O421" s="206"/>
      <c r="P421" s="146"/>
      <c r="Q421" s="146"/>
      <c r="R421" s="146"/>
      <c r="S421" s="146"/>
      <c r="T421" s="146"/>
      <c r="U421" s="146"/>
      <c r="V421" s="146"/>
      <c r="W421" s="146"/>
      <c r="X421" s="146"/>
      <c r="Y421" s="146"/>
      <c r="Z421" s="92"/>
      <c r="AA421" s="206"/>
      <c r="AB421" s="92"/>
      <c r="AC421" s="92"/>
    </row>
    <row r="422" spans="2:29" ht="17.100000000000001" customHeight="1">
      <c r="B422" s="31"/>
      <c r="C422" s="206"/>
      <c r="D422" s="146"/>
      <c r="E422" s="146"/>
      <c r="F422" s="146"/>
      <c r="G422" s="146"/>
      <c r="H422" s="146"/>
      <c r="I422" s="146"/>
      <c r="J422" s="146"/>
      <c r="K422" s="146"/>
      <c r="L422" s="146"/>
      <c r="M422" s="146"/>
      <c r="N422" s="92"/>
      <c r="O422" s="206"/>
      <c r="P422" s="146"/>
      <c r="Q422" s="146"/>
      <c r="R422" s="146"/>
      <c r="S422" s="146"/>
      <c r="T422" s="146"/>
      <c r="U422" s="146"/>
      <c r="V422" s="146"/>
      <c r="W422" s="146"/>
      <c r="X422" s="146"/>
      <c r="Y422" s="146"/>
      <c r="Z422" s="92"/>
      <c r="AA422" s="206"/>
      <c r="AB422" s="92"/>
      <c r="AC422" s="92"/>
    </row>
    <row r="423" spans="2:29" ht="17.100000000000001" customHeight="1">
      <c r="B423" s="31"/>
      <c r="C423" s="206"/>
      <c r="D423" s="146"/>
      <c r="E423" s="146"/>
      <c r="F423" s="146"/>
      <c r="G423" s="146"/>
      <c r="H423" s="146"/>
      <c r="I423" s="146"/>
      <c r="J423" s="146"/>
      <c r="K423" s="146"/>
      <c r="L423" s="146"/>
      <c r="M423" s="146"/>
      <c r="N423" s="92"/>
      <c r="O423" s="206"/>
      <c r="P423" s="146"/>
      <c r="Q423" s="146"/>
      <c r="R423" s="146"/>
      <c r="S423" s="146"/>
      <c r="T423" s="146"/>
      <c r="U423" s="146"/>
      <c r="V423" s="146"/>
      <c r="W423" s="146"/>
      <c r="X423" s="146"/>
      <c r="Y423" s="146"/>
      <c r="Z423" s="92"/>
      <c r="AA423" s="206"/>
      <c r="AB423" s="92"/>
      <c r="AC423" s="92"/>
    </row>
    <row r="424" spans="2:29" ht="17.100000000000001" customHeight="1">
      <c r="B424" s="31"/>
      <c r="C424" s="206"/>
      <c r="D424" s="146"/>
      <c r="E424" s="146"/>
      <c r="F424" s="146"/>
      <c r="G424" s="146"/>
      <c r="H424" s="146"/>
      <c r="I424" s="146"/>
      <c r="J424" s="146"/>
      <c r="K424" s="146"/>
      <c r="L424" s="146"/>
      <c r="M424" s="146"/>
      <c r="N424" s="92"/>
      <c r="O424" s="206"/>
      <c r="P424" s="146"/>
      <c r="Q424" s="146"/>
      <c r="R424" s="146"/>
      <c r="S424" s="146"/>
      <c r="T424" s="146"/>
      <c r="U424" s="146"/>
      <c r="V424" s="146"/>
      <c r="W424" s="146"/>
      <c r="X424" s="146"/>
      <c r="Y424" s="146"/>
      <c r="Z424" s="92"/>
      <c r="AA424" s="206"/>
      <c r="AB424" s="92"/>
      <c r="AC424" s="92"/>
    </row>
    <row r="425" spans="2:29" ht="17.100000000000001" customHeight="1">
      <c r="B425" s="31"/>
      <c r="C425" s="206"/>
      <c r="D425" s="146"/>
      <c r="E425" s="146"/>
      <c r="F425" s="146"/>
      <c r="G425" s="146"/>
      <c r="H425" s="146"/>
      <c r="I425" s="146"/>
      <c r="J425" s="146"/>
      <c r="K425" s="146"/>
      <c r="L425" s="146"/>
      <c r="M425" s="146"/>
      <c r="N425" s="92"/>
      <c r="O425" s="206"/>
      <c r="P425" s="146"/>
      <c r="Q425" s="146"/>
      <c r="R425" s="146"/>
      <c r="S425" s="146"/>
      <c r="T425" s="146"/>
      <c r="U425" s="146"/>
      <c r="V425" s="146"/>
      <c r="W425" s="146"/>
      <c r="X425" s="146"/>
      <c r="Y425" s="146"/>
      <c r="Z425" s="92"/>
      <c r="AA425" s="206"/>
      <c r="AB425" s="92"/>
      <c r="AC425" s="92"/>
    </row>
    <row r="426" spans="2:29" ht="17.100000000000001" customHeight="1">
      <c r="B426" s="31"/>
      <c r="C426" s="206"/>
      <c r="D426" s="146"/>
      <c r="E426" s="146"/>
      <c r="F426" s="146"/>
      <c r="G426" s="146"/>
      <c r="H426" s="146"/>
      <c r="I426" s="146"/>
      <c r="J426" s="146"/>
      <c r="K426" s="146"/>
      <c r="L426" s="146"/>
      <c r="M426" s="146"/>
      <c r="N426" s="92"/>
      <c r="O426" s="206"/>
      <c r="P426" s="146"/>
      <c r="Q426" s="146"/>
      <c r="R426" s="146"/>
      <c r="S426" s="146"/>
      <c r="T426" s="146"/>
      <c r="U426" s="146"/>
      <c r="V426" s="146"/>
      <c r="W426" s="146"/>
      <c r="X426" s="146"/>
      <c r="Y426" s="146"/>
      <c r="Z426" s="92"/>
      <c r="AA426" s="206"/>
      <c r="AB426" s="92"/>
      <c r="AC426" s="92"/>
    </row>
    <row r="427" spans="2:29" ht="17.100000000000001" customHeight="1">
      <c r="B427" s="90"/>
      <c r="C427" s="91"/>
      <c r="D427" s="92"/>
      <c r="E427" s="92"/>
      <c r="F427" s="92"/>
      <c r="G427" s="92"/>
      <c r="H427" s="92"/>
      <c r="I427" s="92"/>
      <c r="J427" s="92"/>
      <c r="K427" s="92"/>
      <c r="L427" s="92"/>
      <c r="M427" s="92"/>
      <c r="N427" s="92"/>
      <c r="O427" s="91"/>
      <c r="P427" s="92"/>
      <c r="Q427" s="92"/>
      <c r="R427" s="92"/>
      <c r="S427" s="92"/>
      <c r="T427" s="92"/>
      <c r="U427" s="92"/>
      <c r="V427" s="92"/>
      <c r="W427" s="92"/>
      <c r="X427" s="92"/>
      <c r="Y427" s="92"/>
      <c r="Z427" s="92"/>
      <c r="AA427" s="91"/>
      <c r="AB427" s="92"/>
      <c r="AC427" s="92"/>
    </row>
    <row r="428" spans="2:29" ht="12.75" customHeight="1"/>
    <row r="429" spans="2:29" ht="12.75" customHeight="1"/>
    <row r="430" spans="2:29" ht="12.75" customHeight="1"/>
    <row r="431" spans="2:29" ht="12.75" customHeight="1"/>
    <row r="432" spans="2:29"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spans="8:10" ht="12.75" customHeight="1"/>
    <row r="482" spans="8:10" ht="12.75" customHeight="1"/>
    <row r="483" spans="8:10" ht="12.75" customHeight="1"/>
    <row r="484" spans="8:10" ht="12.75" customHeight="1"/>
    <row r="485" spans="8:10" ht="12.75" customHeight="1"/>
    <row r="486" spans="8:10" ht="12.75" customHeight="1"/>
    <row r="487" spans="8:10" ht="12.75" customHeight="1"/>
    <row r="488" spans="8:10" ht="12.75" customHeight="1"/>
    <row r="489" spans="8:10" ht="12.75" customHeight="1"/>
    <row r="490" spans="8:10" ht="12.75" customHeight="1"/>
    <row r="491" spans="8:10" ht="12.75" customHeight="1">
      <c r="H491" s="568"/>
      <c r="I491" s="568"/>
      <c r="J491" s="568"/>
    </row>
    <row r="492" spans="8:10" ht="12.75" customHeight="1">
      <c r="H492" s="568"/>
      <c r="I492" s="568"/>
      <c r="J492" s="568"/>
    </row>
    <row r="493" spans="8:10" ht="12.75" customHeight="1">
      <c r="H493" s="568"/>
      <c r="I493" s="568"/>
      <c r="J493" s="568"/>
    </row>
    <row r="494" spans="8:10" ht="12.75" customHeight="1">
      <c r="H494" s="568"/>
      <c r="I494" s="568"/>
      <c r="J494" s="568"/>
    </row>
    <row r="495" spans="8:10" ht="12.75" customHeight="1">
      <c r="H495" s="568"/>
      <c r="I495" s="568"/>
      <c r="J495" s="568"/>
    </row>
    <row r="496" spans="8:10" ht="12.75" customHeight="1">
      <c r="H496" s="568"/>
      <c r="I496" s="568"/>
      <c r="J496" s="568"/>
    </row>
    <row r="497" spans="2:10" ht="12.75" customHeight="1">
      <c r="H497" s="568"/>
      <c r="I497" s="568"/>
      <c r="J497" s="568"/>
    </row>
    <row r="498" spans="2:10" ht="12.75" customHeight="1">
      <c r="B498" s="213"/>
      <c r="C498" s="214"/>
      <c r="D498" s="213"/>
      <c r="E498" s="213"/>
      <c r="H498" s="568"/>
      <c r="I498" s="568"/>
      <c r="J498" s="568"/>
    </row>
    <row r="499" spans="2:10" ht="12.75" customHeight="1">
      <c r="H499" s="220"/>
      <c r="I499" s="220"/>
      <c r="J499" s="220"/>
    </row>
    <row r="500" spans="2:10" ht="12.75" customHeight="1"/>
    <row r="501" spans="2:10" ht="12.75" customHeight="1"/>
    <row r="502" spans="2:10" ht="12.75" customHeight="1"/>
    <row r="503" spans="2:10" ht="12.75" customHeight="1"/>
    <row r="504" spans="2:10" ht="12.75" customHeight="1"/>
    <row r="505" spans="2:10" ht="12.75" customHeight="1"/>
    <row r="506" spans="2:10" ht="12.75" customHeight="1"/>
    <row r="507" spans="2:10" ht="12.75" customHeight="1"/>
    <row r="508" spans="2:10" ht="12.75" customHeight="1"/>
    <row r="509" spans="2:10" ht="12.75" customHeight="1"/>
    <row r="510" spans="2:10" ht="12.75" customHeight="1">
      <c r="H510" s="220"/>
      <c r="I510" s="220"/>
      <c r="J510" s="220"/>
    </row>
    <row r="511" spans="2:10" ht="12.75" customHeight="1">
      <c r="H511" s="220"/>
      <c r="I511" s="220"/>
      <c r="J511" s="220"/>
    </row>
  </sheetData>
  <sheetProtection selectLockedCells="1"/>
  <mergeCells count="995">
    <mergeCell ref="P397:Z397"/>
    <mergeCell ref="AB397:AB400"/>
    <mergeCell ref="D398:M398"/>
    <mergeCell ref="N398:N400"/>
    <mergeCell ref="B397:B400"/>
    <mergeCell ref="P398:Y398"/>
    <mergeCell ref="Z398:Z400"/>
    <mergeCell ref="B203:C203"/>
    <mergeCell ref="B215:C215"/>
    <mergeCell ref="B214:C214"/>
    <mergeCell ref="B213:C213"/>
    <mergeCell ref="B212:C212"/>
    <mergeCell ref="B211:C211"/>
    <mergeCell ref="B210:C210"/>
    <mergeCell ref="B208:C208"/>
    <mergeCell ref="B207:C207"/>
    <mergeCell ref="W211:X211"/>
    <mergeCell ref="W212:X212"/>
    <mergeCell ref="W207:X207"/>
    <mergeCell ref="N215:O215"/>
    <mergeCell ref="N207:O207"/>
    <mergeCell ref="P215:Q215"/>
    <mergeCell ref="P212:Q212"/>
    <mergeCell ref="P213:Q213"/>
    <mergeCell ref="B395:AB395"/>
    <mergeCell ref="B219:B224"/>
    <mergeCell ref="B235:B244"/>
    <mergeCell ref="B193:C193"/>
    <mergeCell ref="G78:G81"/>
    <mergeCell ref="C99:D99"/>
    <mergeCell ref="C100:D100"/>
    <mergeCell ref="C101:D101"/>
    <mergeCell ref="C102:D102"/>
    <mergeCell ref="E78:E81"/>
    <mergeCell ref="F78:F81"/>
    <mergeCell ref="C105:D105"/>
    <mergeCell ref="C98:D98"/>
    <mergeCell ref="C96:D96"/>
    <mergeCell ref="C94:D94"/>
    <mergeCell ref="C104:D104"/>
    <mergeCell ref="C103:D103"/>
    <mergeCell ref="C97:D97"/>
    <mergeCell ref="C87:D87"/>
    <mergeCell ref="C92:D92"/>
    <mergeCell ref="C88:D88"/>
    <mergeCell ref="R213:S213"/>
    <mergeCell ref="R207:S207"/>
    <mergeCell ref="R208:S208"/>
    <mergeCell ref="B78:B81"/>
    <mergeCell ref="C78:D81"/>
    <mergeCell ref="C83:D83"/>
    <mergeCell ref="C84:D84"/>
    <mergeCell ref="C85:D85"/>
    <mergeCell ref="H83:H104"/>
    <mergeCell ref="J78:AB81"/>
    <mergeCell ref="I11:J11"/>
    <mergeCell ref="E10:F10"/>
    <mergeCell ref="G10:H10"/>
    <mergeCell ref="I10:J10"/>
    <mergeCell ref="N10:O10"/>
    <mergeCell ref="P10:Q10"/>
    <mergeCell ref="R10:S10"/>
    <mergeCell ref="P14:Q14"/>
    <mergeCell ref="C95:D95"/>
    <mergeCell ref="C93:D93"/>
    <mergeCell ref="C91:D91"/>
    <mergeCell ref="C89:D89"/>
    <mergeCell ref="B14:C14"/>
    <mergeCell ref="E14:F14"/>
    <mergeCell ref="G14:H14"/>
    <mergeCell ref="C90:D90"/>
    <mergeCell ref="C82:D82"/>
    <mergeCell ref="W196:X196"/>
    <mergeCell ref="W197:X197"/>
    <mergeCell ref="W198:X198"/>
    <mergeCell ref="W205:X205"/>
    <mergeCell ref="W203:X203"/>
    <mergeCell ref="W199:X199"/>
    <mergeCell ref="C86:D86"/>
    <mergeCell ref="AD7:AD10"/>
    <mergeCell ref="AC7:AC37"/>
    <mergeCell ref="E9:J9"/>
    <mergeCell ref="N9:S9"/>
    <mergeCell ref="AD183:BD183"/>
    <mergeCell ref="AD186:AD189"/>
    <mergeCell ref="C106:D106"/>
    <mergeCell ref="C107:D107"/>
    <mergeCell ref="G199:H199"/>
    <mergeCell ref="I198:J198"/>
    <mergeCell ref="B187:C189"/>
    <mergeCell ref="E196:F196"/>
    <mergeCell ref="E199:F199"/>
    <mergeCell ref="E198:F198"/>
    <mergeCell ref="B205:C205"/>
    <mergeCell ref="B204:C204"/>
    <mergeCell ref="B191:C191"/>
    <mergeCell ref="CN8:CN10"/>
    <mergeCell ref="CK5:CN5"/>
    <mergeCell ref="BD7:BD10"/>
    <mergeCell ref="AP8:AP10"/>
    <mergeCell ref="BB8:BB10"/>
    <mergeCell ref="BD42:BD45"/>
    <mergeCell ref="AD42:AD45"/>
    <mergeCell ref="AA48:AB48"/>
    <mergeCell ref="W9:AB9"/>
    <mergeCell ref="W10:X10"/>
    <mergeCell ref="Y14:Z14"/>
    <mergeCell ref="AA14:AB14"/>
    <mergeCell ref="W14:X14"/>
    <mergeCell ref="Y20:Z20"/>
    <mergeCell ref="AA20:AB20"/>
    <mergeCell ref="Y22:Z22"/>
    <mergeCell ref="AA22:AB22"/>
    <mergeCell ref="Y24:Z24"/>
    <mergeCell ref="AA24:AB24"/>
    <mergeCell ref="AA26:AB26"/>
    <mergeCell ref="Y30:Z30"/>
    <mergeCell ref="AA30:AB30"/>
    <mergeCell ref="AA25:AB25"/>
    <mergeCell ref="Y29:Z29"/>
    <mergeCell ref="AA3:AB3"/>
    <mergeCell ref="AA74:AB74"/>
    <mergeCell ref="N190:O190"/>
    <mergeCell ref="N195:O195"/>
    <mergeCell ref="N191:O191"/>
    <mergeCell ref="N192:O192"/>
    <mergeCell ref="R195:S195"/>
    <mergeCell ref="R203:S203"/>
    <mergeCell ref="R190:S190"/>
    <mergeCell ref="R196:S196"/>
    <mergeCell ref="R197:S197"/>
    <mergeCell ref="P189:Q189"/>
    <mergeCell ref="R191:S191"/>
    <mergeCell ref="R192:S192"/>
    <mergeCell ref="R193:S193"/>
    <mergeCell ref="R194:S194"/>
    <mergeCell ref="Y201:Z201"/>
    <mergeCell ref="Y202:Z202"/>
    <mergeCell ref="W201:X201"/>
    <mergeCell ref="W202:X202"/>
    <mergeCell ref="Y203:Z203"/>
    <mergeCell ref="W200:X200"/>
    <mergeCell ref="Y200:Z200"/>
    <mergeCell ref="Y196:Z196"/>
    <mergeCell ref="B255:AB255"/>
    <mergeCell ref="B254:AB254"/>
    <mergeCell ref="AD257:AD260"/>
    <mergeCell ref="R214:S214"/>
    <mergeCell ref="R215:S215"/>
    <mergeCell ref="R205:S205"/>
    <mergeCell ref="W208:X208"/>
    <mergeCell ref="R204:S204"/>
    <mergeCell ref="Y213:Z213"/>
    <mergeCell ref="Y209:Z209"/>
    <mergeCell ref="W209:X209"/>
    <mergeCell ref="W210:X210"/>
    <mergeCell ref="Y206:Z206"/>
    <mergeCell ref="W206:X206"/>
    <mergeCell ref="Y211:Z211"/>
    <mergeCell ref="N211:O211"/>
    <mergeCell ref="N212:O212"/>
    <mergeCell ref="N206:O206"/>
    <mergeCell ref="R211:S211"/>
    <mergeCell ref="R212:S212"/>
    <mergeCell ref="I206:J206"/>
    <mergeCell ref="B209:C209"/>
    <mergeCell ref="B206:C206"/>
    <mergeCell ref="E215:F215"/>
    <mergeCell ref="BD257:BD260"/>
    <mergeCell ref="AF258:AO258"/>
    <mergeCell ref="AP258:AP260"/>
    <mergeCell ref="AF222:AO222"/>
    <mergeCell ref="AR222:BA222"/>
    <mergeCell ref="AF221:AP221"/>
    <mergeCell ref="BD186:BD189"/>
    <mergeCell ref="AR186:BB186"/>
    <mergeCell ref="BD221:BD224"/>
    <mergeCell ref="AF186:AP186"/>
    <mergeCell ref="BB187:BB189"/>
    <mergeCell ref="AR187:BA187"/>
    <mergeCell ref="AR257:BB257"/>
    <mergeCell ref="AD219:BD219"/>
    <mergeCell ref="AR221:BB221"/>
    <mergeCell ref="AD218:BD218"/>
    <mergeCell ref="AP222:AP224"/>
    <mergeCell ref="AR258:BA258"/>
    <mergeCell ref="AD255:BD255"/>
    <mergeCell ref="BB222:BB224"/>
    <mergeCell ref="BB258:BB260"/>
    <mergeCell ref="AD254:BD254"/>
    <mergeCell ref="AD184:BD184"/>
    <mergeCell ref="AF257:AP257"/>
    <mergeCell ref="AD221:AD224"/>
    <mergeCell ref="N213:O213"/>
    <mergeCell ref="P214:Q214"/>
    <mergeCell ref="B202:C202"/>
    <mergeCell ref="N208:O208"/>
    <mergeCell ref="E203:F203"/>
    <mergeCell ref="E193:F193"/>
    <mergeCell ref="E202:F202"/>
    <mergeCell ref="E201:F201"/>
    <mergeCell ref="E200:F200"/>
    <mergeCell ref="E195:F195"/>
    <mergeCell ref="G200:H200"/>
    <mergeCell ref="G196:H196"/>
    <mergeCell ref="B201:C201"/>
    <mergeCell ref="B194:C194"/>
    <mergeCell ref="B195:C195"/>
    <mergeCell ref="B196:C196"/>
    <mergeCell ref="B197:C197"/>
    <mergeCell ref="B198:C198"/>
    <mergeCell ref="B199:C199"/>
    <mergeCell ref="B200:C200"/>
    <mergeCell ref="G198:H198"/>
    <mergeCell ref="E214:F214"/>
    <mergeCell ref="E213:F213"/>
    <mergeCell ref="E212:F212"/>
    <mergeCell ref="E211:F211"/>
    <mergeCell ref="E210:F210"/>
    <mergeCell ref="E209:F209"/>
    <mergeCell ref="E205:F205"/>
    <mergeCell ref="E204:F204"/>
    <mergeCell ref="E208:F208"/>
    <mergeCell ref="E207:F207"/>
    <mergeCell ref="E206:F206"/>
    <mergeCell ref="B190:C190"/>
    <mergeCell ref="E191:F191"/>
    <mergeCell ref="E197:F197"/>
    <mergeCell ref="P191:Q191"/>
    <mergeCell ref="P192:Q192"/>
    <mergeCell ref="P193:Q193"/>
    <mergeCell ref="P194:Q194"/>
    <mergeCell ref="E194:F194"/>
    <mergeCell ref="N193:O193"/>
    <mergeCell ref="N194:O194"/>
    <mergeCell ref="E192:F192"/>
    <mergeCell ref="E190:F190"/>
    <mergeCell ref="G197:H197"/>
    <mergeCell ref="G193:H193"/>
    <mergeCell ref="G194:H194"/>
    <mergeCell ref="G195:H195"/>
    <mergeCell ref="G192:H192"/>
    <mergeCell ref="G190:H190"/>
    <mergeCell ref="I190:J190"/>
    <mergeCell ref="N196:O196"/>
    <mergeCell ref="N197:O197"/>
    <mergeCell ref="P197:Q197"/>
    <mergeCell ref="P190:Q190"/>
    <mergeCell ref="B192:C192"/>
    <mergeCell ref="N189:O189"/>
    <mergeCell ref="N188:S188"/>
    <mergeCell ref="W188:AB188"/>
    <mergeCell ref="E187:J187"/>
    <mergeCell ref="Y189:Z189"/>
    <mergeCell ref="E188:J188"/>
    <mergeCell ref="N187:S187"/>
    <mergeCell ref="E189:F189"/>
    <mergeCell ref="R189:S189"/>
    <mergeCell ref="I191:J191"/>
    <mergeCell ref="I192:J192"/>
    <mergeCell ref="I193:J193"/>
    <mergeCell ref="I194:J194"/>
    <mergeCell ref="I195:J195"/>
    <mergeCell ref="I196:J196"/>
    <mergeCell ref="I197:J197"/>
    <mergeCell ref="G191:H191"/>
    <mergeCell ref="G189:H189"/>
    <mergeCell ref="I189:J189"/>
    <mergeCell ref="G203:H203"/>
    <mergeCell ref="P195:Q195"/>
    <mergeCell ref="P196:Q196"/>
    <mergeCell ref="I199:J199"/>
    <mergeCell ref="I200:J200"/>
    <mergeCell ref="I201:J201"/>
    <mergeCell ref="I202:J202"/>
    <mergeCell ref="R202:S202"/>
    <mergeCell ref="I211:J211"/>
    <mergeCell ref="N210:O210"/>
    <mergeCell ref="R198:S198"/>
    <mergeCell ref="R199:S199"/>
    <mergeCell ref="R200:S200"/>
    <mergeCell ref="R201:S201"/>
    <mergeCell ref="I203:J203"/>
    <mergeCell ref="R209:S209"/>
    <mergeCell ref="R210:S210"/>
    <mergeCell ref="G201:H201"/>
    <mergeCell ref="G202:H202"/>
    <mergeCell ref="P210:Q210"/>
    <mergeCell ref="P211:Q211"/>
    <mergeCell ref="N209:O209"/>
    <mergeCell ref="P207:Q207"/>
    <mergeCell ref="P208:Q208"/>
    <mergeCell ref="I212:J212"/>
    <mergeCell ref="I213:J213"/>
    <mergeCell ref="G211:H211"/>
    <mergeCell ref="G212:H212"/>
    <mergeCell ref="G213:H213"/>
    <mergeCell ref="I204:J204"/>
    <mergeCell ref="I214:J214"/>
    <mergeCell ref="I205:J205"/>
    <mergeCell ref="I208:J208"/>
    <mergeCell ref="I209:J209"/>
    <mergeCell ref="I210:J210"/>
    <mergeCell ref="I207:J207"/>
    <mergeCell ref="G208:H208"/>
    <mergeCell ref="G209:H209"/>
    <mergeCell ref="G210:H210"/>
    <mergeCell ref="G204:H204"/>
    <mergeCell ref="G205:H205"/>
    <mergeCell ref="G206:H206"/>
    <mergeCell ref="G207:H207"/>
    <mergeCell ref="P209:Q209"/>
    <mergeCell ref="N199:O199"/>
    <mergeCell ref="N200:O200"/>
    <mergeCell ref="N201:O201"/>
    <mergeCell ref="P203:Q203"/>
    <mergeCell ref="P198:Q198"/>
    <mergeCell ref="P199:Q199"/>
    <mergeCell ref="N198:O198"/>
    <mergeCell ref="P206:Q206"/>
    <mergeCell ref="P200:Q200"/>
    <mergeCell ref="P201:Q201"/>
    <mergeCell ref="P202:Q202"/>
    <mergeCell ref="P204:Q204"/>
    <mergeCell ref="P205:Q205"/>
    <mergeCell ref="N202:O202"/>
    <mergeCell ref="N203:O203"/>
    <mergeCell ref="N204:O204"/>
    <mergeCell ref="N205:O205"/>
    <mergeCell ref="W195:X195"/>
    <mergeCell ref="R206:S206"/>
    <mergeCell ref="AA193:AB193"/>
    <mergeCell ref="AA189:AB189"/>
    <mergeCell ref="AP187:AP189"/>
    <mergeCell ref="AF187:AO187"/>
    <mergeCell ref="AA198:AB198"/>
    <mergeCell ref="AA196:AB196"/>
    <mergeCell ref="AA190:AB190"/>
    <mergeCell ref="AA191:AB191"/>
    <mergeCell ref="AA192:AB192"/>
    <mergeCell ref="W187:AB187"/>
    <mergeCell ref="Y191:Z191"/>
    <mergeCell ref="Y192:Z192"/>
    <mergeCell ref="Y193:Z193"/>
    <mergeCell ref="W193:X193"/>
    <mergeCell ref="W194:X194"/>
    <mergeCell ref="W191:X191"/>
    <mergeCell ref="Y194:Z194"/>
    <mergeCell ref="Y195:Z195"/>
    <mergeCell ref="Y199:Z199"/>
    <mergeCell ref="W204:X204"/>
    <mergeCell ref="Y197:Z197"/>
    <mergeCell ref="Y198:Z198"/>
    <mergeCell ref="H491:H498"/>
    <mergeCell ref="I491:I498"/>
    <mergeCell ref="J491:J498"/>
    <mergeCell ref="Y212:Z212"/>
    <mergeCell ref="W215:X215"/>
    <mergeCell ref="G214:H214"/>
    <mergeCell ref="Y215:Z215"/>
    <mergeCell ref="Y214:Z214"/>
    <mergeCell ref="W214:X214"/>
    <mergeCell ref="W213:X213"/>
    <mergeCell ref="G215:H215"/>
    <mergeCell ref="N214:O214"/>
    <mergeCell ref="I215:J215"/>
    <mergeCell ref="D397:N397"/>
    <mergeCell ref="B218:AB218"/>
    <mergeCell ref="B257:B260"/>
    <mergeCell ref="D257:N257"/>
    <mergeCell ref="P257:Z257"/>
    <mergeCell ref="AB257:AB260"/>
    <mergeCell ref="B394:AB394"/>
    <mergeCell ref="P258:Y258"/>
    <mergeCell ref="D258:M258"/>
    <mergeCell ref="N258:N260"/>
    <mergeCell ref="Z258:Z260"/>
    <mergeCell ref="AA211:AB211"/>
    <mergeCell ref="AA209:AB209"/>
    <mergeCell ref="AA210:AB210"/>
    <mergeCell ref="AA199:AB199"/>
    <mergeCell ref="Y204:Z204"/>
    <mergeCell ref="Y205:Z205"/>
    <mergeCell ref="AA197:AB197"/>
    <mergeCell ref="AA194:AB194"/>
    <mergeCell ref="AA195:AB195"/>
    <mergeCell ref="AA201:AB201"/>
    <mergeCell ref="AA204:AB204"/>
    <mergeCell ref="AA202:AB202"/>
    <mergeCell ref="AA203:AB203"/>
    <mergeCell ref="AA207:AB207"/>
    <mergeCell ref="AA208:AB208"/>
    <mergeCell ref="Y210:Z210"/>
    <mergeCell ref="Y208:Z208"/>
    <mergeCell ref="AA200:AB200"/>
    <mergeCell ref="AA212:AB212"/>
    <mergeCell ref="Y207:Z207"/>
    <mergeCell ref="AA205:AB205"/>
    <mergeCell ref="AA206:AB206"/>
    <mergeCell ref="AA213:AB213"/>
    <mergeCell ref="AA214:AB214"/>
    <mergeCell ref="B4:AB4"/>
    <mergeCell ref="B8:C10"/>
    <mergeCell ref="E8:J8"/>
    <mergeCell ref="N8:S8"/>
    <mergeCell ref="W8:AB8"/>
    <mergeCell ref="B12:C12"/>
    <mergeCell ref="E12:F12"/>
    <mergeCell ref="Y11:Z11"/>
    <mergeCell ref="AA11:AB11"/>
    <mergeCell ref="G12:H12"/>
    <mergeCell ref="I12:J12"/>
    <mergeCell ref="N12:O12"/>
    <mergeCell ref="P12:Q12"/>
    <mergeCell ref="Y12:Z12"/>
    <mergeCell ref="AA12:AB12"/>
    <mergeCell ref="B11:C11"/>
    <mergeCell ref="E11:F11"/>
    <mergeCell ref="G11:H11"/>
    <mergeCell ref="AA215:AB215"/>
    <mergeCell ref="Y10:Z10"/>
    <mergeCell ref="AA10:AB10"/>
    <mergeCell ref="W190:X190"/>
    <mergeCell ref="Y190:Z190"/>
    <mergeCell ref="B183:AB183"/>
    <mergeCell ref="AA38:AB38"/>
    <mergeCell ref="R13:S13"/>
    <mergeCell ref="W13:X13"/>
    <mergeCell ref="W192:X192"/>
    <mergeCell ref="W189:X189"/>
    <mergeCell ref="N11:O11"/>
    <mergeCell ref="P11:Q11"/>
    <mergeCell ref="R11:S11"/>
    <mergeCell ref="W11:X11"/>
    <mergeCell ref="N13:O13"/>
    <mergeCell ref="P13:Q13"/>
    <mergeCell ref="R12:S12"/>
    <mergeCell ref="W12:X12"/>
    <mergeCell ref="N14:O14"/>
    <mergeCell ref="B13:C13"/>
    <mergeCell ref="E13:F13"/>
    <mergeCell ref="G13:H13"/>
    <mergeCell ref="I13:J13"/>
    <mergeCell ref="I14:J14"/>
    <mergeCell ref="R16:S16"/>
    <mergeCell ref="W16:X16"/>
    <mergeCell ref="Y17:Z17"/>
    <mergeCell ref="AA17:AB17"/>
    <mergeCell ref="Y13:Z13"/>
    <mergeCell ref="AA13:AB13"/>
    <mergeCell ref="Y15:Z15"/>
    <mergeCell ref="AA15:AB15"/>
    <mergeCell ref="Y16:Z16"/>
    <mergeCell ref="AA16:AB16"/>
    <mergeCell ref="N15:O15"/>
    <mergeCell ref="P15:Q15"/>
    <mergeCell ref="R15:S15"/>
    <mergeCell ref="W15:X15"/>
    <mergeCell ref="R14:S14"/>
    <mergeCell ref="B17:C17"/>
    <mergeCell ref="E17:F17"/>
    <mergeCell ref="G17:H17"/>
    <mergeCell ref="I17:J17"/>
    <mergeCell ref="N16:O16"/>
    <mergeCell ref="P16:Q16"/>
    <mergeCell ref="B16:C16"/>
    <mergeCell ref="E16:F16"/>
    <mergeCell ref="G16:H16"/>
    <mergeCell ref="I16:J16"/>
    <mergeCell ref="B15:C15"/>
    <mergeCell ref="E15:F15"/>
    <mergeCell ref="G15:H15"/>
    <mergeCell ref="I15:J15"/>
    <mergeCell ref="Y18:Z18"/>
    <mergeCell ref="AA18:AB18"/>
    <mergeCell ref="B19:C19"/>
    <mergeCell ref="E19:F19"/>
    <mergeCell ref="G19:H19"/>
    <mergeCell ref="I19:J19"/>
    <mergeCell ref="B18:C18"/>
    <mergeCell ref="E18:F18"/>
    <mergeCell ref="G18:H18"/>
    <mergeCell ref="I18:J18"/>
    <mergeCell ref="N18:O18"/>
    <mergeCell ref="P18:Q18"/>
    <mergeCell ref="R17:S17"/>
    <mergeCell ref="W17:X17"/>
    <mergeCell ref="R18:S18"/>
    <mergeCell ref="W18:X18"/>
    <mergeCell ref="N17:O17"/>
    <mergeCell ref="P17:Q17"/>
    <mergeCell ref="Y19:Z19"/>
    <mergeCell ref="AA19:AB19"/>
    <mergeCell ref="R19:S19"/>
    <mergeCell ref="W19:X19"/>
    <mergeCell ref="R20:S20"/>
    <mergeCell ref="W20:X20"/>
    <mergeCell ref="B20:C20"/>
    <mergeCell ref="E20:F20"/>
    <mergeCell ref="G20:H20"/>
    <mergeCell ref="I20:J20"/>
    <mergeCell ref="R22:S22"/>
    <mergeCell ref="W22:X22"/>
    <mergeCell ref="B21:C21"/>
    <mergeCell ref="E21:F21"/>
    <mergeCell ref="G21:H21"/>
    <mergeCell ref="I21:J21"/>
    <mergeCell ref="N21:O21"/>
    <mergeCell ref="P21:Q21"/>
    <mergeCell ref="N20:O20"/>
    <mergeCell ref="P20:Q20"/>
    <mergeCell ref="N19:O19"/>
    <mergeCell ref="P19:Q19"/>
    <mergeCell ref="N23:O23"/>
    <mergeCell ref="P23:Q23"/>
    <mergeCell ref="B23:C23"/>
    <mergeCell ref="E23:F23"/>
    <mergeCell ref="G23:H23"/>
    <mergeCell ref="I23:J23"/>
    <mergeCell ref="Y21:Z21"/>
    <mergeCell ref="AA21:AB21"/>
    <mergeCell ref="B22:C22"/>
    <mergeCell ref="E22:F22"/>
    <mergeCell ref="G22:H22"/>
    <mergeCell ref="I22:J22"/>
    <mergeCell ref="N22:O22"/>
    <mergeCell ref="P22:Q22"/>
    <mergeCell ref="R21:S21"/>
    <mergeCell ref="W21:X21"/>
    <mergeCell ref="Y23:Z23"/>
    <mergeCell ref="AA23:AB23"/>
    <mergeCell ref="R23:S23"/>
    <mergeCell ref="W23:X23"/>
    <mergeCell ref="R24:S24"/>
    <mergeCell ref="W24:X24"/>
    <mergeCell ref="B24:C24"/>
    <mergeCell ref="E24:F24"/>
    <mergeCell ref="G24:H24"/>
    <mergeCell ref="I24:J24"/>
    <mergeCell ref="R26:S26"/>
    <mergeCell ref="W26:X26"/>
    <mergeCell ref="Y26:Z26"/>
    <mergeCell ref="B25:C25"/>
    <mergeCell ref="E25:F25"/>
    <mergeCell ref="G25:H25"/>
    <mergeCell ref="I25:J25"/>
    <mergeCell ref="N25:O25"/>
    <mergeCell ref="P25:Q25"/>
    <mergeCell ref="N24:O24"/>
    <mergeCell ref="P24:Q24"/>
    <mergeCell ref="Y25:Z25"/>
    <mergeCell ref="B26:C26"/>
    <mergeCell ref="E26:F26"/>
    <mergeCell ref="G26:H26"/>
    <mergeCell ref="I26:J26"/>
    <mergeCell ref="N26:O26"/>
    <mergeCell ref="P26:Q26"/>
    <mergeCell ref="R25:S25"/>
    <mergeCell ref="W25:X25"/>
    <mergeCell ref="Y27:Z27"/>
    <mergeCell ref="AA27:AB27"/>
    <mergeCell ref="R27:S27"/>
    <mergeCell ref="W27:X27"/>
    <mergeCell ref="Y28:Z28"/>
    <mergeCell ref="AA28:AB28"/>
    <mergeCell ref="B28:C28"/>
    <mergeCell ref="E28:F28"/>
    <mergeCell ref="G28:H28"/>
    <mergeCell ref="I28:J28"/>
    <mergeCell ref="N27:O27"/>
    <mergeCell ref="P27:Q27"/>
    <mergeCell ref="N28:O28"/>
    <mergeCell ref="P28:Q28"/>
    <mergeCell ref="B27:C27"/>
    <mergeCell ref="E27:F27"/>
    <mergeCell ref="G27:H27"/>
    <mergeCell ref="I27:J27"/>
    <mergeCell ref="R28:S28"/>
    <mergeCell ref="W28:X28"/>
    <mergeCell ref="W29:X29"/>
    <mergeCell ref="R30:S30"/>
    <mergeCell ref="W30:X30"/>
    <mergeCell ref="B29:C29"/>
    <mergeCell ref="E29:F29"/>
    <mergeCell ref="G29:H29"/>
    <mergeCell ref="I29:J29"/>
    <mergeCell ref="N29:O29"/>
    <mergeCell ref="P29:Q29"/>
    <mergeCell ref="G33:H33"/>
    <mergeCell ref="I33:J33"/>
    <mergeCell ref="B32:C32"/>
    <mergeCell ref="E32:F32"/>
    <mergeCell ref="G32:H32"/>
    <mergeCell ref="I32:J32"/>
    <mergeCell ref="G31:H31"/>
    <mergeCell ref="I31:J31"/>
    <mergeCell ref="AA29:AB29"/>
    <mergeCell ref="B30:C30"/>
    <mergeCell ref="E30:F30"/>
    <mergeCell ref="G30:H30"/>
    <mergeCell ref="I30:J30"/>
    <mergeCell ref="N30:O30"/>
    <mergeCell ref="P30:Q30"/>
    <mergeCell ref="R31:S31"/>
    <mergeCell ref="W31:X31"/>
    <mergeCell ref="N31:O31"/>
    <mergeCell ref="P31:Q31"/>
    <mergeCell ref="B31:C31"/>
    <mergeCell ref="E31:F31"/>
    <mergeCell ref="Y31:Z31"/>
    <mergeCell ref="AA31:AB31"/>
    <mergeCell ref="R29:S29"/>
    <mergeCell ref="Y32:Z32"/>
    <mergeCell ref="AA32:AB32"/>
    <mergeCell ref="R33:S33"/>
    <mergeCell ref="W33:X33"/>
    <mergeCell ref="R32:S32"/>
    <mergeCell ref="W32:X32"/>
    <mergeCell ref="N33:O33"/>
    <mergeCell ref="P33:Q33"/>
    <mergeCell ref="N32:O32"/>
    <mergeCell ref="P32:Q32"/>
    <mergeCell ref="N35:O35"/>
    <mergeCell ref="P35:Q35"/>
    <mergeCell ref="Y35:Z35"/>
    <mergeCell ref="AA35:AB35"/>
    <mergeCell ref="B35:C35"/>
    <mergeCell ref="E35:F35"/>
    <mergeCell ref="G35:H35"/>
    <mergeCell ref="I35:J35"/>
    <mergeCell ref="Y33:Z33"/>
    <mergeCell ref="AA33:AB33"/>
    <mergeCell ref="B34:C34"/>
    <mergeCell ref="E34:F34"/>
    <mergeCell ref="G34:H34"/>
    <mergeCell ref="I34:J34"/>
    <mergeCell ref="N34:O34"/>
    <mergeCell ref="P34:Q34"/>
    <mergeCell ref="Y34:Z34"/>
    <mergeCell ref="AA34:AB34"/>
    <mergeCell ref="R34:S34"/>
    <mergeCell ref="W34:X34"/>
    <mergeCell ref="R35:S35"/>
    <mergeCell ref="W35:X35"/>
    <mergeCell ref="B33:C33"/>
    <mergeCell ref="E33:F33"/>
    <mergeCell ref="W43:AB43"/>
    <mergeCell ref="AP43:AP45"/>
    <mergeCell ref="AC42:AC72"/>
    <mergeCell ref="AA47:AB47"/>
    <mergeCell ref="P48:Q48"/>
    <mergeCell ref="R48:S48"/>
    <mergeCell ref="Y46:Z46"/>
    <mergeCell ref="AA46:AB46"/>
    <mergeCell ref="P46:Q46"/>
    <mergeCell ref="R46:S46"/>
    <mergeCell ref="W46:X46"/>
    <mergeCell ref="W48:X48"/>
    <mergeCell ref="Y48:Z48"/>
    <mergeCell ref="P49:Q49"/>
    <mergeCell ref="P54:Q54"/>
    <mergeCell ref="R54:S54"/>
    <mergeCell ref="W55:X55"/>
    <mergeCell ref="W50:X50"/>
    <mergeCell ref="AA55:AB55"/>
    <mergeCell ref="R57:S57"/>
    <mergeCell ref="AA56:AB56"/>
    <mergeCell ref="P57:Q57"/>
    <mergeCell ref="W57:X57"/>
    <mergeCell ref="Y57:Z57"/>
    <mergeCell ref="E49:F49"/>
    <mergeCell ref="G49:H49"/>
    <mergeCell ref="E50:F50"/>
    <mergeCell ref="G50:H50"/>
    <mergeCell ref="I49:J49"/>
    <mergeCell ref="I50:J50"/>
    <mergeCell ref="G51:H51"/>
    <mergeCell ref="I51:J51"/>
    <mergeCell ref="N43:S43"/>
    <mergeCell ref="N46:O46"/>
    <mergeCell ref="N49:O49"/>
    <mergeCell ref="N50:O50"/>
    <mergeCell ref="N51:O51"/>
    <mergeCell ref="N36:O36"/>
    <mergeCell ref="Y36:Z36"/>
    <mergeCell ref="AA36:AB36"/>
    <mergeCell ref="B39:AB39"/>
    <mergeCell ref="I36:J36"/>
    <mergeCell ref="P36:Q36"/>
    <mergeCell ref="R36:S36"/>
    <mergeCell ref="W36:X36"/>
    <mergeCell ref="AA45:AB45"/>
    <mergeCell ref="Y45:Z45"/>
    <mergeCell ref="P45:Q45"/>
    <mergeCell ref="R45:S45"/>
    <mergeCell ref="W45:X45"/>
    <mergeCell ref="B40:C52"/>
    <mergeCell ref="B36:C36"/>
    <mergeCell ref="E36:F36"/>
    <mergeCell ref="G36:H36"/>
    <mergeCell ref="E43:J43"/>
    <mergeCell ref="E48:F48"/>
    <mergeCell ref="G48:H48"/>
    <mergeCell ref="E46:F46"/>
    <mergeCell ref="G46:H46"/>
    <mergeCell ref="I46:J46"/>
    <mergeCell ref="E52:F52"/>
    <mergeCell ref="BB43:BB45"/>
    <mergeCell ref="E44:J44"/>
    <mergeCell ref="N44:S44"/>
    <mergeCell ref="W44:AB44"/>
    <mergeCell ref="E45:F45"/>
    <mergeCell ref="G45:H45"/>
    <mergeCell ref="I45:J45"/>
    <mergeCell ref="I48:J48"/>
    <mergeCell ref="E51:F51"/>
    <mergeCell ref="N45:O45"/>
    <mergeCell ref="R50:S50"/>
    <mergeCell ref="N47:O47"/>
    <mergeCell ref="AA49:AB49"/>
    <mergeCell ref="P47:Q47"/>
    <mergeCell ref="R47:S47"/>
    <mergeCell ref="W47:X47"/>
    <mergeCell ref="Y47:Z47"/>
    <mergeCell ref="R49:S49"/>
    <mergeCell ref="W49:X49"/>
    <mergeCell ref="Y49:Z49"/>
    <mergeCell ref="N48:O48"/>
    <mergeCell ref="E47:F47"/>
    <mergeCell ref="G47:H47"/>
    <mergeCell ref="I47:J47"/>
    <mergeCell ref="G52:H52"/>
    <mergeCell ref="I52:J52"/>
    <mergeCell ref="N52:O52"/>
    <mergeCell ref="AA50:AB50"/>
    <mergeCell ref="AA53:AB53"/>
    <mergeCell ref="Y51:Z51"/>
    <mergeCell ref="AA51:AB51"/>
    <mergeCell ref="Y52:Z52"/>
    <mergeCell ref="AA52:AB52"/>
    <mergeCell ref="Y53:Z53"/>
    <mergeCell ref="Y50:Z50"/>
    <mergeCell ref="W52:X52"/>
    <mergeCell ref="P53:Q53"/>
    <mergeCell ref="R53:S53"/>
    <mergeCell ref="P51:Q51"/>
    <mergeCell ref="R51:S51"/>
    <mergeCell ref="P50:Q50"/>
    <mergeCell ref="W51:X51"/>
    <mergeCell ref="R52:S52"/>
    <mergeCell ref="P52:Q52"/>
    <mergeCell ref="W53:X53"/>
    <mergeCell ref="B56:C56"/>
    <mergeCell ref="E56:F56"/>
    <mergeCell ref="G56:H56"/>
    <mergeCell ref="I56:J56"/>
    <mergeCell ref="N56:O56"/>
    <mergeCell ref="W56:X56"/>
    <mergeCell ref="Y55:Z55"/>
    <mergeCell ref="P55:Q55"/>
    <mergeCell ref="R55:S55"/>
    <mergeCell ref="P56:Q56"/>
    <mergeCell ref="R56:S56"/>
    <mergeCell ref="Y56:Z56"/>
    <mergeCell ref="E53:F53"/>
    <mergeCell ref="AA54:AB54"/>
    <mergeCell ref="B55:C55"/>
    <mergeCell ref="E55:F55"/>
    <mergeCell ref="G55:H55"/>
    <mergeCell ref="I55:J55"/>
    <mergeCell ref="N55:O55"/>
    <mergeCell ref="B54:C54"/>
    <mergeCell ref="W54:X54"/>
    <mergeCell ref="Y54:Z54"/>
    <mergeCell ref="E54:F54"/>
    <mergeCell ref="G54:H54"/>
    <mergeCell ref="I54:J54"/>
    <mergeCell ref="N54:O54"/>
    <mergeCell ref="G53:H53"/>
    <mergeCell ref="I53:J53"/>
    <mergeCell ref="N53:O53"/>
    <mergeCell ref="AA57:AB57"/>
    <mergeCell ref="Y59:Z59"/>
    <mergeCell ref="AA59:AB59"/>
    <mergeCell ref="W60:X60"/>
    <mergeCell ref="W58:X58"/>
    <mergeCell ref="Y58:Z58"/>
    <mergeCell ref="R58:S58"/>
    <mergeCell ref="E57:F57"/>
    <mergeCell ref="G57:H57"/>
    <mergeCell ref="I57:J57"/>
    <mergeCell ref="N57:O57"/>
    <mergeCell ref="P59:Q59"/>
    <mergeCell ref="R59:S59"/>
    <mergeCell ref="E59:F59"/>
    <mergeCell ref="G59:H59"/>
    <mergeCell ref="I59:J59"/>
    <mergeCell ref="N59:O59"/>
    <mergeCell ref="E58:F58"/>
    <mergeCell ref="G58:H58"/>
    <mergeCell ref="I58:J58"/>
    <mergeCell ref="N58:O58"/>
    <mergeCell ref="W59:X59"/>
    <mergeCell ref="AA58:AB58"/>
    <mergeCell ref="P58:Q58"/>
    <mergeCell ref="N62:O62"/>
    <mergeCell ref="AA60:AB60"/>
    <mergeCell ref="W61:X61"/>
    <mergeCell ref="E60:F60"/>
    <mergeCell ref="G60:H60"/>
    <mergeCell ref="I60:J60"/>
    <mergeCell ref="N60:O60"/>
    <mergeCell ref="P60:Q60"/>
    <mergeCell ref="R60:S60"/>
    <mergeCell ref="Y61:Z61"/>
    <mergeCell ref="AA61:AB61"/>
    <mergeCell ref="Y60:Z60"/>
    <mergeCell ref="W62:X62"/>
    <mergeCell ref="Y62:Z62"/>
    <mergeCell ref="AA62:AB62"/>
    <mergeCell ref="E65:F65"/>
    <mergeCell ref="G65:H65"/>
    <mergeCell ref="I65:J65"/>
    <mergeCell ref="N65:O65"/>
    <mergeCell ref="R65:S65"/>
    <mergeCell ref="E61:F61"/>
    <mergeCell ref="G61:H61"/>
    <mergeCell ref="I61:J61"/>
    <mergeCell ref="N61:O61"/>
    <mergeCell ref="P61:Q61"/>
    <mergeCell ref="R61:S61"/>
    <mergeCell ref="E64:F64"/>
    <mergeCell ref="G64:H64"/>
    <mergeCell ref="I64:J64"/>
    <mergeCell ref="N64:O64"/>
    <mergeCell ref="R64:S64"/>
    <mergeCell ref="E63:F63"/>
    <mergeCell ref="G63:H63"/>
    <mergeCell ref="I63:J63"/>
    <mergeCell ref="I62:J62"/>
    <mergeCell ref="E62:F62"/>
    <mergeCell ref="G62:H62"/>
    <mergeCell ref="P62:Q62"/>
    <mergeCell ref="R62:S62"/>
    <mergeCell ref="AA66:AB66"/>
    <mergeCell ref="W67:X67"/>
    <mergeCell ref="N63:O63"/>
    <mergeCell ref="P63:Q63"/>
    <mergeCell ref="R63:S63"/>
    <mergeCell ref="W65:X65"/>
    <mergeCell ref="P65:Q65"/>
    <mergeCell ref="W63:X63"/>
    <mergeCell ref="P64:Q64"/>
    <mergeCell ref="AA63:AB63"/>
    <mergeCell ref="Y63:Z63"/>
    <mergeCell ref="Y64:Z64"/>
    <mergeCell ref="AA64:AB64"/>
    <mergeCell ref="AA67:AB67"/>
    <mergeCell ref="Y65:Z65"/>
    <mergeCell ref="AA65:AB65"/>
    <mergeCell ref="P66:Q66"/>
    <mergeCell ref="R66:S66"/>
    <mergeCell ref="W64:X64"/>
    <mergeCell ref="P70:Q70"/>
    <mergeCell ref="W66:X66"/>
    <mergeCell ref="Y66:Z66"/>
    <mergeCell ref="P67:Q67"/>
    <mergeCell ref="R67:S67"/>
    <mergeCell ref="Y67:Z67"/>
    <mergeCell ref="E70:F70"/>
    <mergeCell ref="G70:H70"/>
    <mergeCell ref="I70:J70"/>
    <mergeCell ref="N70:O70"/>
    <mergeCell ref="E69:F69"/>
    <mergeCell ref="E66:F66"/>
    <mergeCell ref="G66:H66"/>
    <mergeCell ref="I66:J66"/>
    <mergeCell ref="N66:O66"/>
    <mergeCell ref="E71:F71"/>
    <mergeCell ref="G71:H71"/>
    <mergeCell ref="I71:J71"/>
    <mergeCell ref="N71:O71"/>
    <mergeCell ref="AC78:AC108"/>
    <mergeCell ref="AD78:AD81"/>
    <mergeCell ref="B75:AB75"/>
    <mergeCell ref="P71:Q71"/>
    <mergeCell ref="R71:S71"/>
    <mergeCell ref="W71:X71"/>
    <mergeCell ref="Y71:Z71"/>
    <mergeCell ref="B57:C73"/>
    <mergeCell ref="W69:X69"/>
    <mergeCell ref="AA68:AB68"/>
    <mergeCell ref="R68:S68"/>
    <mergeCell ref="P68:Q68"/>
    <mergeCell ref="E67:F67"/>
    <mergeCell ref="G67:H67"/>
    <mergeCell ref="AA71:AB71"/>
    <mergeCell ref="P69:Q69"/>
    <mergeCell ref="R69:S69"/>
    <mergeCell ref="Y70:Z70"/>
    <mergeCell ref="E68:F68"/>
    <mergeCell ref="G68:H68"/>
    <mergeCell ref="BG9:BG10"/>
    <mergeCell ref="BI9:BI10"/>
    <mergeCell ref="BH9:BH10"/>
    <mergeCell ref="J119:J126"/>
    <mergeCell ref="I119:I126"/>
    <mergeCell ref="H119:H126"/>
    <mergeCell ref="Z149:Z151"/>
    <mergeCell ref="BD78:BD81"/>
    <mergeCell ref="AP79:AP81"/>
    <mergeCell ref="BB79:BB81"/>
    <mergeCell ref="N68:O68"/>
    <mergeCell ref="G69:H69"/>
    <mergeCell ref="AA70:AB70"/>
    <mergeCell ref="I68:J68"/>
    <mergeCell ref="AA69:AB69"/>
    <mergeCell ref="I67:J67"/>
    <mergeCell ref="Y68:Z68"/>
    <mergeCell ref="R70:S70"/>
    <mergeCell ref="W70:X70"/>
    <mergeCell ref="Y69:Z69"/>
    <mergeCell ref="N67:O67"/>
    <mergeCell ref="W68:X68"/>
    <mergeCell ref="I69:J69"/>
    <mergeCell ref="N69:O69"/>
    <mergeCell ref="B148:B151"/>
    <mergeCell ref="B145:AB145"/>
    <mergeCell ref="B146:AB146"/>
    <mergeCell ref="D148:N148"/>
    <mergeCell ref="P148:Z148"/>
    <mergeCell ref="AB148:AB151"/>
    <mergeCell ref="D149:M149"/>
    <mergeCell ref="N149:N151"/>
    <mergeCell ref="P149:Y149"/>
    <mergeCell ref="BG8:BI8"/>
    <mergeCell ref="BK9:BK10"/>
    <mergeCell ref="BG1:BI1"/>
    <mergeCell ref="BJ1:BL1"/>
    <mergeCell ref="BJ8:BL8"/>
    <mergeCell ref="BM8:BO8"/>
    <mergeCell ref="CF9:CF10"/>
    <mergeCell ref="CH7:CJ7"/>
    <mergeCell ref="BY1:CA1"/>
    <mergeCell ref="BY8:CA8"/>
    <mergeCell ref="BJ7:BL7"/>
    <mergeCell ref="BM7:BO7"/>
    <mergeCell ref="BM1:BO1"/>
    <mergeCell ref="BL9:BL10"/>
    <mergeCell ref="BP7:BR7"/>
    <mergeCell ref="CE7:CG7"/>
    <mergeCell ref="CB7:CD7"/>
    <mergeCell ref="CE1:CG1"/>
    <mergeCell ref="CB1:CD1"/>
    <mergeCell ref="CH1:CJ1"/>
    <mergeCell ref="CA9:CA10"/>
    <mergeCell ref="CG9:CG10"/>
    <mergeCell ref="CH9:CH10"/>
    <mergeCell ref="BG7:BI7"/>
    <mergeCell ref="BY7:CA7"/>
    <mergeCell ref="BY9:BY10"/>
    <mergeCell ref="CL8:CL10"/>
    <mergeCell ref="CM8:CM10"/>
    <mergeCell ref="CB9:CB10"/>
    <mergeCell ref="CC9:CC10"/>
    <mergeCell ref="CD9:CD10"/>
    <mergeCell ref="CE9:CE10"/>
    <mergeCell ref="CJ9:CJ10"/>
    <mergeCell ref="CE8:CG8"/>
    <mergeCell ref="CH8:CJ8"/>
    <mergeCell ref="CI9:CI10"/>
    <mergeCell ref="CB8:CD8"/>
    <mergeCell ref="CK8:CK10"/>
    <mergeCell ref="BZ9:BZ10"/>
    <mergeCell ref="BJ9:BJ10"/>
    <mergeCell ref="BM9:BM10"/>
    <mergeCell ref="BN9:BN10"/>
    <mergeCell ref="BO9:BO10"/>
    <mergeCell ref="BP9:BP10"/>
    <mergeCell ref="BS1:BU1"/>
    <mergeCell ref="BV1:BX1"/>
    <mergeCell ref="BU9:BU10"/>
    <mergeCell ref="BV9:BV10"/>
    <mergeCell ref="BW9:BW10"/>
    <mergeCell ref="BX9:BX10"/>
    <mergeCell ref="BS9:BS10"/>
    <mergeCell ref="BT9:BT10"/>
    <mergeCell ref="BQ9:BQ10"/>
    <mergeCell ref="BP8:BR8"/>
    <mergeCell ref="BS8:BU8"/>
    <mergeCell ref="BV7:BX7"/>
    <mergeCell ref="BS7:BU7"/>
    <mergeCell ref="BV8:BX8"/>
    <mergeCell ref="BR9:BR10"/>
    <mergeCell ref="BP1:BR1"/>
  </mergeCells>
  <phoneticPr fontId="0" type="noConversion"/>
  <printOptions horizontalCentered="1" verticalCentered="1"/>
  <pageMargins left="0.78740157480314965" right="0.78740157480314965" top="0.78740157480314965" bottom="0.78740157480314965" header="0.31496062992125984" footer="0.31496062992125984"/>
  <pageSetup paperSize="9" scale="62" fitToHeight="8" orientation="landscape" r:id="rId1"/>
  <headerFooter>
    <oddFooter>&amp;L&amp;"Arial Narrow,Fett"&amp;7Pfad:&amp;"Arial Narrow,Standard" &amp;Z &amp;F
&amp;"Arial Narrow,Fett"Erstellt am:&amp;"Arial Narrow,Standard" &amp;D | &amp;T Uhr&amp;R&amp;"Arial,Standard"&amp;G</oddFooter>
  </headerFooter>
  <rowBreaks count="4" manualBreakCount="4">
    <brk id="37" min="1" max="27" man="1"/>
    <brk id="73" min="1" max="27" man="1"/>
    <brk id="181" min="29" max="55" man="1"/>
    <brk id="216" min="1" max="27" man="1"/>
  </rowBreaks>
  <drawing r:id="rId2"/>
  <legacyDrawing r:id="rId3"/>
  <legacyDrawingHF r:id="rId4"/>
  <controls>
    <mc:AlternateContent xmlns:mc="http://schemas.openxmlformats.org/markup-compatibility/2006">
      <mc:Choice Requires="x14">
        <control shapeId="39696462" r:id="rId5" name="ToggleButton1">
          <controlPr defaultSize="0" print="0" autoFill="0" autoLine="0" r:id="rId6">
            <anchor moveWithCells="1">
              <from>
                <xdr:col>23</xdr:col>
                <xdr:colOff>342900</xdr:colOff>
                <xdr:row>51</xdr:row>
                <xdr:rowOff>30480</xdr:rowOff>
              </from>
              <to>
                <xdr:col>27</xdr:col>
                <xdr:colOff>30480</xdr:colOff>
                <xdr:row>54</xdr:row>
                <xdr:rowOff>7620</xdr:rowOff>
              </to>
            </anchor>
          </controlPr>
        </control>
      </mc:Choice>
      <mc:Fallback>
        <control shapeId="39696462" r:id="rId5" name="ToggleButton1"/>
      </mc:Fallback>
    </mc:AlternateContent>
    <mc:AlternateContent xmlns:mc="http://schemas.openxmlformats.org/markup-compatibility/2006">
      <mc:Choice Requires="x14">
        <control shapeId="39696509" r:id="rId7" name="ToggleButton2">
          <controlPr print="0" autoLine="0" r:id="rId8">
            <anchor moveWithCells="1">
              <from>
                <xdr:col>23</xdr:col>
                <xdr:colOff>350520</xdr:colOff>
                <xdr:row>54</xdr:row>
                <xdr:rowOff>83820</xdr:rowOff>
              </from>
              <to>
                <xdr:col>27</xdr:col>
                <xdr:colOff>38100</xdr:colOff>
                <xdr:row>57</xdr:row>
                <xdr:rowOff>60960</xdr:rowOff>
              </to>
            </anchor>
          </controlPr>
        </control>
      </mc:Choice>
      <mc:Fallback>
        <control shapeId="39696509" r:id="rId7" name="ToggleButton2"/>
      </mc:Fallback>
    </mc:AlternateContent>
    <mc:AlternateContent xmlns:mc="http://schemas.openxmlformats.org/markup-compatibility/2006">
      <mc:Choice Requires="x14">
        <control shapeId="39696536" r:id="rId9" name="ToggleButton3">
          <controlPr defaultSize="0" autoLine="0" r:id="rId10">
            <anchor moveWithCells="1">
              <from>
                <xdr:col>1</xdr:col>
                <xdr:colOff>30480</xdr:colOff>
                <xdr:row>0</xdr:row>
                <xdr:rowOff>83820</xdr:rowOff>
              </from>
              <to>
                <xdr:col>4</xdr:col>
                <xdr:colOff>342900</xdr:colOff>
                <xdr:row>1</xdr:row>
                <xdr:rowOff>182880</xdr:rowOff>
              </to>
            </anchor>
          </controlPr>
        </control>
      </mc:Choice>
      <mc:Fallback>
        <control shapeId="39696536" r:id="rId9" name="ToggleButton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FCD5B-D0C9-42D4-A7B4-A3CA8A5BF4F6}">
  <sheetPr codeName="Sheet1"/>
  <dimension ref="A1:I16"/>
  <sheetViews>
    <sheetView workbookViewId="0">
      <selection activeCell="B12" sqref="B12"/>
    </sheetView>
  </sheetViews>
  <sheetFormatPr defaultColWidth="8.88671875" defaultRowHeight="15"/>
  <cols>
    <col min="1" max="1" width="14.44140625" style="535" bestFit="1" customWidth="1"/>
    <col min="2" max="2" width="8.88671875" style="537"/>
    <col min="3" max="16384" width="8.88671875" style="535"/>
  </cols>
  <sheetData>
    <row r="1" spans="1:9">
      <c r="A1" s="535" t="s">
        <v>60</v>
      </c>
    </row>
    <row r="2" spans="1:9">
      <c r="A2" s="535" t="s">
        <v>61</v>
      </c>
      <c r="B2" s="538">
        <v>1000</v>
      </c>
    </row>
    <row r="3" spans="1:9">
      <c r="A3" s="535" t="s">
        <v>62</v>
      </c>
      <c r="B3" s="538">
        <v>2</v>
      </c>
    </row>
    <row r="4" spans="1:9">
      <c r="A4" s="535" t="s">
        <v>63</v>
      </c>
      <c r="B4" s="538">
        <f>B3*B2</f>
        <v>2000</v>
      </c>
    </row>
    <row r="6" spans="1:9">
      <c r="A6" s="535" t="s">
        <v>64</v>
      </c>
      <c r="B6" s="538">
        <v>3.5</v>
      </c>
      <c r="C6" s="538">
        <v>0.1</v>
      </c>
    </row>
    <row r="7" spans="1:9">
      <c r="A7" s="535" t="s">
        <v>65</v>
      </c>
      <c r="B7" s="538">
        <v>1</v>
      </c>
      <c r="C7" s="538">
        <v>1</v>
      </c>
    </row>
    <row r="8" spans="1:9">
      <c r="B8" s="538"/>
    </row>
    <row r="9" spans="1:9">
      <c r="A9" s="535" t="s">
        <v>66</v>
      </c>
      <c r="B9" s="538">
        <f>B4*B6*B7</f>
        <v>7000</v>
      </c>
      <c r="C9" s="536">
        <f>B4*C6*C7</f>
        <v>200</v>
      </c>
    </row>
    <row r="10" spans="1:9">
      <c r="B10" s="538"/>
      <c r="F10" s="535" t="s">
        <v>67</v>
      </c>
      <c r="G10" s="535" t="s">
        <v>68</v>
      </c>
      <c r="H10" s="535" t="s">
        <v>69</v>
      </c>
      <c r="I10" s="535" t="s">
        <v>70</v>
      </c>
    </row>
    <row r="11" spans="1:9">
      <c r="A11" s="535" t="s">
        <v>71</v>
      </c>
      <c r="B11" s="538">
        <v>0.3</v>
      </c>
      <c r="C11" s="535">
        <v>0.35</v>
      </c>
      <c r="F11" s="535">
        <v>36.700000000000003</v>
      </c>
      <c r="G11" s="535">
        <v>27.2</v>
      </c>
      <c r="H11" s="535">
        <v>9.5</v>
      </c>
      <c r="I11" s="535">
        <v>0</v>
      </c>
    </row>
    <row r="12" spans="1:9">
      <c r="A12" s="535" t="s">
        <v>72</v>
      </c>
      <c r="B12" s="538">
        <v>1.3</v>
      </c>
      <c r="C12" s="536">
        <v>1.7</v>
      </c>
    </row>
    <row r="13" spans="1:9">
      <c r="A13" s="535" t="s">
        <v>73</v>
      </c>
      <c r="B13" s="538">
        <f>B9*B11/B12</f>
        <v>1615.3846153846152</v>
      </c>
      <c r="C13" s="538">
        <f>C9*C11/C12</f>
        <v>41.176470588235297</v>
      </c>
    </row>
    <row r="15" spans="1:9">
      <c r="A15" s="535" t="s">
        <v>74</v>
      </c>
      <c r="B15" s="538">
        <v>0.01</v>
      </c>
    </row>
    <row r="16" spans="1:9">
      <c r="A16" s="535" t="s">
        <v>75</v>
      </c>
      <c r="B16" s="537">
        <f>B4*B15</f>
        <v>20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tabColor indexed="17"/>
  </sheetPr>
  <dimension ref="A1:CM134"/>
  <sheetViews>
    <sheetView showGridLines="0" zoomScale="70" zoomScaleNormal="70" zoomScaleSheetLayoutView="85" workbookViewId="0">
      <pane xSplit="7" ySplit="1" topLeftCell="AC15" activePane="bottomRight" state="frozen"/>
      <selection pane="topRight" activeCell="K4" sqref="K4:M4"/>
      <selection pane="bottomLeft" activeCell="K4" sqref="K4:M4"/>
      <selection pane="bottomRight" activeCell="AE47" sqref="AE47"/>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4</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753" t="s">
        <v>86</v>
      </c>
      <c r="L4" s="754"/>
      <c r="M4" s="755"/>
      <c r="N4" s="27"/>
      <c r="O4" s="72" t="s">
        <v>87</v>
      </c>
      <c r="Q4" s="753"/>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15" t="s">
        <v>90</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756" t="s">
        <v>96</v>
      </c>
      <c r="M8" s="757"/>
      <c r="N8" s="29"/>
      <c r="Q8" s="729" t="str">
        <f>"Ganglinie: "</f>
        <v xml:space="preserve">Ganglinie: </v>
      </c>
      <c r="R8" s="730"/>
      <c r="S8" s="719" t="str">
        <f ca="1">IF(INDIRECT(ADDRESS(D6+2,F6,,,B6))&lt;&gt;0,INDIRECT(ADDRESS(D6+2,F6,,,B6)),"")</f>
        <v>Ganglininenkennwerte sind den Hinweisen zur Schätzung des Verkehrsaufkommens von Gebietstypen entnommen worden | beim Kundenverkehr wurden die Ganglinien für großfl. Einzelhandel gewählt</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756" t="s">
        <v>96</v>
      </c>
      <c r="M9" s="757"/>
      <c r="N9" s="29"/>
      <c r="Q9" s="729"/>
      <c r="R9" s="730"/>
      <c r="S9" s="719"/>
      <c r="T9" s="719"/>
      <c r="U9" s="719"/>
      <c r="V9" s="719"/>
      <c r="W9" s="719"/>
      <c r="X9" s="719"/>
      <c r="Y9" s="719"/>
      <c r="Z9" s="719"/>
      <c r="AA9" s="720"/>
      <c r="AC9" s="43"/>
      <c r="CE9" s="27"/>
      <c r="CM9" s="35"/>
    </row>
    <row r="10" spans="1:91" ht="16.2" thickBot="1">
      <c r="B10" s="514">
        <f ca="1">IF(INDIRECT(ADDRESS($D$4+17,$F$4,,,$B$4))&lt;&gt;"-",1,0)</f>
        <v>1</v>
      </c>
      <c r="C10" s="50">
        <f ca="1">IF(AND(L10="ja",B10=1)=TRUE,1,0)</f>
        <v>1</v>
      </c>
      <c r="D10" s="50">
        <f t="array" aca="1" ref="D10" ca="1">MAX(IF('NF-Sets'!$B$2:$FJ$38=K10,ROW('NF-Sets'!$B$2:$FJ$38)))</f>
        <v>20</v>
      </c>
      <c r="E10" s="30"/>
      <c r="F10" s="50" t="s">
        <v>97</v>
      </c>
      <c r="G10" s="481"/>
      <c r="I10" s="518"/>
      <c r="J10" s="39"/>
      <c r="K10" s="40" t="str">
        <f>'NF-Sets'!B20</f>
        <v>Konkurrenzeffekt(e)</v>
      </c>
      <c r="L10" s="756" t="s">
        <v>96</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3</v>
      </c>
      <c r="C11" s="516">
        <f ca="1">SUM(C8:C10)</f>
        <v>3</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"&amp;Q4,"01 - keine Nutzung")</f>
        <v xml:space="preserve">großfl. Einzelhandel </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davon zusätzlich erzeugtes 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ca="1">INDIRECT(ADDRESS($D$4+ROW()-ROW($I$17)+1,$F$4-1,,,$B$4))</f>
        <v>Geschossfläche (GF)</v>
      </c>
      <c r="K18" s="726" t="str">
        <f ca="1">INDIRECT(ADDRESS($D$4+ROW()-ROW($J$17)+1,$F$4,,,$B$4))</f>
        <v>m²</v>
      </c>
      <c r="L18" s="726"/>
      <c r="M18" s="264">
        <v>5000</v>
      </c>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davon zusätzlich erzeugtes 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ca="1">INDIRECT(ADDRESS($D$4+ROW()-ROW($J$17)+1,$F$4+1,,,$B$4))</f>
        <v>55</v>
      </c>
      <c r="C19" s="69">
        <f ca="1">INDIRECT(ADDRESS($D$4+ROW()-ROW($J$17)+1,$F$4+2,,,$B$4))</f>
        <v>100</v>
      </c>
      <c r="D19" s="683" t="str">
        <f t="shared" ref="D19:D27" ca="1" si="0">IF($K$4=$CL$22,"",IF(AND(ISNUMBER(M19)=FALSE,ISNUMBER(B19)=TRUE,ISNUMBER(C19)=TRUE)=TRUE,"FEHLER",IF(OR(M19&lt;B19,M19&gt;C19)=TRUE,"FEHLER","")))</f>
        <v>FEHLER</v>
      </c>
      <c r="E19" s="683"/>
      <c r="F19" s="683"/>
      <c r="G19" s="684"/>
      <c r="H19" s="33"/>
      <c r="I19" s="246" t="s">
        <v>116</v>
      </c>
      <c r="J19" s="250" t="str">
        <f t="shared" ref="J19:J27" ca="1" si="1">INDIRECT(ADDRESS($D$4+ROW()-ROW($I$17)+1,$F$4-1,,,$B$4))</f>
        <v xml:space="preserve">Beschäftigte je m² GF </v>
      </c>
      <c r="K19" s="687" t="str">
        <f ca="1">INDIRECT(ADDRESS($D$4+ROW()-ROW($J$17)+1,$F$4,,,$B$4))</f>
        <v>1 Beschäftigter / 55 - 100  m² GF</v>
      </c>
      <c r="L19" s="687"/>
      <c r="M19" s="251">
        <v>130</v>
      </c>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Mitnahmeeffekte",IF(AND(G40&gt;=1,OR(J36&lt;&gt;"",J37&lt;&gt;"",J38&lt;&gt;"")=TRUE,AND(J36&lt;&gt;K9,J37&lt;&gt;K9,J38&lt;&gt;K9)=TRUE)=TRUE,"inkl. Berücksichtigung von abmindernden Effekten im Kundenverkehr","ohne Berücksichtigung von abmindernden Effekten im Kundenverkehr"))</f>
        <v>inkl. Berücksichtigung von abmindernden Effekten im Kundenverkehr | exkl. Mitnahmeeffekte</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inkl. Berücksichtigung von abmindernden Effekten im Kundenverkehr | exkl. Mitnahmeeffekte</v>
      </c>
      <c r="AZ19" s="703"/>
      <c r="BA19" s="703"/>
      <c r="BB19" s="703"/>
      <c r="BC19" s="703"/>
      <c r="BD19" s="703"/>
      <c r="BE19" s="703"/>
      <c r="BF19" s="703"/>
      <c r="BG19" s="704"/>
      <c r="BH19" s="705" t="s">
        <v>47</v>
      </c>
      <c r="BI19" s="706"/>
      <c r="BJ19" s="707"/>
      <c r="BL19" s="702" t="str">
        <f ca="1">Y19</f>
        <v>inkl. Berücksichtigung aller abmindernder Effekte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ref="B20:B28" ca="1" si="2">INDIRECT(ADDRESS($D$4+ROW()-ROW($J$17)+1,$F$4+1,,,$B$4))</f>
        <v>0.3</v>
      </c>
      <c r="C20" s="69">
        <f t="shared" ref="C20:C28" ca="1" si="3">INDIRECT(ADDRESS($D$4+ROW()-ROW($J$17)+1,$F$4+2,,,$B$4))</f>
        <v>0.45</v>
      </c>
      <c r="D20" s="683" t="str">
        <f t="shared" ca="1" si="0"/>
        <v>FEHLER</v>
      </c>
      <c r="E20" s="683"/>
      <c r="F20" s="683"/>
      <c r="G20" s="684"/>
      <c r="H20" s="33"/>
      <c r="I20" s="246" t="s">
        <v>120</v>
      </c>
      <c r="J20" s="250" t="str">
        <f t="shared" ca="1" si="1"/>
        <v>Kunden je m² GF</v>
      </c>
      <c r="K20" s="687" t="str">
        <f t="shared" ref="K20:K27" ca="1" si="4">INDIRECT(ADDRESS($D$4+ROW()-ROW($J$17)+1,$F$4,,,$B$4))</f>
        <v>0,3 - 0,45  Kunden / 1 m² GF</v>
      </c>
      <c r="L20" s="687"/>
      <c r="M20" s="251" t="s">
        <v>121</v>
      </c>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0"/>
        <v/>
      </c>
      <c r="E21" s="683"/>
      <c r="F21" s="683"/>
      <c r="G21" s="684"/>
      <c r="H21" s="33"/>
      <c r="I21" s="246" t="s">
        <v>124</v>
      </c>
      <c r="J21" s="250" t="str">
        <f t="shared" ca="1" si="1"/>
        <v>Wegehäufigkeit je Beschäftigtem</v>
      </c>
      <c r="K21" s="687" t="str">
        <f t="shared" ca="1" si="4"/>
        <v>2 - 3 Wege / Beschäftigter</v>
      </c>
      <c r="L21" s="687"/>
      <c r="M21" s="251">
        <v>2.5</v>
      </c>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683" t="str">
        <f t="shared" ca="1" si="0"/>
        <v>FEHLER</v>
      </c>
      <c r="E22" s="683"/>
      <c r="F22" s="683"/>
      <c r="G22" s="684"/>
      <c r="H22" s="33"/>
      <c r="I22" s="246" t="s">
        <v>134</v>
      </c>
      <c r="J22" s="250" t="str">
        <f t="shared" ca="1" si="1"/>
        <v>Wegehäufigkeit je Kunde</v>
      </c>
      <c r="K22" s="687" t="str">
        <f t="shared" ca="1" si="4"/>
        <v>2 Wege / Kunde</v>
      </c>
      <c r="L22" s="687"/>
      <c r="M22" s="251">
        <v>0.3</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ca="1">AE46</f>
        <v>0</v>
      </c>
      <c r="AF22" s="277">
        <f t="shared" ref="AF22:AS22" ca="1" si="5">AF46</f>
        <v>0</v>
      </c>
      <c r="AG22" s="278">
        <f t="shared" ca="1" si="5"/>
        <v>-0.5</v>
      </c>
      <c r="AH22" s="277">
        <f t="shared" ca="1" si="5"/>
        <v>0</v>
      </c>
      <c r="AI22" s="278">
        <f t="shared" ca="1" si="5"/>
        <v>-0.65</v>
      </c>
      <c r="AJ22" s="279">
        <f t="shared" ca="1" si="5"/>
        <v>0</v>
      </c>
      <c r="AK22" s="280"/>
      <c r="AL22" s="281">
        <f ca="1">AL46</f>
        <v>0</v>
      </c>
      <c r="AM22" s="282">
        <f t="shared" ca="1" si="5"/>
        <v>0</v>
      </c>
      <c r="AN22" s="283">
        <f ca="1">AL22+AM22</f>
        <v>0</v>
      </c>
      <c r="AO22" s="284">
        <f t="shared" ca="1" si="5"/>
        <v>0.13</v>
      </c>
      <c r="AP22" s="282">
        <f t="shared" ca="1" si="5"/>
        <v>0</v>
      </c>
      <c r="AQ22" s="283">
        <f ca="1">AO22+AP22</f>
        <v>0.13</v>
      </c>
      <c r="AR22" s="284">
        <f t="shared" ca="1" si="5"/>
        <v>3.2500000000000001E-2</v>
      </c>
      <c r="AS22" s="282">
        <f t="shared" ca="1" si="5"/>
        <v>0</v>
      </c>
      <c r="AT22" s="283">
        <f ca="1">AR22+AS22</f>
        <v>3.2500000000000001E-2</v>
      </c>
      <c r="AU22" s="284">
        <f ca="1">AL22+AO22+AR22</f>
        <v>0.16250000000000001</v>
      </c>
      <c r="AV22" s="283">
        <f ca="1">AM22+AP22+AS22</f>
        <v>0</v>
      </c>
      <c r="AW22" s="285">
        <f ca="1">AU22+AV22</f>
        <v>0.16250000000000001</v>
      </c>
      <c r="AX22" s="286"/>
      <c r="AY22" s="281">
        <f ca="1">AY46</f>
        <v>0</v>
      </c>
      <c r="AZ22" s="282">
        <f t="shared" ref="AZ22:BF22" ca="1" si="6">AZ46</f>
        <v>0</v>
      </c>
      <c r="BA22" s="283">
        <f t="shared" ca="1" si="6"/>
        <v>0</v>
      </c>
      <c r="BB22" s="284">
        <f t="shared" ca="1" si="6"/>
        <v>0.13</v>
      </c>
      <c r="BC22" s="282">
        <f t="shared" ca="1" si="6"/>
        <v>0</v>
      </c>
      <c r="BD22" s="283">
        <f ca="1">BB22+BC22</f>
        <v>0.13</v>
      </c>
      <c r="BE22" s="284">
        <f t="shared" ca="1" si="6"/>
        <v>3.2500000000000001E-2</v>
      </c>
      <c r="BF22" s="282">
        <f t="shared" ca="1" si="6"/>
        <v>0</v>
      </c>
      <c r="BG22" s="283">
        <f ca="1">BE22+BF22</f>
        <v>3.2500000000000001E-2</v>
      </c>
      <c r="BH22" s="284">
        <f ca="1">BH46</f>
        <v>0.16250000000000001</v>
      </c>
      <c r="BI22" s="283">
        <f ca="1">BI46</f>
        <v>0</v>
      </c>
      <c r="BJ22" s="285">
        <f ca="1">BH22+BI22</f>
        <v>0.16250000000000001</v>
      </c>
      <c r="BK22" s="286"/>
      <c r="BL22" s="281">
        <f ca="1">BL46</f>
        <v>0</v>
      </c>
      <c r="BM22" s="282">
        <f ca="1">BM46</f>
        <v>0</v>
      </c>
      <c r="BN22" s="283">
        <f ca="1">BL22+BM22</f>
        <v>0</v>
      </c>
      <c r="BO22" s="284">
        <f ca="1">BO46</f>
        <v>0.13</v>
      </c>
      <c r="BP22" s="282">
        <f ca="1">BP46</f>
        <v>0</v>
      </c>
      <c r="BQ22" s="283">
        <f ca="1">BO22+BP22</f>
        <v>0.13</v>
      </c>
      <c r="BR22" s="284">
        <f ca="1">BR46</f>
        <v>3.2500000000000001E-2</v>
      </c>
      <c r="BS22" s="282">
        <f ca="1">BS46</f>
        <v>0</v>
      </c>
      <c r="BT22" s="283">
        <f ca="1">BR22+BS22</f>
        <v>3.2500000000000001E-2</v>
      </c>
      <c r="BU22" s="284">
        <f ca="1">BL22+BO22+BR22</f>
        <v>0.16250000000000001</v>
      </c>
      <c r="BV22" s="283">
        <f ca="1">BM22+BP22+BS22</f>
        <v>0</v>
      </c>
      <c r="BW22" s="285">
        <f ca="1">BU22+BV22</f>
        <v>0.16250000000000001</v>
      </c>
      <c r="BX22" s="286"/>
      <c r="BY22" s="287">
        <v>9.7144514654701197E-17</v>
      </c>
      <c r="BZ22" s="288">
        <v>6.6613381477509392E-16</v>
      </c>
      <c r="CA22" s="289">
        <v>0</v>
      </c>
      <c r="CB22" s="290">
        <f ca="1">CB46</f>
        <v>8.0491169285323849E-16</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0"/>
        <v/>
      </c>
      <c r="E23" s="683"/>
      <c r="F23" s="683"/>
      <c r="G23" s="684"/>
      <c r="H23" s="33"/>
      <c r="I23" s="246" t="s">
        <v>140</v>
      </c>
      <c r="J23" s="250" t="str">
        <f t="shared" ca="1" si="1"/>
        <v>MIV-Anteil bei den Beschäftigten</v>
      </c>
      <c r="K23" s="687" t="str">
        <f t="shared" ca="1" si="4"/>
        <v>0,3 - 0,9 MIV-Nutzer / Beschäftigter</v>
      </c>
      <c r="L23" s="687"/>
      <c r="M23" s="251">
        <v>0.6</v>
      </c>
      <c r="N23" s="23"/>
      <c r="O23" s="357" t="s">
        <v>23</v>
      </c>
      <c r="P23" s="247"/>
      <c r="Q23" s="360">
        <f ca="1">AU23</f>
        <v>0</v>
      </c>
      <c r="R23" s="351">
        <f ca="1">AV23</f>
        <v>0</v>
      </c>
      <c r="S23" s="361">
        <f ca="1">SUM(Q23:R23)</f>
        <v>0</v>
      </c>
      <c r="T23" s="247"/>
      <c r="U23" s="360">
        <f ca="1">BH23</f>
        <v>0</v>
      </c>
      <c r="V23" s="351">
        <f ca="1">BI23</f>
        <v>0</v>
      </c>
      <c r="W23" s="361">
        <f t="shared" ref="W23:W46" ca="1" si="7">SUM(U23:V23)</f>
        <v>0</v>
      </c>
      <c r="X23" s="247"/>
      <c r="Y23" s="360">
        <f t="shared" ref="Y23:Y46" ca="1" si="8">BU23</f>
        <v>0</v>
      </c>
      <c r="Z23" s="351">
        <f t="shared" ref="Z23:Z46" ca="1" si="9">BV23</f>
        <v>0</v>
      </c>
      <c r="AA23" s="361">
        <f ca="1">SUM(Y23:Z23)</f>
        <v>0</v>
      </c>
      <c r="AB23" s="58" t="str">
        <f ca="1">IF(AND(AA23=MAX($AA$23:$AA$34),AA23&gt;0)=TRUE,"morgendliche
Spitzenstunde","")</f>
        <v/>
      </c>
      <c r="AC23" s="494" t="s">
        <v>23</v>
      </c>
      <c r="AD23" s="275"/>
      <c r="AE23" s="291">
        <f ca="1">INDIRECT(ADDRESS(ROW()-$G$6,$F$6,,,$B$6))</f>
        <v>0</v>
      </c>
      <c r="AF23" s="292">
        <f ca="1">INDIRECT(ADDRESS(ROW()-$G$6,$F$6+1,,,$B$6))</f>
        <v>0</v>
      </c>
      <c r="AG23" s="293">
        <f t="shared" ref="AG23:AG46" ca="1" si="10">INDIRECT(ADDRESS(ROW()-$G$6,$F$6+2,,,$B$6))</f>
        <v>0</v>
      </c>
      <c r="AH23" s="292">
        <f t="shared" ref="AH23:AH46" ca="1" si="11">INDIRECT(ADDRESS(ROW()-$G$6,$F$6+3,,,$B$6))</f>
        <v>0</v>
      </c>
      <c r="AI23" s="293">
        <f t="shared" ref="AI23:AI46" ca="1" si="12">INDIRECT(ADDRESS(ROW()-$G$6,$F$6+4,,,$B$6))</f>
        <v>0</v>
      </c>
      <c r="AJ23" s="294">
        <f t="shared" ref="AJ23:AJ46" ca="1" si="13">INDIRECT(ADDRESS(ROW()-$G$6,$F$6+5,,,$B$6))</f>
        <v>0</v>
      </c>
      <c r="AK23" s="280"/>
      <c r="AL23" s="295">
        <f ca="1">-AE23*1/2*IF(ISERROR($M$30)=FALSE,$M$30,0)/100</f>
        <v>0</v>
      </c>
      <c r="AM23" s="296">
        <f ca="1">AF23*1/2*IF(ISERROR($M$30)=FALSE,$M$30,0)/100</f>
        <v>0</v>
      </c>
      <c r="AN23" s="297">
        <f ca="1">AL23+AM23</f>
        <v>0</v>
      </c>
      <c r="AO23" s="298">
        <f ca="1">-AG23*1/2*IF(ISERROR($M$29)=FALSE,$M$29,0)/100</f>
        <v>0</v>
      </c>
      <c r="AP23" s="296">
        <f ca="1">AH23*1/2*IF(ISERROR($M$29)=FALSE,$M$29,0)/100</f>
        <v>0</v>
      </c>
      <c r="AQ23" s="297">
        <f ca="1">AO23+AP23</f>
        <v>0</v>
      </c>
      <c r="AR23" s="298">
        <f ca="1">-AI23*1/2*IF(ISERROR($M$31)=FALSE,$M$31,0)/100</f>
        <v>0</v>
      </c>
      <c r="AS23" s="296">
        <f ca="1">AJ23*1/2*IF(ISERROR($M$31)=FALSE,$M$31,0)/100</f>
        <v>0</v>
      </c>
      <c r="AT23" s="297">
        <f ca="1">AR23+AS23</f>
        <v>0</v>
      </c>
      <c r="AU23" s="298">
        <f ca="1">AL23+AO23+AR23</f>
        <v>0</v>
      </c>
      <c r="AV23" s="297">
        <f ca="1">AM23+AP23+AS23</f>
        <v>0</v>
      </c>
      <c r="AW23" s="299">
        <f ca="1">AU23+AV23</f>
        <v>0</v>
      </c>
      <c r="AX23" s="286"/>
      <c r="AY23" s="295">
        <f t="shared" ref="AY23:AY46" ca="1" si="14">AL23*(100-IF(AND($J$36&lt;&gt;$K$9,$J$36&lt;&gt;"")=TRUE,$M$36,)-IF(AND($J$37&lt;&gt;$K$9,$J$37&lt;&gt;"")=TRUE,$M$37,)-IF(AND($J$38&lt;&gt;$K$9,$J$38&lt;&gt;"")=TRUE,$M$38,))/100</f>
        <v>0</v>
      </c>
      <c r="AZ23" s="296">
        <f t="shared" ref="AZ23:AZ46" ca="1" si="15">AM23*(100-IF(AND($J$36&lt;&gt;$K$9,$J$36&lt;&gt;"")=TRUE,$M$36,)-IF(AND($J$37&lt;&gt;$K$9,$J$37&lt;&gt;"")=TRUE,$M$37,)-IF(AND($J$38&lt;&gt;$K$9,$J$38&lt;&gt;"")=TRUE,$M$38,))/100</f>
        <v>0</v>
      </c>
      <c r="BA23" s="297">
        <f ca="1">AY23+AZ23</f>
        <v>0</v>
      </c>
      <c r="BB23" s="298">
        <f t="shared" ref="BB23:BB46" ca="1" si="16">BO23</f>
        <v>0</v>
      </c>
      <c r="BC23" s="296">
        <f t="shared" ref="BC23:BC46" ca="1" si="17">BP23</f>
        <v>0</v>
      </c>
      <c r="BD23" s="297">
        <f ca="1">BB23+BC23</f>
        <v>0</v>
      </c>
      <c r="BE23" s="298">
        <f t="shared" ref="BE23:BE46" ca="1" si="18">BR23</f>
        <v>0</v>
      </c>
      <c r="BF23" s="296">
        <f t="shared" ref="BF23:BF46" ca="1" si="19">BS23</f>
        <v>0</v>
      </c>
      <c r="BG23" s="297">
        <f ca="1">BE23+BF23</f>
        <v>0</v>
      </c>
      <c r="BH23" s="298">
        <f ca="1">AY23+BB23+BE23</f>
        <v>0</v>
      </c>
      <c r="BI23" s="297">
        <f ca="1">AZ23+BC23+BF23</f>
        <v>0</v>
      </c>
      <c r="BJ23" s="299">
        <f ca="1">BH23+BI23</f>
        <v>0</v>
      </c>
      <c r="BK23" s="286"/>
      <c r="BL23" s="295">
        <f t="shared" ref="BL23:BL46" ca="1" si="20">AL23*(100-IF(AND($J$36&lt;&gt;"",$M$36&gt;0)=TRUE,$M$36,)-IF(AND($J$37&lt;&gt;"",$M$37&gt;0)=TRUE,$M$37,)-IF(AND($J$38&lt;&gt;"",$M$38&gt;0)=TRUE,$M$38))/100</f>
        <v>0</v>
      </c>
      <c r="BM23" s="296">
        <f t="shared" ref="BM23:BM46" ca="1" si="21">AM23*(100-IF(AND($J$36&lt;&gt;"",$M$36&gt;0)=TRUE,$M$36,)-IF(AND($J$37&lt;&gt;"",$M$37&gt;0)=TRUE,$M$37,)-IF(AND($J$38&lt;&gt;"",$M$38&gt;0)=TRUE,$M$38))/100</f>
        <v>0</v>
      </c>
      <c r="BN23" s="297">
        <f ca="1">BL23+BM23</f>
        <v>0</v>
      </c>
      <c r="BO23" s="298">
        <f t="shared" ref="BO23:BO46" ca="1" si="22">AO23</f>
        <v>0</v>
      </c>
      <c r="BP23" s="296">
        <f t="shared" ref="BP23:BP46" ca="1" si="23">AP23</f>
        <v>0</v>
      </c>
      <c r="BQ23" s="297">
        <f ca="1">BO23+BP23</f>
        <v>0</v>
      </c>
      <c r="BR23" s="298">
        <f t="shared" ref="BR23:BR46" ca="1" si="24">AR23</f>
        <v>0</v>
      </c>
      <c r="BS23" s="296">
        <f t="shared" ref="BS23:BS46" ca="1" si="25">AS23</f>
        <v>0</v>
      </c>
      <c r="BT23" s="297">
        <f ca="1">BR23+BS23</f>
        <v>0</v>
      </c>
      <c r="BU23" s="298">
        <f ca="1">BL23+BO23+BR23</f>
        <v>0</v>
      </c>
      <c r="BV23" s="297">
        <f ca="1">BM23+BP23+BS23</f>
        <v>0</v>
      </c>
      <c r="BW23" s="299">
        <f ca="1">BU23+BV23</f>
        <v>0</v>
      </c>
      <c r="BX23" s="286"/>
      <c r="BY23" s="300">
        <f ca="1">IF(AND((-AY23+AZ23+BY22)&gt;=0,ISERROR(-AY23+AZ23+BY22)=FALSE)=TRUE,-AY23+AZ23+BY22,0)</f>
        <v>9.7144514654701197E-17</v>
      </c>
      <c r="BZ23" s="301">
        <f ca="1">IF(AND((-BB23+BC23+BZ22)&gt;=0,ISERROR(-BB23+BC23+BZ22)=FALSE)=TRUE,-BB23+BC23+BZ22,0)</f>
        <v>6.6613381477509392E-16</v>
      </c>
      <c r="CA23" s="301">
        <f ca="1">IF(AND((-BE23+BF23+CA22)&gt;=0,ISERROR(-BE23+BF23+CA22)=FALSE)=TRUE,-BE23+BF23+CA22,0)</f>
        <v>0</v>
      </c>
      <c r="CB23" s="302">
        <f ca="1">SUM(BY23:CA23)</f>
        <v>7.6327832942979512E-16</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0.5</v>
      </c>
      <c r="C24" s="69">
        <f t="shared" ca="1" si="3"/>
        <v>0.9</v>
      </c>
      <c r="D24" s="683" t="str">
        <f t="shared" ca="1" si="0"/>
        <v/>
      </c>
      <c r="E24" s="683"/>
      <c r="F24" s="683"/>
      <c r="G24" s="684"/>
      <c r="H24" s="33"/>
      <c r="I24" s="246" t="s">
        <v>141</v>
      </c>
      <c r="J24" s="250" t="str">
        <f t="shared" ca="1" si="1"/>
        <v>MIV-Anteil  bei den Kunden</v>
      </c>
      <c r="K24" s="687" t="str">
        <f t="shared" ca="1" si="4"/>
        <v>0,5 - 0,9 MIV-Nutzer / Kunde</v>
      </c>
      <c r="L24" s="687"/>
      <c r="M24" s="251">
        <v>0.75</v>
      </c>
      <c r="N24" s="23"/>
      <c r="O24" s="358" t="s">
        <v>25</v>
      </c>
      <c r="P24" s="247"/>
      <c r="Q24" s="362">
        <f t="shared" ref="Q24:Q46" ca="1" si="26">AU24</f>
        <v>0</v>
      </c>
      <c r="R24" s="248">
        <f t="shared" ref="R24:R46" ca="1" si="27">AV24</f>
        <v>0</v>
      </c>
      <c r="S24" s="363">
        <f t="shared" ref="S24:S46" ca="1" si="28">SUM(Q24:R24)</f>
        <v>0</v>
      </c>
      <c r="T24" s="247"/>
      <c r="U24" s="362">
        <f t="shared" ref="U24:U46" ca="1" si="29">BH24</f>
        <v>0</v>
      </c>
      <c r="V24" s="248">
        <f t="shared" ref="V24:V46" ca="1" si="30">BI24</f>
        <v>0</v>
      </c>
      <c r="W24" s="363">
        <f t="shared" ca="1" si="7"/>
        <v>0</v>
      </c>
      <c r="X24" s="247"/>
      <c r="Y24" s="362">
        <f t="shared" ca="1" si="8"/>
        <v>0</v>
      </c>
      <c r="Z24" s="248">
        <f t="shared" ca="1" si="9"/>
        <v>0</v>
      </c>
      <c r="AA24" s="363">
        <f t="shared" ref="AA24:AA46" ca="1" si="31">SUM(Y24:Z24)</f>
        <v>0</v>
      </c>
      <c r="AB24" s="58" t="str">
        <f t="shared" ref="AB24:AB33" ca="1" si="32">IF(AND(AA24=MAX($AA$23:$AA$34),AA24&gt;0)=TRUE,"morgendliche
Spitzenstunde","")</f>
        <v/>
      </c>
      <c r="AC24" s="495" t="s">
        <v>25</v>
      </c>
      <c r="AD24" s="275"/>
      <c r="AE24" s="303">
        <f t="shared" ref="AE24:AE46" ca="1" si="33">INDIRECT(ADDRESS(ROW()-$G$6,$F$6,,,$B$6))</f>
        <v>0</v>
      </c>
      <c r="AF24" s="304">
        <f t="shared" ref="AF24:AF46" ca="1" si="34">INDIRECT(ADDRESS(ROW()-$G$6,$F$6+1,,,$B$6))</f>
        <v>0</v>
      </c>
      <c r="AG24" s="305">
        <f t="shared" ca="1" si="10"/>
        <v>0</v>
      </c>
      <c r="AH24" s="304">
        <f t="shared" ca="1" si="11"/>
        <v>0</v>
      </c>
      <c r="AI24" s="305">
        <f t="shared" ca="1" si="12"/>
        <v>0</v>
      </c>
      <c r="AJ24" s="306">
        <f t="shared" ca="1" si="13"/>
        <v>0</v>
      </c>
      <c r="AK24" s="280"/>
      <c r="AL24" s="307">
        <f t="shared" ref="AL24:AL46" ca="1" si="35">-AE24*1/2*IF(ISERROR($M$30)=FALSE,$M$30,0)/100</f>
        <v>0</v>
      </c>
      <c r="AM24" s="308">
        <f t="shared" ref="AM24:AM46" ca="1" si="36">AF24*1/2*IF(ISERROR($M$30)=FALSE,$M$30,0)/100</f>
        <v>0</v>
      </c>
      <c r="AN24" s="309">
        <f t="shared" ref="AN24:AN46" ca="1" si="37">AL24+AM24</f>
        <v>0</v>
      </c>
      <c r="AO24" s="310">
        <f t="shared" ref="AO24:AO46" ca="1" si="38">-AG24*1/2*IF(ISERROR($M$29)=FALSE,$M$29,0)/100</f>
        <v>0</v>
      </c>
      <c r="AP24" s="308">
        <f t="shared" ref="AP24:AP46" ca="1" si="39">AH24*1/2*IF(ISERROR($M$29)=FALSE,$M$29,0)/100</f>
        <v>0</v>
      </c>
      <c r="AQ24" s="309">
        <f t="shared" ref="AQ24:AQ46" ca="1" si="40">AO24+AP24</f>
        <v>0</v>
      </c>
      <c r="AR24" s="310">
        <f t="shared" ref="AR24:AR46" ca="1" si="41">-AI24*1/2*IF(ISERROR($M$31)=FALSE,$M$31,0)/100</f>
        <v>0</v>
      </c>
      <c r="AS24" s="308">
        <f t="shared" ref="AS24:AS46" ca="1" si="42">AJ24*1/2*IF(ISERROR($M$31)=FALSE,$M$31,0)/100</f>
        <v>0</v>
      </c>
      <c r="AT24" s="309">
        <f t="shared" ref="AT24:AT46" ca="1" si="43">AR24+AS24</f>
        <v>0</v>
      </c>
      <c r="AU24" s="310">
        <f t="shared" ref="AU24:AU46" ca="1" si="44">AL24+AO24+AR24</f>
        <v>0</v>
      </c>
      <c r="AV24" s="309">
        <f t="shared" ref="AV24:AV46" ca="1" si="45">AM24+AP24+AS24</f>
        <v>0</v>
      </c>
      <c r="AW24" s="311">
        <f t="shared" ref="AW24:AW46" ca="1" si="46">AU24+AV24</f>
        <v>0</v>
      </c>
      <c r="AX24" s="286"/>
      <c r="AY24" s="307">
        <f t="shared" ca="1" si="14"/>
        <v>0</v>
      </c>
      <c r="AZ24" s="308">
        <f t="shared" ca="1" si="15"/>
        <v>0</v>
      </c>
      <c r="BA24" s="309">
        <f t="shared" ref="BA24:BA46" ca="1" si="47">AY24+AZ24</f>
        <v>0</v>
      </c>
      <c r="BB24" s="310">
        <f t="shared" ca="1" si="16"/>
        <v>0</v>
      </c>
      <c r="BC24" s="308">
        <f t="shared" ca="1" si="17"/>
        <v>0</v>
      </c>
      <c r="BD24" s="309">
        <f t="shared" ref="BD24:BD46" ca="1" si="48">BB24+BC24</f>
        <v>0</v>
      </c>
      <c r="BE24" s="310">
        <f t="shared" ca="1" si="18"/>
        <v>0</v>
      </c>
      <c r="BF24" s="308">
        <f t="shared" ca="1" si="19"/>
        <v>0</v>
      </c>
      <c r="BG24" s="309">
        <f t="shared" ref="BG24:BG46" ca="1" si="49">BE24+BF24</f>
        <v>0</v>
      </c>
      <c r="BH24" s="310">
        <f t="shared" ref="BH24:BH46" ca="1" si="50">AY24+BB24+BE24</f>
        <v>0</v>
      </c>
      <c r="BI24" s="309">
        <f t="shared" ref="BI24:BI46" ca="1" si="51">AZ24+BC24+BF24</f>
        <v>0</v>
      </c>
      <c r="BJ24" s="311">
        <f t="shared" ref="BJ24:BJ46" ca="1" si="52">BH24+BI24</f>
        <v>0</v>
      </c>
      <c r="BK24" s="286"/>
      <c r="BL24" s="307">
        <f t="shared" ca="1" si="20"/>
        <v>0</v>
      </c>
      <c r="BM24" s="308">
        <f t="shared" ca="1" si="21"/>
        <v>0</v>
      </c>
      <c r="BN24" s="309">
        <f t="shared" ref="BN24:BN46" ca="1" si="53">BL24+BM24</f>
        <v>0</v>
      </c>
      <c r="BO24" s="310">
        <f t="shared" ca="1" si="22"/>
        <v>0</v>
      </c>
      <c r="BP24" s="308">
        <f t="shared" ca="1" si="23"/>
        <v>0</v>
      </c>
      <c r="BQ24" s="309">
        <f t="shared" ref="BQ24:BQ46" ca="1" si="54">BO24+BP24</f>
        <v>0</v>
      </c>
      <c r="BR24" s="310">
        <f t="shared" ca="1" si="24"/>
        <v>0</v>
      </c>
      <c r="BS24" s="308">
        <f t="shared" ca="1" si="25"/>
        <v>0</v>
      </c>
      <c r="BT24" s="309">
        <f t="shared" ref="BT24:BT46" ca="1" si="55">BR24+BS24</f>
        <v>0</v>
      </c>
      <c r="BU24" s="310">
        <f t="shared" ref="BU24:BU46" ca="1" si="56">BL24+BO24+BR24</f>
        <v>0</v>
      </c>
      <c r="BV24" s="309">
        <f t="shared" ref="BV24:BV46" ca="1" si="57">BM24+BP24+BS24</f>
        <v>0</v>
      </c>
      <c r="BW24" s="311">
        <f t="shared" ref="BW24:BW46" ca="1" si="58">BU24+BV24</f>
        <v>0</v>
      </c>
      <c r="BX24" s="286"/>
      <c r="BY24" s="300">
        <f t="shared" ref="BY24:BY45" ca="1" si="59">IF(AND((-AY24+AZ24+BY23)&gt;=0,ISERROR(-AY24+AZ24+BY23)=FALSE)=TRUE,-AY24+AZ24+BY23,0)</f>
        <v>9.7144514654701197E-17</v>
      </c>
      <c r="BZ24" s="301">
        <f t="shared" ref="BZ24:BZ45" ca="1" si="60">IF(AND((-BB24+BC24+BZ23)&gt;=0,ISERROR(-BB24+BC24+BZ23)=FALSE)=TRUE,-BB24+BC24+BZ23,0)</f>
        <v>6.6613381477509392E-16</v>
      </c>
      <c r="CA24" s="301">
        <f t="shared" ref="CA24:CA45" ca="1" si="61">IF(AND((-BE24+BF24+CA23)&gt;=0,ISERROR(-BE24+BF24+CA23)=FALSE)=TRUE,-BE24+BF24+CA23,0)</f>
        <v>0</v>
      </c>
      <c r="CB24" s="312">
        <f ca="1">SUM(BY24:CA24)</f>
        <v>7.6327832942979512E-16</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0"/>
        <v/>
      </c>
      <c r="E25" s="683"/>
      <c r="F25" s="683"/>
      <c r="G25" s="684"/>
      <c r="H25" s="33"/>
      <c r="I25" s="246" t="s">
        <v>142</v>
      </c>
      <c r="J25" s="250" t="str">
        <f t="shared" ca="1" si="1"/>
        <v>Kfz-Besetzungsgrad Beschäftigte</v>
      </c>
      <c r="K25" s="687" t="str">
        <f t="shared" ca="1" si="4"/>
        <v>1,1 Beschäftigte(r) / Kfz</v>
      </c>
      <c r="L25" s="687"/>
      <c r="M25" s="251">
        <v>1.1000000000000001</v>
      </c>
      <c r="N25" s="23"/>
      <c r="O25" s="358" t="s">
        <v>26</v>
      </c>
      <c r="P25" s="247"/>
      <c r="Q25" s="362">
        <f t="shared" ca="1" si="26"/>
        <v>0</v>
      </c>
      <c r="R25" s="248">
        <f t="shared" ca="1" si="27"/>
        <v>0</v>
      </c>
      <c r="S25" s="363">
        <f t="shared" ca="1" si="28"/>
        <v>0</v>
      </c>
      <c r="T25" s="247"/>
      <c r="U25" s="362">
        <f t="shared" ca="1" si="29"/>
        <v>0</v>
      </c>
      <c r="V25" s="248">
        <f t="shared" ca="1" si="30"/>
        <v>0</v>
      </c>
      <c r="W25" s="363">
        <f t="shared" ca="1" si="7"/>
        <v>0</v>
      </c>
      <c r="X25" s="247"/>
      <c r="Y25" s="362">
        <f t="shared" ca="1" si="8"/>
        <v>0</v>
      </c>
      <c r="Z25" s="248">
        <f t="shared" ca="1" si="9"/>
        <v>0</v>
      </c>
      <c r="AA25" s="363">
        <f t="shared" ca="1" si="31"/>
        <v>0</v>
      </c>
      <c r="AB25" s="58" t="str">
        <f t="shared" ca="1" si="32"/>
        <v/>
      </c>
      <c r="AC25" s="495" t="s">
        <v>26</v>
      </c>
      <c r="AD25" s="275"/>
      <c r="AE25" s="303">
        <f t="shared" ca="1" si="33"/>
        <v>0</v>
      </c>
      <c r="AF25" s="304">
        <f t="shared" ca="1" si="34"/>
        <v>0</v>
      </c>
      <c r="AG25" s="305">
        <f t="shared" ca="1" si="10"/>
        <v>0</v>
      </c>
      <c r="AH25" s="304">
        <f t="shared" ca="1" si="11"/>
        <v>0</v>
      </c>
      <c r="AI25" s="305">
        <f t="shared" ca="1" si="12"/>
        <v>0</v>
      </c>
      <c r="AJ25" s="306">
        <f t="shared" ca="1" si="13"/>
        <v>0</v>
      </c>
      <c r="AK25" s="280"/>
      <c r="AL25" s="307">
        <f t="shared" ca="1" si="35"/>
        <v>0</v>
      </c>
      <c r="AM25" s="308">
        <f t="shared" ca="1" si="36"/>
        <v>0</v>
      </c>
      <c r="AN25" s="309">
        <f t="shared" ca="1" si="37"/>
        <v>0</v>
      </c>
      <c r="AO25" s="310">
        <f t="shared" ca="1" si="38"/>
        <v>0</v>
      </c>
      <c r="AP25" s="308">
        <f t="shared" ca="1" si="39"/>
        <v>0</v>
      </c>
      <c r="AQ25" s="309">
        <f t="shared" ca="1" si="40"/>
        <v>0</v>
      </c>
      <c r="AR25" s="310">
        <f t="shared" ca="1" si="41"/>
        <v>0</v>
      </c>
      <c r="AS25" s="308">
        <f t="shared" ca="1" si="42"/>
        <v>0</v>
      </c>
      <c r="AT25" s="309">
        <f t="shared" ca="1" si="43"/>
        <v>0</v>
      </c>
      <c r="AU25" s="310">
        <f t="shared" ca="1" si="44"/>
        <v>0</v>
      </c>
      <c r="AV25" s="309">
        <f t="shared" ca="1" si="45"/>
        <v>0</v>
      </c>
      <c r="AW25" s="311">
        <f t="shared" ca="1" si="46"/>
        <v>0</v>
      </c>
      <c r="AX25" s="286"/>
      <c r="AY25" s="307">
        <f t="shared" ca="1" si="14"/>
        <v>0</v>
      </c>
      <c r="AZ25" s="308">
        <f t="shared" ca="1" si="15"/>
        <v>0</v>
      </c>
      <c r="BA25" s="309">
        <f t="shared" ca="1" si="47"/>
        <v>0</v>
      </c>
      <c r="BB25" s="310">
        <f t="shared" ca="1" si="16"/>
        <v>0</v>
      </c>
      <c r="BC25" s="308">
        <f t="shared" ca="1" si="17"/>
        <v>0</v>
      </c>
      <c r="BD25" s="309">
        <f t="shared" ca="1" si="48"/>
        <v>0</v>
      </c>
      <c r="BE25" s="310">
        <f t="shared" ca="1" si="18"/>
        <v>0</v>
      </c>
      <c r="BF25" s="308">
        <f t="shared" ca="1" si="19"/>
        <v>0</v>
      </c>
      <c r="BG25" s="309">
        <f t="shared" ca="1" si="49"/>
        <v>0</v>
      </c>
      <c r="BH25" s="310">
        <f t="shared" ca="1" si="50"/>
        <v>0</v>
      </c>
      <c r="BI25" s="309">
        <f t="shared" ca="1" si="51"/>
        <v>0</v>
      </c>
      <c r="BJ25" s="311">
        <f t="shared" ca="1" si="52"/>
        <v>0</v>
      </c>
      <c r="BK25" s="286"/>
      <c r="BL25" s="307">
        <f t="shared" ca="1" si="20"/>
        <v>0</v>
      </c>
      <c r="BM25" s="308">
        <f t="shared" ca="1" si="21"/>
        <v>0</v>
      </c>
      <c r="BN25" s="309">
        <f t="shared" ca="1" si="53"/>
        <v>0</v>
      </c>
      <c r="BO25" s="310">
        <f t="shared" ca="1" si="22"/>
        <v>0</v>
      </c>
      <c r="BP25" s="308">
        <f t="shared" ca="1" si="23"/>
        <v>0</v>
      </c>
      <c r="BQ25" s="309">
        <f t="shared" ca="1" si="54"/>
        <v>0</v>
      </c>
      <c r="BR25" s="310">
        <f t="shared" ca="1" si="24"/>
        <v>0</v>
      </c>
      <c r="BS25" s="308">
        <f t="shared" ca="1" si="25"/>
        <v>0</v>
      </c>
      <c r="BT25" s="309">
        <f ca="1">BR25+BS25</f>
        <v>0</v>
      </c>
      <c r="BU25" s="310">
        <f t="shared" ca="1" si="56"/>
        <v>0</v>
      </c>
      <c r="BV25" s="309">
        <f t="shared" ca="1" si="57"/>
        <v>0</v>
      </c>
      <c r="BW25" s="311">
        <f t="shared" ca="1" si="58"/>
        <v>0</v>
      </c>
      <c r="BX25" s="286"/>
      <c r="BY25" s="300">
        <f t="shared" ca="1" si="59"/>
        <v>9.7144514654701197E-17</v>
      </c>
      <c r="BZ25" s="301">
        <f t="shared" ca="1" si="60"/>
        <v>6.6613381477509392E-16</v>
      </c>
      <c r="CA25" s="301">
        <f t="shared" ca="1" si="61"/>
        <v>0</v>
      </c>
      <c r="CB25" s="312">
        <f t="shared" ref="CB25:CB45" ca="1" si="62">SUM(BY25:CA25)</f>
        <v>7.6327832942979512E-16</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1.6</v>
      </c>
      <c r="D26" s="683" t="str">
        <f t="shared" ca="1" si="0"/>
        <v/>
      </c>
      <c r="E26" s="683"/>
      <c r="F26" s="683"/>
      <c r="G26" s="684"/>
      <c r="H26" s="33"/>
      <c r="I26" s="246" t="s">
        <v>143</v>
      </c>
      <c r="J26" s="250" t="str">
        <f t="shared" ca="1" si="1"/>
        <v>Kfz-Besetzungsgrad Kunden</v>
      </c>
      <c r="K26" s="687" t="str">
        <f t="shared" ca="1" si="4"/>
        <v>1,2 - 1,6 Kunde(n) / Kfz</v>
      </c>
      <c r="L26" s="687"/>
      <c r="M26" s="251">
        <v>1.4</v>
      </c>
      <c r="N26" s="23"/>
      <c r="O26" s="358" t="s">
        <v>27</v>
      </c>
      <c r="P26" s="247"/>
      <c r="Q26" s="362">
        <f t="shared" ca="1" si="26"/>
        <v>0</v>
      </c>
      <c r="R26" s="248">
        <f t="shared" ca="1" si="27"/>
        <v>0</v>
      </c>
      <c r="S26" s="363">
        <f t="shared" ca="1" si="28"/>
        <v>0</v>
      </c>
      <c r="T26" s="247"/>
      <c r="U26" s="362">
        <f t="shared" ca="1" si="29"/>
        <v>0</v>
      </c>
      <c r="V26" s="248">
        <f t="shared" ca="1" si="30"/>
        <v>0</v>
      </c>
      <c r="W26" s="363">
        <f t="shared" ca="1" si="7"/>
        <v>0</v>
      </c>
      <c r="X26" s="247"/>
      <c r="Y26" s="362">
        <f t="shared" ca="1" si="8"/>
        <v>0</v>
      </c>
      <c r="Z26" s="248">
        <f t="shared" ca="1" si="9"/>
        <v>0</v>
      </c>
      <c r="AA26" s="363">
        <f t="shared" ca="1" si="31"/>
        <v>0</v>
      </c>
      <c r="AB26" s="58" t="str">
        <f t="shared" ca="1" si="32"/>
        <v/>
      </c>
      <c r="AC26" s="495" t="s">
        <v>27</v>
      </c>
      <c r="AD26" s="275"/>
      <c r="AE26" s="303">
        <f t="shared" ca="1" si="33"/>
        <v>0</v>
      </c>
      <c r="AF26" s="304">
        <f t="shared" ca="1" si="34"/>
        <v>0</v>
      </c>
      <c r="AG26" s="305">
        <f t="shared" ca="1" si="10"/>
        <v>0</v>
      </c>
      <c r="AH26" s="304">
        <f t="shared" ca="1" si="11"/>
        <v>0</v>
      </c>
      <c r="AI26" s="305">
        <f t="shared" ca="1" si="12"/>
        <v>0</v>
      </c>
      <c r="AJ26" s="306">
        <f t="shared" ca="1" si="13"/>
        <v>0</v>
      </c>
      <c r="AK26" s="280"/>
      <c r="AL26" s="307">
        <f t="shared" ca="1" si="35"/>
        <v>0</v>
      </c>
      <c r="AM26" s="308">
        <f t="shared" ca="1" si="36"/>
        <v>0</v>
      </c>
      <c r="AN26" s="309">
        <f t="shared" ca="1" si="37"/>
        <v>0</v>
      </c>
      <c r="AO26" s="310">
        <f t="shared" ca="1" si="38"/>
        <v>0</v>
      </c>
      <c r="AP26" s="308">
        <f t="shared" ca="1" si="39"/>
        <v>0</v>
      </c>
      <c r="AQ26" s="309">
        <f t="shared" ca="1" si="40"/>
        <v>0</v>
      </c>
      <c r="AR26" s="310">
        <f t="shared" ca="1" si="41"/>
        <v>0</v>
      </c>
      <c r="AS26" s="308">
        <f t="shared" ca="1" si="42"/>
        <v>0</v>
      </c>
      <c r="AT26" s="309">
        <f t="shared" ca="1" si="43"/>
        <v>0</v>
      </c>
      <c r="AU26" s="310">
        <f t="shared" ca="1" si="44"/>
        <v>0</v>
      </c>
      <c r="AV26" s="309">
        <f t="shared" ca="1" si="45"/>
        <v>0</v>
      </c>
      <c r="AW26" s="311">
        <f t="shared" ca="1" si="46"/>
        <v>0</v>
      </c>
      <c r="AX26" s="286"/>
      <c r="AY26" s="307">
        <f t="shared" ca="1" si="14"/>
        <v>0</v>
      </c>
      <c r="AZ26" s="308">
        <f t="shared" ca="1" si="15"/>
        <v>0</v>
      </c>
      <c r="BA26" s="309">
        <f t="shared" ca="1" si="47"/>
        <v>0</v>
      </c>
      <c r="BB26" s="310">
        <f t="shared" ca="1" si="16"/>
        <v>0</v>
      </c>
      <c r="BC26" s="308">
        <f t="shared" ca="1" si="17"/>
        <v>0</v>
      </c>
      <c r="BD26" s="309">
        <f t="shared" ca="1" si="48"/>
        <v>0</v>
      </c>
      <c r="BE26" s="310">
        <f t="shared" ca="1" si="18"/>
        <v>0</v>
      </c>
      <c r="BF26" s="308">
        <f t="shared" ca="1" si="19"/>
        <v>0</v>
      </c>
      <c r="BG26" s="309">
        <f t="shared" ca="1" si="49"/>
        <v>0</v>
      </c>
      <c r="BH26" s="310">
        <f t="shared" ca="1" si="50"/>
        <v>0</v>
      </c>
      <c r="BI26" s="309">
        <f t="shared" ca="1" si="51"/>
        <v>0</v>
      </c>
      <c r="BJ26" s="311">
        <f t="shared" ca="1" si="52"/>
        <v>0</v>
      </c>
      <c r="BK26" s="286"/>
      <c r="BL26" s="307">
        <f t="shared" ca="1" si="20"/>
        <v>0</v>
      </c>
      <c r="BM26" s="308">
        <f t="shared" ca="1" si="21"/>
        <v>0</v>
      </c>
      <c r="BN26" s="309">
        <f t="shared" ca="1" si="53"/>
        <v>0</v>
      </c>
      <c r="BO26" s="310">
        <f t="shared" ca="1" si="22"/>
        <v>0</v>
      </c>
      <c r="BP26" s="308">
        <f t="shared" ca="1" si="23"/>
        <v>0</v>
      </c>
      <c r="BQ26" s="309">
        <f t="shared" ca="1" si="54"/>
        <v>0</v>
      </c>
      <c r="BR26" s="310">
        <f t="shared" ca="1" si="24"/>
        <v>0</v>
      </c>
      <c r="BS26" s="308">
        <f t="shared" ca="1" si="25"/>
        <v>0</v>
      </c>
      <c r="BT26" s="309">
        <f t="shared" ca="1" si="55"/>
        <v>0</v>
      </c>
      <c r="BU26" s="310">
        <f t="shared" ca="1" si="56"/>
        <v>0</v>
      </c>
      <c r="BV26" s="309">
        <f t="shared" ca="1" si="57"/>
        <v>0</v>
      </c>
      <c r="BW26" s="311">
        <f t="shared" ca="1" si="58"/>
        <v>0</v>
      </c>
      <c r="BX26" s="286"/>
      <c r="BY26" s="300">
        <f t="shared" ca="1" si="59"/>
        <v>9.7144514654701197E-17</v>
      </c>
      <c r="BZ26" s="301">
        <f t="shared" ca="1" si="60"/>
        <v>6.6613381477509392E-16</v>
      </c>
      <c r="CA26" s="301">
        <f t="shared" ca="1" si="61"/>
        <v>0</v>
      </c>
      <c r="CB26" s="312">
        <f t="shared" ca="1" si="62"/>
        <v>7.6327832942979512E-16</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0.8</v>
      </c>
      <c r="D27" s="683" t="str">
        <f t="shared" ca="1" si="0"/>
        <v>FEHLER</v>
      </c>
      <c r="E27" s="683"/>
      <c r="F27" s="683"/>
      <c r="G27" s="684"/>
      <c r="H27" s="33"/>
      <c r="I27" s="258" t="s">
        <v>144</v>
      </c>
      <c r="J27" s="265" t="str">
        <f t="shared" ca="1" si="1"/>
        <v>Wirtschaftsfahrten je GF</v>
      </c>
      <c r="K27" s="733" t="str">
        <f t="shared" ca="1" si="4"/>
        <v>0,4 - 0,8 Fahrten / 100 m² GF</v>
      </c>
      <c r="L27" s="733"/>
      <c r="M27" s="266">
        <v>0.2</v>
      </c>
      <c r="N27" s="23"/>
      <c r="O27" s="358" t="s">
        <v>28</v>
      </c>
      <c r="P27" s="247"/>
      <c r="Q27" s="362">
        <f t="shared" ca="1" si="26"/>
        <v>0</v>
      </c>
      <c r="R27" s="248">
        <f t="shared" ca="1" si="27"/>
        <v>0.27250000000000002</v>
      </c>
      <c r="S27" s="363">
        <f t="shared" ca="1" si="28"/>
        <v>0.27250000000000002</v>
      </c>
      <c r="T27" s="247"/>
      <c r="U27" s="362">
        <f t="shared" ca="1" si="29"/>
        <v>0</v>
      </c>
      <c r="V27" s="248">
        <f t="shared" ca="1" si="30"/>
        <v>0.27250000000000002</v>
      </c>
      <c r="W27" s="363">
        <f t="shared" ca="1" si="7"/>
        <v>0.27250000000000002</v>
      </c>
      <c r="X27" s="247"/>
      <c r="Y27" s="362">
        <f t="shared" ca="1" si="8"/>
        <v>0</v>
      </c>
      <c r="Z27" s="248">
        <f t="shared" ca="1" si="9"/>
        <v>0.27250000000000002</v>
      </c>
      <c r="AA27" s="363">
        <f t="shared" ca="1" si="31"/>
        <v>0.27250000000000002</v>
      </c>
      <c r="AB27" s="58" t="str">
        <f t="shared" ca="1" si="32"/>
        <v/>
      </c>
      <c r="AC27" s="495" t="s">
        <v>28</v>
      </c>
      <c r="AD27" s="275"/>
      <c r="AE27" s="303">
        <f t="shared" ca="1" si="33"/>
        <v>0</v>
      </c>
      <c r="AF27" s="304">
        <f t="shared" ca="1" si="34"/>
        <v>0</v>
      </c>
      <c r="AG27" s="305">
        <f t="shared" ca="1" si="10"/>
        <v>0</v>
      </c>
      <c r="AH27" s="304">
        <f t="shared" ca="1" si="11"/>
        <v>1</v>
      </c>
      <c r="AI27" s="305">
        <f t="shared" ca="1" si="12"/>
        <v>0</v>
      </c>
      <c r="AJ27" s="306">
        <f t="shared" ca="1" si="13"/>
        <v>0.25</v>
      </c>
      <c r="AK27" s="280"/>
      <c r="AL27" s="307">
        <f t="shared" ca="1" si="35"/>
        <v>0</v>
      </c>
      <c r="AM27" s="308">
        <f t="shared" ca="1" si="36"/>
        <v>0</v>
      </c>
      <c r="AN27" s="309">
        <f t="shared" ca="1" si="37"/>
        <v>0</v>
      </c>
      <c r="AO27" s="310">
        <f t="shared" ca="1" si="38"/>
        <v>0</v>
      </c>
      <c r="AP27" s="308">
        <f t="shared" ca="1" si="39"/>
        <v>0.26</v>
      </c>
      <c r="AQ27" s="309">
        <f t="shared" ca="1" si="40"/>
        <v>0.26</v>
      </c>
      <c r="AR27" s="310">
        <f t="shared" ca="1" si="41"/>
        <v>0</v>
      </c>
      <c r="AS27" s="308">
        <f t="shared" ca="1" si="42"/>
        <v>1.2500000000000001E-2</v>
      </c>
      <c r="AT27" s="309">
        <f t="shared" ca="1" si="43"/>
        <v>1.2500000000000001E-2</v>
      </c>
      <c r="AU27" s="310">
        <f t="shared" ca="1" si="44"/>
        <v>0</v>
      </c>
      <c r="AV27" s="309">
        <f t="shared" ca="1" si="45"/>
        <v>0.27250000000000002</v>
      </c>
      <c r="AW27" s="311">
        <f t="shared" ca="1" si="46"/>
        <v>0.27250000000000002</v>
      </c>
      <c r="AX27" s="286"/>
      <c r="AY27" s="307">
        <f t="shared" ca="1" si="14"/>
        <v>0</v>
      </c>
      <c r="AZ27" s="308">
        <f t="shared" ca="1" si="15"/>
        <v>0</v>
      </c>
      <c r="BA27" s="309">
        <f t="shared" ca="1" si="47"/>
        <v>0</v>
      </c>
      <c r="BB27" s="310">
        <f t="shared" ca="1" si="16"/>
        <v>0</v>
      </c>
      <c r="BC27" s="308">
        <f t="shared" ca="1" si="17"/>
        <v>0.26</v>
      </c>
      <c r="BD27" s="309">
        <f t="shared" ca="1" si="48"/>
        <v>0.26</v>
      </c>
      <c r="BE27" s="310">
        <f t="shared" ca="1" si="18"/>
        <v>0</v>
      </c>
      <c r="BF27" s="308">
        <f t="shared" ca="1" si="19"/>
        <v>1.2500000000000001E-2</v>
      </c>
      <c r="BG27" s="309">
        <f t="shared" ca="1" si="49"/>
        <v>1.2500000000000001E-2</v>
      </c>
      <c r="BH27" s="310">
        <f t="shared" ca="1" si="50"/>
        <v>0</v>
      </c>
      <c r="BI27" s="309">
        <f t="shared" ca="1" si="51"/>
        <v>0.27250000000000002</v>
      </c>
      <c r="BJ27" s="311">
        <f t="shared" ca="1" si="52"/>
        <v>0.27250000000000002</v>
      </c>
      <c r="BK27" s="286"/>
      <c r="BL27" s="307">
        <f t="shared" ca="1" si="20"/>
        <v>0</v>
      </c>
      <c r="BM27" s="308">
        <f t="shared" ca="1" si="21"/>
        <v>0</v>
      </c>
      <c r="BN27" s="309">
        <f t="shared" ca="1" si="53"/>
        <v>0</v>
      </c>
      <c r="BO27" s="310">
        <f t="shared" ca="1" si="22"/>
        <v>0</v>
      </c>
      <c r="BP27" s="308">
        <f t="shared" ca="1" si="23"/>
        <v>0.26</v>
      </c>
      <c r="BQ27" s="309">
        <f t="shared" ca="1" si="54"/>
        <v>0.26</v>
      </c>
      <c r="BR27" s="310">
        <f t="shared" ca="1" si="24"/>
        <v>0</v>
      </c>
      <c r="BS27" s="308">
        <f t="shared" ca="1" si="25"/>
        <v>1.2500000000000001E-2</v>
      </c>
      <c r="BT27" s="309">
        <f t="shared" ca="1" si="55"/>
        <v>1.2500000000000001E-2</v>
      </c>
      <c r="BU27" s="310">
        <f t="shared" ca="1" si="56"/>
        <v>0</v>
      </c>
      <c r="BV27" s="309">
        <f t="shared" ca="1" si="57"/>
        <v>0.27250000000000002</v>
      </c>
      <c r="BW27" s="311">
        <f t="shared" ca="1" si="58"/>
        <v>0.27250000000000002</v>
      </c>
      <c r="BX27" s="286"/>
      <c r="BY27" s="300">
        <f t="shared" ca="1" si="59"/>
        <v>9.7144514654701197E-17</v>
      </c>
      <c r="BZ27" s="301">
        <f t="shared" ca="1" si="60"/>
        <v>0.26000000000000068</v>
      </c>
      <c r="CA27" s="301">
        <f t="shared" ca="1" si="61"/>
        <v>1.2500000000000001E-2</v>
      </c>
      <c r="CB27" s="312">
        <f t="shared" ca="1" si="62"/>
        <v>0.2725000000000008</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6"/>
        <v>0.31</v>
      </c>
      <c r="R28" s="248">
        <f ca="1">AV28</f>
        <v>1.8299999999999998</v>
      </c>
      <c r="S28" s="363">
        <f t="shared" ca="1" si="28"/>
        <v>2.1399999999999997</v>
      </c>
      <c r="T28" s="247"/>
      <c r="U28" s="362">
        <f t="shared" ca="1" si="29"/>
        <v>0.31</v>
      </c>
      <c r="V28" s="248">
        <f t="shared" ca="1" si="30"/>
        <v>1.8299999999999998</v>
      </c>
      <c r="W28" s="363">
        <f t="shared" ca="1" si="7"/>
        <v>2.1399999999999997</v>
      </c>
      <c r="X28" s="247"/>
      <c r="Y28" s="362">
        <f t="shared" ca="1" si="8"/>
        <v>0.31</v>
      </c>
      <c r="Z28" s="248">
        <f t="shared" ca="1" si="9"/>
        <v>1.8299999999999998</v>
      </c>
      <c r="AA28" s="363">
        <f t="shared" ca="1" si="31"/>
        <v>2.1399999999999997</v>
      </c>
      <c r="AB28" s="58" t="str">
        <f t="shared" ca="1" si="32"/>
        <v/>
      </c>
      <c r="AC28" s="495" t="s">
        <v>29</v>
      </c>
      <c r="AD28" s="275"/>
      <c r="AE28" s="303">
        <f t="shared" ca="1" si="33"/>
        <v>0</v>
      </c>
      <c r="AF28" s="304">
        <f ca="1">INDIRECT(ADDRESS(ROW()-$G$6,$F$6+1,,,$B$6))</f>
        <v>0</v>
      </c>
      <c r="AG28" s="305">
        <f t="shared" ca="1" si="10"/>
        <v>-1</v>
      </c>
      <c r="AH28" s="304">
        <f ca="1">INDIRECT(ADDRESS(ROW()-$G$6,$F$6+3,,,$B$6))</f>
        <v>6.75</v>
      </c>
      <c r="AI28" s="305">
        <f t="shared" ca="1" si="12"/>
        <v>-1</v>
      </c>
      <c r="AJ28" s="306">
        <f t="shared" ca="1" si="13"/>
        <v>1.5</v>
      </c>
      <c r="AK28" s="280"/>
      <c r="AL28" s="307">
        <f t="shared" ca="1" si="35"/>
        <v>0</v>
      </c>
      <c r="AM28" s="308">
        <f t="shared" ca="1" si="36"/>
        <v>0</v>
      </c>
      <c r="AN28" s="309">
        <f t="shared" ca="1" si="37"/>
        <v>0</v>
      </c>
      <c r="AO28" s="310">
        <f t="shared" ca="1" si="38"/>
        <v>0.26</v>
      </c>
      <c r="AP28" s="308">
        <f t="shared" ca="1" si="39"/>
        <v>1.7549999999999999</v>
      </c>
      <c r="AQ28" s="309">
        <f t="shared" ca="1" si="40"/>
        <v>2.0149999999999997</v>
      </c>
      <c r="AR28" s="310">
        <f t="shared" ca="1" si="41"/>
        <v>0.05</v>
      </c>
      <c r="AS28" s="308">
        <f t="shared" ca="1" si="42"/>
        <v>7.4999999999999997E-2</v>
      </c>
      <c r="AT28" s="309">
        <f t="shared" ca="1" si="43"/>
        <v>0.125</v>
      </c>
      <c r="AU28" s="310">
        <f t="shared" ca="1" si="44"/>
        <v>0.31</v>
      </c>
      <c r="AV28" s="309">
        <f ca="1">AM28+AP28+AS28</f>
        <v>1.8299999999999998</v>
      </c>
      <c r="AW28" s="311">
        <f ca="1">AU28+AV28</f>
        <v>2.1399999999999997</v>
      </c>
      <c r="AX28" s="286"/>
      <c r="AY28" s="307">
        <f t="shared" ca="1" si="14"/>
        <v>0</v>
      </c>
      <c r="AZ28" s="308">
        <f t="shared" ca="1" si="15"/>
        <v>0</v>
      </c>
      <c r="BA28" s="309">
        <f t="shared" ca="1" si="47"/>
        <v>0</v>
      </c>
      <c r="BB28" s="310">
        <f t="shared" ca="1" si="16"/>
        <v>0.26</v>
      </c>
      <c r="BC28" s="308">
        <f t="shared" ca="1" si="17"/>
        <v>1.7549999999999999</v>
      </c>
      <c r="BD28" s="309">
        <f t="shared" ca="1" si="48"/>
        <v>2.0149999999999997</v>
      </c>
      <c r="BE28" s="310">
        <f t="shared" ca="1" si="18"/>
        <v>0.05</v>
      </c>
      <c r="BF28" s="308">
        <f t="shared" ca="1" si="19"/>
        <v>7.4999999999999997E-2</v>
      </c>
      <c r="BG28" s="309">
        <f t="shared" ca="1" si="49"/>
        <v>0.125</v>
      </c>
      <c r="BH28" s="310">
        <f t="shared" ca="1" si="50"/>
        <v>0.31</v>
      </c>
      <c r="BI28" s="309">
        <f t="shared" ca="1" si="51"/>
        <v>1.8299999999999998</v>
      </c>
      <c r="BJ28" s="311">
        <f t="shared" ca="1" si="52"/>
        <v>2.1399999999999997</v>
      </c>
      <c r="BK28" s="286"/>
      <c r="BL28" s="307">
        <f t="shared" ca="1" si="20"/>
        <v>0</v>
      </c>
      <c r="BM28" s="308">
        <f t="shared" ca="1" si="21"/>
        <v>0</v>
      </c>
      <c r="BN28" s="309">
        <f t="shared" ca="1" si="53"/>
        <v>0</v>
      </c>
      <c r="BO28" s="310">
        <f t="shared" ca="1" si="22"/>
        <v>0.26</v>
      </c>
      <c r="BP28" s="308">
        <f t="shared" ca="1" si="23"/>
        <v>1.7549999999999999</v>
      </c>
      <c r="BQ28" s="309">
        <f t="shared" ca="1" si="54"/>
        <v>2.0149999999999997</v>
      </c>
      <c r="BR28" s="310">
        <f t="shared" ca="1" si="24"/>
        <v>0.05</v>
      </c>
      <c r="BS28" s="308">
        <f t="shared" ca="1" si="25"/>
        <v>7.4999999999999997E-2</v>
      </c>
      <c r="BT28" s="309">
        <f t="shared" ca="1" si="55"/>
        <v>0.125</v>
      </c>
      <c r="BU28" s="310">
        <f t="shared" ca="1" si="56"/>
        <v>0.31</v>
      </c>
      <c r="BV28" s="309">
        <f t="shared" ca="1" si="57"/>
        <v>1.8299999999999998</v>
      </c>
      <c r="BW28" s="311">
        <f t="shared" ca="1" si="58"/>
        <v>2.1399999999999997</v>
      </c>
      <c r="BX28" s="286"/>
      <c r="BY28" s="300">
        <f t="shared" ca="1" si="59"/>
        <v>9.7144514654701197E-17</v>
      </c>
      <c r="BZ28" s="301">
        <f t="shared" ca="1" si="60"/>
        <v>1.7550000000000006</v>
      </c>
      <c r="CA28" s="301">
        <f t="shared" ca="1" si="61"/>
        <v>3.7499999999999992E-2</v>
      </c>
      <c r="CB28" s="312">
        <f t="shared" ca="1" si="62"/>
        <v>1.7925000000000006</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52</v>
      </c>
      <c r="N29" s="24"/>
      <c r="O29" s="358" t="s">
        <v>30</v>
      </c>
      <c r="P29" s="247"/>
      <c r="Q29" s="362">
        <f t="shared" ca="1" si="26"/>
        <v>0.60750000000000004</v>
      </c>
      <c r="R29" s="248">
        <f t="shared" ca="1" si="27"/>
        <v>5.9219999999999997</v>
      </c>
      <c r="S29" s="363">
        <f t="shared" ca="1" si="28"/>
        <v>6.5294999999999996</v>
      </c>
      <c r="T29" s="247"/>
      <c r="U29" s="362">
        <f t="shared" ca="1" si="29"/>
        <v>0.60750000000000004</v>
      </c>
      <c r="V29" s="248">
        <f t="shared" ca="1" si="30"/>
        <v>5.9219999999999997</v>
      </c>
      <c r="W29" s="363">
        <f t="shared" ca="1" si="7"/>
        <v>6.5294999999999996</v>
      </c>
      <c r="X29" s="247"/>
      <c r="Y29" s="362">
        <f t="shared" ca="1" si="8"/>
        <v>0.60750000000000004</v>
      </c>
      <c r="Z29" s="248">
        <f t="shared" ca="1" si="9"/>
        <v>5.9219999999999997</v>
      </c>
      <c r="AA29" s="363">
        <f t="shared" ca="1" si="31"/>
        <v>6.5294999999999996</v>
      </c>
      <c r="AB29" s="58" t="str">
        <f t="shared" ca="1" si="32"/>
        <v/>
      </c>
      <c r="AC29" s="495" t="s">
        <v>30</v>
      </c>
      <c r="AD29" s="275"/>
      <c r="AE29" s="303">
        <f t="shared" ca="1" si="33"/>
        <v>0</v>
      </c>
      <c r="AF29" s="304">
        <f t="shared" ca="1" si="34"/>
        <v>0</v>
      </c>
      <c r="AG29" s="305">
        <f t="shared" ca="1" si="10"/>
        <v>-2</v>
      </c>
      <c r="AH29" s="304">
        <f t="shared" ca="1" si="11"/>
        <v>22.2</v>
      </c>
      <c r="AI29" s="305">
        <f t="shared" ca="1" si="12"/>
        <v>-1.75</v>
      </c>
      <c r="AJ29" s="306">
        <f t="shared" ca="1" si="13"/>
        <v>3</v>
      </c>
      <c r="AK29" s="280"/>
      <c r="AL29" s="307">
        <f t="shared" ca="1" si="35"/>
        <v>0</v>
      </c>
      <c r="AM29" s="308">
        <f t="shared" ca="1" si="36"/>
        <v>0</v>
      </c>
      <c r="AN29" s="309">
        <f t="shared" ca="1" si="37"/>
        <v>0</v>
      </c>
      <c r="AO29" s="310">
        <f t="shared" ca="1" si="38"/>
        <v>0.52</v>
      </c>
      <c r="AP29" s="308">
        <f ca="1">AH29*1/2*IF(ISERROR($M$29)=FALSE,$M$29,0)/100</f>
        <v>5.7719999999999994</v>
      </c>
      <c r="AQ29" s="309">
        <f t="shared" ca="1" si="40"/>
        <v>6.2919999999999998</v>
      </c>
      <c r="AR29" s="310">
        <f t="shared" ca="1" si="41"/>
        <v>8.7499999999999994E-2</v>
      </c>
      <c r="AS29" s="308">
        <f t="shared" ca="1" si="42"/>
        <v>0.15</v>
      </c>
      <c r="AT29" s="309">
        <f t="shared" ca="1" si="43"/>
        <v>0.23749999999999999</v>
      </c>
      <c r="AU29" s="310">
        <f t="shared" ca="1" si="44"/>
        <v>0.60750000000000004</v>
      </c>
      <c r="AV29" s="309">
        <f t="shared" ca="1" si="45"/>
        <v>5.9219999999999997</v>
      </c>
      <c r="AW29" s="311">
        <f t="shared" ca="1" si="46"/>
        <v>6.5294999999999996</v>
      </c>
      <c r="AX29" s="286"/>
      <c r="AY29" s="307">
        <f t="shared" ca="1" si="14"/>
        <v>0</v>
      </c>
      <c r="AZ29" s="308">
        <f t="shared" ca="1" si="15"/>
        <v>0</v>
      </c>
      <c r="BA29" s="309">
        <f t="shared" ca="1" si="47"/>
        <v>0</v>
      </c>
      <c r="BB29" s="310">
        <f t="shared" ca="1" si="16"/>
        <v>0.52</v>
      </c>
      <c r="BC29" s="308">
        <f t="shared" ca="1" si="17"/>
        <v>5.7719999999999994</v>
      </c>
      <c r="BD29" s="309">
        <f t="shared" ca="1" si="48"/>
        <v>6.2919999999999998</v>
      </c>
      <c r="BE29" s="310">
        <f t="shared" ca="1" si="18"/>
        <v>8.7499999999999994E-2</v>
      </c>
      <c r="BF29" s="308">
        <f t="shared" ca="1" si="19"/>
        <v>0.15</v>
      </c>
      <c r="BG29" s="309">
        <f t="shared" ca="1" si="49"/>
        <v>0.23749999999999999</v>
      </c>
      <c r="BH29" s="310">
        <f t="shared" ca="1" si="50"/>
        <v>0.60750000000000004</v>
      </c>
      <c r="BI29" s="309">
        <f t="shared" ca="1" si="51"/>
        <v>5.9219999999999997</v>
      </c>
      <c r="BJ29" s="311">
        <f t="shared" ca="1" si="52"/>
        <v>6.5294999999999996</v>
      </c>
      <c r="BK29" s="286"/>
      <c r="BL29" s="307">
        <f t="shared" ca="1" si="20"/>
        <v>0</v>
      </c>
      <c r="BM29" s="308">
        <f t="shared" ca="1" si="21"/>
        <v>0</v>
      </c>
      <c r="BN29" s="309">
        <f t="shared" ca="1" si="53"/>
        <v>0</v>
      </c>
      <c r="BO29" s="310">
        <f t="shared" ca="1" si="22"/>
        <v>0.52</v>
      </c>
      <c r="BP29" s="308">
        <f t="shared" ca="1" si="23"/>
        <v>5.7719999999999994</v>
      </c>
      <c r="BQ29" s="309">
        <f t="shared" ca="1" si="54"/>
        <v>6.2919999999999998</v>
      </c>
      <c r="BR29" s="310">
        <f t="shared" ca="1" si="24"/>
        <v>8.7499999999999994E-2</v>
      </c>
      <c r="BS29" s="308">
        <f t="shared" ca="1" si="25"/>
        <v>0.15</v>
      </c>
      <c r="BT29" s="309">
        <f t="shared" ca="1" si="55"/>
        <v>0.23749999999999999</v>
      </c>
      <c r="BU29" s="310">
        <f t="shared" ca="1" si="56"/>
        <v>0.60750000000000004</v>
      </c>
      <c r="BV29" s="309">
        <f t="shared" ca="1" si="57"/>
        <v>5.9219999999999997</v>
      </c>
      <c r="BW29" s="311">
        <f t="shared" ca="1" si="58"/>
        <v>6.5294999999999996</v>
      </c>
      <c r="BX29" s="286"/>
      <c r="BY29" s="300">
        <f t="shared" ca="1" si="59"/>
        <v>9.7144514654701197E-17</v>
      </c>
      <c r="BZ29" s="301">
        <f t="shared" ca="1" si="60"/>
        <v>7.0069999999999997</v>
      </c>
      <c r="CA29" s="301">
        <f t="shared" ca="1" si="61"/>
        <v>9.9999999999999992E-2</v>
      </c>
      <c r="CB29" s="312">
        <f t="shared" ca="1" si="62"/>
        <v>7.1069999999999993</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v>
      </c>
      <c r="N30" s="25"/>
      <c r="O30" s="358" t="s">
        <v>31</v>
      </c>
      <c r="P30" s="247"/>
      <c r="Q30" s="362">
        <f t="shared" ca="1" si="26"/>
        <v>1.4075</v>
      </c>
      <c r="R30" s="248">
        <f t="shared" ca="1" si="27"/>
        <v>7.9430000000000005</v>
      </c>
      <c r="S30" s="363">
        <f t="shared" ca="1" si="28"/>
        <v>9.3505000000000003</v>
      </c>
      <c r="T30" s="247"/>
      <c r="U30" s="362">
        <f t="shared" ca="1" si="29"/>
        <v>1.4075</v>
      </c>
      <c r="V30" s="248">
        <f t="shared" ca="1" si="30"/>
        <v>7.91465</v>
      </c>
      <c r="W30" s="363">
        <f t="shared" ca="1" si="7"/>
        <v>9.3221500000000006</v>
      </c>
      <c r="X30" s="247"/>
      <c r="Y30" s="362">
        <f t="shared" ca="1" si="8"/>
        <v>1.4075</v>
      </c>
      <c r="Z30" s="248">
        <f t="shared" ca="1" si="9"/>
        <v>7.9065500000000002</v>
      </c>
      <c r="AA30" s="363">
        <f t="shared" ca="1" si="31"/>
        <v>9.3140499999999999</v>
      </c>
      <c r="AB30" s="58" t="str">
        <f t="shared" ca="1" si="32"/>
        <v>morgendliche
Spitzenstunde</v>
      </c>
      <c r="AC30" s="495" t="s">
        <v>31</v>
      </c>
      <c r="AD30" s="275"/>
      <c r="AE30" s="303">
        <f t="shared" ca="1" si="33"/>
        <v>0</v>
      </c>
      <c r="AF30" s="304">
        <f t="shared" ca="1" si="34"/>
        <v>2.7</v>
      </c>
      <c r="AG30" s="305">
        <f t="shared" ca="1" si="10"/>
        <v>-4.5</v>
      </c>
      <c r="AH30" s="304">
        <f t="shared" ca="1" si="11"/>
        <v>28.7</v>
      </c>
      <c r="AI30" s="305">
        <f t="shared" ca="1" si="12"/>
        <v>-4.75</v>
      </c>
      <c r="AJ30" s="306">
        <f t="shared" ca="1" si="13"/>
        <v>8</v>
      </c>
      <c r="AK30" s="280"/>
      <c r="AL30" s="307">
        <f t="shared" ca="1" si="35"/>
        <v>0</v>
      </c>
      <c r="AM30" s="308">
        <f t="shared" ca="1" si="36"/>
        <v>8.1000000000000016E-2</v>
      </c>
      <c r="AN30" s="309">
        <f t="shared" ca="1" si="37"/>
        <v>8.1000000000000016E-2</v>
      </c>
      <c r="AO30" s="310">
        <f t="shared" ca="1" si="38"/>
        <v>1.17</v>
      </c>
      <c r="AP30" s="308">
        <f t="shared" ca="1" si="39"/>
        <v>7.4619999999999997</v>
      </c>
      <c r="AQ30" s="309">
        <f t="shared" ca="1" si="40"/>
        <v>8.6319999999999997</v>
      </c>
      <c r="AR30" s="310">
        <f t="shared" ca="1" si="41"/>
        <v>0.23749999999999999</v>
      </c>
      <c r="AS30" s="308">
        <f t="shared" ca="1" si="42"/>
        <v>0.4</v>
      </c>
      <c r="AT30" s="309">
        <f t="shared" ca="1" si="43"/>
        <v>0.63749999999999996</v>
      </c>
      <c r="AU30" s="310">
        <f t="shared" ca="1" si="44"/>
        <v>1.4075</v>
      </c>
      <c r="AV30" s="309">
        <f t="shared" ca="1" si="45"/>
        <v>7.9430000000000005</v>
      </c>
      <c r="AW30" s="311">
        <f t="shared" ca="1" si="46"/>
        <v>9.3505000000000003</v>
      </c>
      <c r="AX30" s="286"/>
      <c r="AY30" s="307">
        <f t="shared" ca="1" si="14"/>
        <v>0</v>
      </c>
      <c r="AZ30" s="308">
        <f t="shared" ca="1" si="15"/>
        <v>5.2650000000000016E-2</v>
      </c>
      <c r="BA30" s="309">
        <f t="shared" ca="1" si="47"/>
        <v>5.2650000000000016E-2</v>
      </c>
      <c r="BB30" s="310">
        <f t="shared" ca="1" si="16"/>
        <v>1.17</v>
      </c>
      <c r="BC30" s="308">
        <f t="shared" ca="1" si="17"/>
        <v>7.4619999999999997</v>
      </c>
      <c r="BD30" s="309">
        <f t="shared" ca="1" si="48"/>
        <v>8.6319999999999997</v>
      </c>
      <c r="BE30" s="310">
        <f t="shared" ca="1" si="18"/>
        <v>0.23749999999999999</v>
      </c>
      <c r="BF30" s="308">
        <f t="shared" ca="1" si="19"/>
        <v>0.4</v>
      </c>
      <c r="BG30" s="309">
        <f t="shared" ca="1" si="49"/>
        <v>0.63749999999999996</v>
      </c>
      <c r="BH30" s="310">
        <f t="shared" ca="1" si="50"/>
        <v>1.4075</v>
      </c>
      <c r="BI30" s="309">
        <f t="shared" ca="1" si="51"/>
        <v>7.91465</v>
      </c>
      <c r="BJ30" s="311">
        <f t="shared" ca="1" si="52"/>
        <v>9.3221500000000006</v>
      </c>
      <c r="BK30" s="286"/>
      <c r="BL30" s="307">
        <f t="shared" ca="1" si="20"/>
        <v>0</v>
      </c>
      <c r="BM30" s="308">
        <f t="shared" ca="1" si="21"/>
        <v>4.4550000000000006E-2</v>
      </c>
      <c r="BN30" s="309">
        <f t="shared" ca="1" si="53"/>
        <v>4.4550000000000006E-2</v>
      </c>
      <c r="BO30" s="310">
        <f t="shared" ca="1" si="22"/>
        <v>1.17</v>
      </c>
      <c r="BP30" s="308">
        <f t="shared" ca="1" si="23"/>
        <v>7.4619999999999997</v>
      </c>
      <c r="BQ30" s="309">
        <f t="shared" ca="1" si="54"/>
        <v>8.6319999999999997</v>
      </c>
      <c r="BR30" s="310">
        <f t="shared" ca="1" si="24"/>
        <v>0.23749999999999999</v>
      </c>
      <c r="BS30" s="308">
        <f t="shared" ca="1" si="25"/>
        <v>0.4</v>
      </c>
      <c r="BT30" s="309">
        <f t="shared" ca="1" si="55"/>
        <v>0.63749999999999996</v>
      </c>
      <c r="BU30" s="310">
        <f t="shared" ca="1" si="56"/>
        <v>1.4075</v>
      </c>
      <c r="BV30" s="309">
        <f t="shared" ca="1" si="57"/>
        <v>7.9065500000000002</v>
      </c>
      <c r="BW30" s="311">
        <f t="shared" ca="1" si="58"/>
        <v>9.3140499999999999</v>
      </c>
      <c r="BX30" s="286"/>
      <c r="BY30" s="300">
        <f t="shared" ca="1" si="59"/>
        <v>5.2650000000000113E-2</v>
      </c>
      <c r="BZ30" s="301">
        <f t="shared" ca="1" si="60"/>
        <v>13.298999999999999</v>
      </c>
      <c r="CA30" s="301">
        <f t="shared" ca="1" si="61"/>
        <v>0.26250000000000001</v>
      </c>
      <c r="CB30" s="312">
        <f t="shared" ca="1" si="62"/>
        <v>13.614149999999999</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10</v>
      </c>
      <c r="N31" s="25"/>
      <c r="O31" s="358" t="s">
        <v>32</v>
      </c>
      <c r="P31" s="247"/>
      <c r="Q31" s="362">
        <f t="shared" ca="1" si="26"/>
        <v>1.7949999999999999</v>
      </c>
      <c r="R31" s="248">
        <f t="shared" ca="1" si="27"/>
        <v>2.9464999999999999</v>
      </c>
      <c r="S31" s="363">
        <f t="shared" ca="1" si="28"/>
        <v>4.7415000000000003</v>
      </c>
      <c r="T31" s="247"/>
      <c r="U31" s="362">
        <f t="shared" ca="1" si="29"/>
        <v>1.7582499999999999</v>
      </c>
      <c r="V31" s="248">
        <f t="shared" ca="1" si="30"/>
        <v>2.893475</v>
      </c>
      <c r="W31" s="363">
        <f t="shared" ca="1" si="7"/>
        <v>4.6517249999999999</v>
      </c>
      <c r="X31" s="247"/>
      <c r="Y31" s="362">
        <f t="shared" ca="1" si="8"/>
        <v>1.7477499999999999</v>
      </c>
      <c r="Z31" s="248">
        <f t="shared" ca="1" si="9"/>
        <v>2.8783249999999998</v>
      </c>
      <c r="AA31" s="363">
        <f t="shared" ca="1" si="31"/>
        <v>4.6260750000000002</v>
      </c>
      <c r="AB31" s="58" t="str">
        <f t="shared" ca="1" si="32"/>
        <v/>
      </c>
      <c r="AC31" s="495" t="s">
        <v>32</v>
      </c>
      <c r="AD31" s="275"/>
      <c r="AE31" s="303">
        <f t="shared" ca="1" si="33"/>
        <v>-3.5</v>
      </c>
      <c r="AF31" s="304">
        <f t="shared" ca="1" si="34"/>
        <v>5.05</v>
      </c>
      <c r="AG31" s="305">
        <f t="shared" ca="1" si="10"/>
        <v>-5.25</v>
      </c>
      <c r="AH31" s="304">
        <f t="shared" ca="1" si="11"/>
        <v>8.75</v>
      </c>
      <c r="AI31" s="305">
        <f t="shared" ca="1" si="12"/>
        <v>-6.5</v>
      </c>
      <c r="AJ31" s="306">
        <f t="shared" ca="1" si="13"/>
        <v>10.4</v>
      </c>
      <c r="AK31" s="280"/>
      <c r="AL31" s="307">
        <f t="shared" ca="1" si="35"/>
        <v>0.105</v>
      </c>
      <c r="AM31" s="308">
        <f t="shared" ca="1" si="36"/>
        <v>0.1515</v>
      </c>
      <c r="AN31" s="309">
        <f t="shared" ca="1" si="37"/>
        <v>0.25650000000000001</v>
      </c>
      <c r="AO31" s="310">
        <f t="shared" ca="1" si="38"/>
        <v>1.365</v>
      </c>
      <c r="AP31" s="308">
        <f t="shared" ca="1" si="39"/>
        <v>2.2749999999999999</v>
      </c>
      <c r="AQ31" s="309">
        <f t="shared" ca="1" si="40"/>
        <v>3.6399999999999997</v>
      </c>
      <c r="AR31" s="310">
        <f t="shared" ca="1" si="41"/>
        <v>0.32500000000000001</v>
      </c>
      <c r="AS31" s="308">
        <f t="shared" ca="1" si="42"/>
        <v>0.52</v>
      </c>
      <c r="AT31" s="309">
        <f t="shared" ca="1" si="43"/>
        <v>0.84499999999999997</v>
      </c>
      <c r="AU31" s="310">
        <f t="shared" ca="1" si="44"/>
        <v>1.7949999999999999</v>
      </c>
      <c r="AV31" s="309">
        <f t="shared" ca="1" si="45"/>
        <v>2.9464999999999999</v>
      </c>
      <c r="AW31" s="311">
        <f t="shared" ca="1" si="46"/>
        <v>4.7415000000000003</v>
      </c>
      <c r="AX31" s="286"/>
      <c r="AY31" s="307">
        <f t="shared" ca="1" si="14"/>
        <v>6.8250000000000005E-2</v>
      </c>
      <c r="AZ31" s="308">
        <f t="shared" ca="1" si="15"/>
        <v>9.8475000000000007E-2</v>
      </c>
      <c r="BA31" s="309">
        <f t="shared" ca="1" si="47"/>
        <v>0.16672500000000001</v>
      </c>
      <c r="BB31" s="310">
        <f t="shared" ca="1" si="16"/>
        <v>1.365</v>
      </c>
      <c r="BC31" s="308">
        <f t="shared" ca="1" si="17"/>
        <v>2.2749999999999999</v>
      </c>
      <c r="BD31" s="309">
        <f t="shared" ca="1" si="48"/>
        <v>3.6399999999999997</v>
      </c>
      <c r="BE31" s="310">
        <f t="shared" ca="1" si="18"/>
        <v>0.32500000000000001</v>
      </c>
      <c r="BF31" s="308">
        <f t="shared" ca="1" si="19"/>
        <v>0.52</v>
      </c>
      <c r="BG31" s="309">
        <f t="shared" ca="1" si="49"/>
        <v>0.84499999999999997</v>
      </c>
      <c r="BH31" s="310">
        <f t="shared" ca="1" si="50"/>
        <v>1.7582499999999999</v>
      </c>
      <c r="BI31" s="309">
        <f t="shared" ca="1" si="51"/>
        <v>2.893475</v>
      </c>
      <c r="BJ31" s="311">
        <f t="shared" ca="1" si="52"/>
        <v>4.6517249999999999</v>
      </c>
      <c r="BK31" s="286"/>
      <c r="BL31" s="307">
        <f t="shared" ca="1" si="20"/>
        <v>5.7749999999999996E-2</v>
      </c>
      <c r="BM31" s="308">
        <f t="shared" ca="1" si="21"/>
        <v>8.3324999999999996E-2</v>
      </c>
      <c r="BN31" s="309">
        <f t="shared" ca="1" si="53"/>
        <v>0.14107500000000001</v>
      </c>
      <c r="BO31" s="310">
        <f t="shared" ca="1" si="22"/>
        <v>1.365</v>
      </c>
      <c r="BP31" s="308">
        <f t="shared" ca="1" si="23"/>
        <v>2.2749999999999999</v>
      </c>
      <c r="BQ31" s="309">
        <f t="shared" ca="1" si="54"/>
        <v>3.6399999999999997</v>
      </c>
      <c r="BR31" s="310">
        <f t="shared" ca="1" si="24"/>
        <v>0.32500000000000001</v>
      </c>
      <c r="BS31" s="308">
        <f t="shared" ca="1" si="25"/>
        <v>0.52</v>
      </c>
      <c r="BT31" s="309">
        <f t="shared" ca="1" si="55"/>
        <v>0.84499999999999997</v>
      </c>
      <c r="BU31" s="310">
        <f t="shared" ca="1" si="56"/>
        <v>1.7477499999999999</v>
      </c>
      <c r="BV31" s="309">
        <f t="shared" ca="1" si="57"/>
        <v>2.8783249999999998</v>
      </c>
      <c r="BW31" s="311">
        <f t="shared" ca="1" si="58"/>
        <v>4.6260750000000002</v>
      </c>
      <c r="BX31" s="286"/>
      <c r="BY31" s="300">
        <f t="shared" ca="1" si="59"/>
        <v>8.2875000000000115E-2</v>
      </c>
      <c r="BZ31" s="301">
        <f t="shared" ca="1" si="60"/>
        <v>14.209</v>
      </c>
      <c r="CA31" s="301">
        <f t="shared" ca="1" si="61"/>
        <v>0.45750000000000002</v>
      </c>
      <c r="CB31" s="312">
        <f t="shared" ca="1" si="62"/>
        <v>14.749374999999999</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68</v>
      </c>
      <c r="N32" s="25"/>
      <c r="O32" s="358" t="s">
        <v>33</v>
      </c>
      <c r="P32" s="247"/>
      <c r="Q32" s="362">
        <f t="shared" ca="1" si="26"/>
        <v>1.4845000000000002</v>
      </c>
      <c r="R32" s="248">
        <f t="shared" ca="1" si="27"/>
        <v>1.1520000000000001</v>
      </c>
      <c r="S32" s="363">
        <f t="shared" ca="1" si="28"/>
        <v>2.6365000000000003</v>
      </c>
      <c r="T32" s="247"/>
      <c r="U32" s="362">
        <f t="shared" ca="1" si="29"/>
        <v>1.4278</v>
      </c>
      <c r="V32" s="248">
        <f t="shared" ca="1" si="30"/>
        <v>1.061175</v>
      </c>
      <c r="W32" s="363">
        <f t="shared" ca="1" si="7"/>
        <v>2.4889749999999999</v>
      </c>
      <c r="X32" s="247"/>
      <c r="Y32" s="362">
        <f t="shared" ca="1" si="8"/>
        <v>1.4116</v>
      </c>
      <c r="Z32" s="248">
        <f t="shared" ca="1" si="9"/>
        <v>1.0352250000000001</v>
      </c>
      <c r="AA32" s="363">
        <f t="shared" ca="1" si="31"/>
        <v>2.446825</v>
      </c>
      <c r="AB32" s="58" t="str">
        <f t="shared" ca="1" si="32"/>
        <v/>
      </c>
      <c r="AC32" s="495" t="s">
        <v>33</v>
      </c>
      <c r="AD32" s="275"/>
      <c r="AE32" s="303">
        <f t="shared" ca="1" si="33"/>
        <v>-5.4</v>
      </c>
      <c r="AF32" s="304">
        <f t="shared" ca="1" si="34"/>
        <v>8.65</v>
      </c>
      <c r="AG32" s="305">
        <f t="shared" ca="1" si="10"/>
        <v>-3.5</v>
      </c>
      <c r="AH32" s="304">
        <f t="shared" ca="1" si="11"/>
        <v>1.75</v>
      </c>
      <c r="AI32" s="305">
        <f t="shared" ca="1" si="12"/>
        <v>-8.25</v>
      </c>
      <c r="AJ32" s="306">
        <f t="shared" ca="1" si="13"/>
        <v>8.75</v>
      </c>
      <c r="AK32" s="280"/>
      <c r="AL32" s="307">
        <f t="shared" ca="1" si="35"/>
        <v>0.16200000000000003</v>
      </c>
      <c r="AM32" s="308">
        <f t="shared" ca="1" si="36"/>
        <v>0.25950000000000001</v>
      </c>
      <c r="AN32" s="309">
        <f t="shared" ca="1" si="37"/>
        <v>0.42150000000000004</v>
      </c>
      <c r="AO32" s="310">
        <f t="shared" ca="1" si="38"/>
        <v>0.91</v>
      </c>
      <c r="AP32" s="308">
        <f t="shared" ca="1" si="39"/>
        <v>0.45500000000000002</v>
      </c>
      <c r="AQ32" s="309">
        <f t="shared" ca="1" si="40"/>
        <v>1.365</v>
      </c>
      <c r="AR32" s="310">
        <f t="shared" ca="1" si="41"/>
        <v>0.41249999999999998</v>
      </c>
      <c r="AS32" s="308">
        <f t="shared" ca="1" si="42"/>
        <v>0.4375</v>
      </c>
      <c r="AT32" s="309">
        <f t="shared" ca="1" si="43"/>
        <v>0.85</v>
      </c>
      <c r="AU32" s="310">
        <f t="shared" ca="1" si="44"/>
        <v>1.4845000000000002</v>
      </c>
      <c r="AV32" s="309">
        <f t="shared" ca="1" si="45"/>
        <v>1.1520000000000001</v>
      </c>
      <c r="AW32" s="311">
        <f t="shared" ca="1" si="46"/>
        <v>2.6365000000000003</v>
      </c>
      <c r="AX32" s="286"/>
      <c r="AY32" s="307">
        <f t="shared" ca="1" si="14"/>
        <v>0.10530000000000003</v>
      </c>
      <c r="AZ32" s="308">
        <f t="shared" ca="1" si="15"/>
        <v>0.16867499999999999</v>
      </c>
      <c r="BA32" s="309">
        <f t="shared" ca="1" si="47"/>
        <v>0.27397500000000002</v>
      </c>
      <c r="BB32" s="310">
        <f t="shared" ca="1" si="16"/>
        <v>0.91</v>
      </c>
      <c r="BC32" s="308">
        <f t="shared" ca="1" si="17"/>
        <v>0.45500000000000002</v>
      </c>
      <c r="BD32" s="309">
        <f t="shared" ca="1" si="48"/>
        <v>1.365</v>
      </c>
      <c r="BE32" s="310">
        <f t="shared" ca="1" si="18"/>
        <v>0.41249999999999998</v>
      </c>
      <c r="BF32" s="308">
        <f t="shared" ca="1" si="19"/>
        <v>0.4375</v>
      </c>
      <c r="BG32" s="309">
        <f t="shared" ca="1" si="49"/>
        <v>0.85</v>
      </c>
      <c r="BH32" s="310">
        <f t="shared" ca="1" si="50"/>
        <v>1.4278</v>
      </c>
      <c r="BI32" s="309">
        <f t="shared" ca="1" si="51"/>
        <v>1.061175</v>
      </c>
      <c r="BJ32" s="311">
        <f t="shared" ca="1" si="52"/>
        <v>2.4889749999999999</v>
      </c>
      <c r="BK32" s="286"/>
      <c r="BL32" s="307">
        <f t="shared" ca="1" si="20"/>
        <v>8.9100000000000013E-2</v>
      </c>
      <c r="BM32" s="308">
        <f t="shared" ca="1" si="21"/>
        <v>0.14272500000000002</v>
      </c>
      <c r="BN32" s="309">
        <f t="shared" ca="1" si="53"/>
        <v>0.23182500000000003</v>
      </c>
      <c r="BO32" s="310">
        <f t="shared" ca="1" si="22"/>
        <v>0.91</v>
      </c>
      <c r="BP32" s="308">
        <f t="shared" ca="1" si="23"/>
        <v>0.45500000000000002</v>
      </c>
      <c r="BQ32" s="309">
        <f t="shared" ca="1" si="54"/>
        <v>1.365</v>
      </c>
      <c r="BR32" s="310">
        <f t="shared" ca="1" si="24"/>
        <v>0.41249999999999998</v>
      </c>
      <c r="BS32" s="308">
        <f t="shared" ca="1" si="25"/>
        <v>0.4375</v>
      </c>
      <c r="BT32" s="309">
        <f t="shared" ca="1" si="55"/>
        <v>0.85</v>
      </c>
      <c r="BU32" s="310">
        <f t="shared" ca="1" si="56"/>
        <v>1.4116</v>
      </c>
      <c r="BV32" s="309">
        <f t="shared" ca="1" si="57"/>
        <v>1.0352250000000001</v>
      </c>
      <c r="BW32" s="311">
        <f t="shared" ca="1" si="58"/>
        <v>2.446825</v>
      </c>
      <c r="BX32" s="286"/>
      <c r="BY32" s="300">
        <f t="shared" ca="1" si="59"/>
        <v>0.14625000000000007</v>
      </c>
      <c r="BZ32" s="301">
        <f t="shared" ca="1" si="60"/>
        <v>13.754</v>
      </c>
      <c r="CA32" s="301">
        <f t="shared" ca="1" si="61"/>
        <v>0.48250000000000004</v>
      </c>
      <c r="CB32" s="312">
        <f t="shared" ca="1" si="62"/>
        <v>14.38275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6"/>
        <v>1.5229999999999999</v>
      </c>
      <c r="R33" s="248">
        <f t="shared" ca="1" si="27"/>
        <v>1.0349999999999999</v>
      </c>
      <c r="S33" s="363">
        <f t="shared" ca="1" si="28"/>
        <v>2.5579999999999998</v>
      </c>
      <c r="T33" s="247"/>
      <c r="U33" s="362">
        <f t="shared" ca="1" si="29"/>
        <v>1.4432</v>
      </c>
      <c r="V33" s="248">
        <f t="shared" ca="1" si="30"/>
        <v>0.94312499999999999</v>
      </c>
      <c r="W33" s="363">
        <f t="shared" ca="1" si="7"/>
        <v>2.3863250000000003</v>
      </c>
      <c r="X33" s="247"/>
      <c r="Y33" s="362">
        <f t="shared" ca="1" si="8"/>
        <v>1.4203999999999999</v>
      </c>
      <c r="Z33" s="248">
        <f t="shared" ca="1" si="9"/>
        <v>0.916875</v>
      </c>
      <c r="AA33" s="363">
        <f t="shared" ca="1" si="31"/>
        <v>2.337275</v>
      </c>
      <c r="AB33" s="58" t="str">
        <f t="shared" ca="1" si="32"/>
        <v/>
      </c>
      <c r="AC33" s="495" t="s">
        <v>34</v>
      </c>
      <c r="AD33" s="275"/>
      <c r="AE33" s="303">
        <f t="shared" ca="1" si="33"/>
        <v>-7.6</v>
      </c>
      <c r="AF33" s="304">
        <f t="shared" ca="1" si="34"/>
        <v>8.75</v>
      </c>
      <c r="AG33" s="305">
        <f t="shared" ca="1" si="10"/>
        <v>-3.25</v>
      </c>
      <c r="AH33" s="304">
        <f t="shared" ca="1" si="11"/>
        <v>1</v>
      </c>
      <c r="AI33" s="305">
        <f t="shared" ca="1" si="12"/>
        <v>-9</v>
      </c>
      <c r="AJ33" s="306">
        <f t="shared" ca="1" si="13"/>
        <v>10.25</v>
      </c>
      <c r="AK33" s="280"/>
      <c r="AL33" s="307">
        <f t="shared" ca="1" si="35"/>
        <v>0.22799999999999998</v>
      </c>
      <c r="AM33" s="308">
        <f t="shared" ca="1" si="36"/>
        <v>0.26250000000000001</v>
      </c>
      <c r="AN33" s="309">
        <f t="shared" ca="1" si="37"/>
        <v>0.49049999999999999</v>
      </c>
      <c r="AO33" s="310">
        <f t="shared" ca="1" si="38"/>
        <v>0.84499999999999997</v>
      </c>
      <c r="AP33" s="308">
        <f t="shared" ca="1" si="39"/>
        <v>0.26</v>
      </c>
      <c r="AQ33" s="309">
        <f t="shared" ca="1" si="40"/>
        <v>1.105</v>
      </c>
      <c r="AR33" s="310">
        <f t="shared" ca="1" si="41"/>
        <v>0.45</v>
      </c>
      <c r="AS33" s="308">
        <f t="shared" ca="1" si="42"/>
        <v>0.51249999999999996</v>
      </c>
      <c r="AT33" s="309">
        <f t="shared" ca="1" si="43"/>
        <v>0.96249999999999991</v>
      </c>
      <c r="AU33" s="310">
        <f t="shared" ca="1" si="44"/>
        <v>1.5229999999999999</v>
      </c>
      <c r="AV33" s="309">
        <f t="shared" ca="1" si="45"/>
        <v>1.0349999999999999</v>
      </c>
      <c r="AW33" s="311">
        <f t="shared" ca="1" si="46"/>
        <v>2.5579999999999998</v>
      </c>
      <c r="AX33" s="286"/>
      <c r="AY33" s="307">
        <f t="shared" ca="1" si="14"/>
        <v>0.1482</v>
      </c>
      <c r="AZ33" s="308">
        <f t="shared" ca="1" si="15"/>
        <v>0.170625</v>
      </c>
      <c r="BA33" s="309">
        <f t="shared" ca="1" si="47"/>
        <v>0.31882500000000003</v>
      </c>
      <c r="BB33" s="310">
        <f t="shared" ca="1" si="16"/>
        <v>0.84499999999999997</v>
      </c>
      <c r="BC33" s="308">
        <f t="shared" ca="1" si="17"/>
        <v>0.26</v>
      </c>
      <c r="BD33" s="309">
        <f t="shared" ca="1" si="48"/>
        <v>1.105</v>
      </c>
      <c r="BE33" s="310">
        <f t="shared" ca="1" si="18"/>
        <v>0.45</v>
      </c>
      <c r="BF33" s="308">
        <f t="shared" ca="1" si="19"/>
        <v>0.51249999999999996</v>
      </c>
      <c r="BG33" s="309">
        <f t="shared" ca="1" si="49"/>
        <v>0.96249999999999991</v>
      </c>
      <c r="BH33" s="310">
        <f t="shared" ca="1" si="50"/>
        <v>1.4432</v>
      </c>
      <c r="BI33" s="309">
        <f t="shared" ca="1" si="51"/>
        <v>0.94312499999999999</v>
      </c>
      <c r="BJ33" s="311">
        <f t="shared" ca="1" si="52"/>
        <v>2.3863250000000003</v>
      </c>
      <c r="BK33" s="286"/>
      <c r="BL33" s="307">
        <f t="shared" ca="1" si="20"/>
        <v>0.12539999999999998</v>
      </c>
      <c r="BM33" s="308">
        <f t="shared" ca="1" si="21"/>
        <v>0.144375</v>
      </c>
      <c r="BN33" s="309">
        <f t="shared" ca="1" si="53"/>
        <v>0.26977499999999999</v>
      </c>
      <c r="BO33" s="310">
        <f t="shared" ca="1" si="22"/>
        <v>0.84499999999999997</v>
      </c>
      <c r="BP33" s="308">
        <f t="shared" ca="1" si="23"/>
        <v>0.26</v>
      </c>
      <c r="BQ33" s="309">
        <f t="shared" ca="1" si="54"/>
        <v>1.105</v>
      </c>
      <c r="BR33" s="310">
        <f t="shared" ca="1" si="24"/>
        <v>0.45</v>
      </c>
      <c r="BS33" s="308">
        <f t="shared" ca="1" si="25"/>
        <v>0.51249999999999996</v>
      </c>
      <c r="BT33" s="309">
        <f t="shared" ca="1" si="55"/>
        <v>0.96249999999999991</v>
      </c>
      <c r="BU33" s="310">
        <f t="shared" ca="1" si="56"/>
        <v>1.4203999999999999</v>
      </c>
      <c r="BV33" s="309">
        <f t="shared" ca="1" si="57"/>
        <v>0.916875</v>
      </c>
      <c r="BW33" s="311">
        <f t="shared" ca="1" si="58"/>
        <v>2.337275</v>
      </c>
      <c r="BX33" s="286"/>
      <c r="BY33" s="300">
        <f t="shared" ca="1" si="59"/>
        <v>0.16867500000000007</v>
      </c>
      <c r="BZ33" s="301">
        <f t="shared" ca="1" si="60"/>
        <v>13.169</v>
      </c>
      <c r="CA33" s="301">
        <f t="shared" ca="1" si="61"/>
        <v>0.54499999999999993</v>
      </c>
      <c r="CB33" s="312">
        <f t="shared" ca="1" si="62"/>
        <v>13.882675000000001</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berücksichtigte abmindernde Effekte beim Kundenverkehr</v>
      </c>
      <c r="J34" s="766"/>
      <c r="K34" s="766"/>
      <c r="L34" s="766"/>
      <c r="M34" s="766"/>
      <c r="N34" s="1"/>
      <c r="O34" s="358" t="s">
        <v>35</v>
      </c>
      <c r="P34" s="247"/>
      <c r="Q34" s="362">
        <f t="shared" ca="1" si="26"/>
        <v>1.4204999999999999</v>
      </c>
      <c r="R34" s="248">
        <f t="shared" ca="1" si="27"/>
        <v>0.84549999999999992</v>
      </c>
      <c r="S34" s="363">
        <f t="shared" ca="1" si="28"/>
        <v>2.266</v>
      </c>
      <c r="T34" s="247"/>
      <c r="U34" s="362">
        <f t="shared" ca="1" si="29"/>
        <v>1.3302</v>
      </c>
      <c r="V34" s="248">
        <f t="shared" ca="1" si="30"/>
        <v>0.76832499999999992</v>
      </c>
      <c r="W34" s="363">
        <f t="shared" ca="1" si="7"/>
        <v>2.098525</v>
      </c>
      <c r="X34" s="247"/>
      <c r="Y34" s="362">
        <f t="shared" ca="1" si="8"/>
        <v>1.3044</v>
      </c>
      <c r="Z34" s="248">
        <f t="shared" ca="1" si="9"/>
        <v>0.74627500000000002</v>
      </c>
      <c r="AA34" s="363">
        <f t="shared" ca="1" si="31"/>
        <v>2.050675</v>
      </c>
      <c r="AB34" s="58" t="str">
        <f ca="1">IF(AND(AA34=MAX($AA$23:$AA$34),AA34&gt;0)=TRUE,"morgendliche
Spitzenstunde","")</f>
        <v/>
      </c>
      <c r="AC34" s="495" t="s">
        <v>35</v>
      </c>
      <c r="AD34" s="275"/>
      <c r="AE34" s="303">
        <f t="shared" ca="1" si="33"/>
        <v>-8.6</v>
      </c>
      <c r="AF34" s="304">
        <f t="shared" ca="1" si="34"/>
        <v>7.35</v>
      </c>
      <c r="AG34" s="305">
        <f t="shared" ca="1" si="10"/>
        <v>-2.5</v>
      </c>
      <c r="AH34" s="304">
        <f t="shared" ca="1" si="11"/>
        <v>0.5</v>
      </c>
      <c r="AI34" s="305">
        <f t="shared" ca="1" si="12"/>
        <v>-10.25</v>
      </c>
      <c r="AJ34" s="306">
        <f t="shared" ca="1" si="13"/>
        <v>9.9</v>
      </c>
      <c r="AK34" s="280"/>
      <c r="AL34" s="307">
        <f t="shared" ca="1" si="35"/>
        <v>0.25799999999999995</v>
      </c>
      <c r="AM34" s="308">
        <f t="shared" ca="1" si="36"/>
        <v>0.22049999999999997</v>
      </c>
      <c r="AN34" s="309">
        <f t="shared" ca="1" si="37"/>
        <v>0.47849999999999993</v>
      </c>
      <c r="AO34" s="310">
        <f t="shared" ca="1" si="38"/>
        <v>0.65</v>
      </c>
      <c r="AP34" s="308">
        <f t="shared" ca="1" si="39"/>
        <v>0.13</v>
      </c>
      <c r="AQ34" s="309">
        <f t="shared" ca="1" si="40"/>
        <v>0.78</v>
      </c>
      <c r="AR34" s="310">
        <f t="shared" ca="1" si="41"/>
        <v>0.51249999999999996</v>
      </c>
      <c r="AS34" s="308">
        <f t="shared" ca="1" si="42"/>
        <v>0.495</v>
      </c>
      <c r="AT34" s="309">
        <f t="shared" ca="1" si="43"/>
        <v>1.0074999999999998</v>
      </c>
      <c r="AU34" s="310">
        <f t="shared" ca="1" si="44"/>
        <v>1.4204999999999999</v>
      </c>
      <c r="AV34" s="309">
        <f t="shared" ca="1" si="45"/>
        <v>0.84549999999999992</v>
      </c>
      <c r="AW34" s="311">
        <f t="shared" ca="1" si="46"/>
        <v>2.266</v>
      </c>
      <c r="AX34" s="286"/>
      <c r="AY34" s="307">
        <f t="shared" ca="1" si="14"/>
        <v>0.16769999999999996</v>
      </c>
      <c r="AZ34" s="308">
        <f t="shared" ca="1" si="15"/>
        <v>0.14332499999999998</v>
      </c>
      <c r="BA34" s="309">
        <f t="shared" ca="1" si="47"/>
        <v>0.31102499999999994</v>
      </c>
      <c r="BB34" s="310">
        <f t="shared" ca="1" si="16"/>
        <v>0.65</v>
      </c>
      <c r="BC34" s="308">
        <f t="shared" ca="1" si="17"/>
        <v>0.13</v>
      </c>
      <c r="BD34" s="309">
        <f t="shared" ca="1" si="48"/>
        <v>0.78</v>
      </c>
      <c r="BE34" s="310">
        <f t="shared" ca="1" si="18"/>
        <v>0.51249999999999996</v>
      </c>
      <c r="BF34" s="308">
        <f t="shared" ca="1" si="19"/>
        <v>0.495</v>
      </c>
      <c r="BG34" s="309">
        <f t="shared" ca="1" si="49"/>
        <v>1.0074999999999998</v>
      </c>
      <c r="BH34" s="310">
        <f t="shared" ca="1" si="50"/>
        <v>1.3302</v>
      </c>
      <c r="BI34" s="309">
        <f t="shared" ca="1" si="51"/>
        <v>0.76832499999999992</v>
      </c>
      <c r="BJ34" s="311">
        <f t="shared" ca="1" si="52"/>
        <v>2.098525</v>
      </c>
      <c r="BK34" s="286"/>
      <c r="BL34" s="307">
        <f t="shared" ca="1" si="20"/>
        <v>0.14189999999999997</v>
      </c>
      <c r="BM34" s="308">
        <f t="shared" ca="1" si="21"/>
        <v>0.12127499999999998</v>
      </c>
      <c r="BN34" s="309">
        <f t="shared" ca="1" si="53"/>
        <v>0.26317499999999994</v>
      </c>
      <c r="BO34" s="310">
        <f t="shared" ca="1" si="22"/>
        <v>0.65</v>
      </c>
      <c r="BP34" s="308">
        <f t="shared" ca="1" si="23"/>
        <v>0.13</v>
      </c>
      <c r="BQ34" s="309">
        <f t="shared" ca="1" si="54"/>
        <v>0.78</v>
      </c>
      <c r="BR34" s="310">
        <f t="shared" ca="1" si="24"/>
        <v>0.51249999999999996</v>
      </c>
      <c r="BS34" s="308">
        <f t="shared" ca="1" si="25"/>
        <v>0.495</v>
      </c>
      <c r="BT34" s="309">
        <f t="shared" ca="1" si="55"/>
        <v>1.0074999999999998</v>
      </c>
      <c r="BU34" s="310">
        <f t="shared" ca="1" si="56"/>
        <v>1.3044</v>
      </c>
      <c r="BV34" s="309">
        <f t="shared" ca="1" si="57"/>
        <v>0.74627500000000002</v>
      </c>
      <c r="BW34" s="311">
        <f t="shared" ca="1" si="58"/>
        <v>2.050675</v>
      </c>
      <c r="BX34" s="286"/>
      <c r="BY34" s="300">
        <f t="shared" ca="1" si="59"/>
        <v>0.14430000000000009</v>
      </c>
      <c r="BZ34" s="301">
        <f t="shared" ca="1" si="60"/>
        <v>12.649000000000001</v>
      </c>
      <c r="CA34" s="301">
        <f t="shared" ca="1" si="61"/>
        <v>0.52749999999999997</v>
      </c>
      <c r="CB34" s="312">
        <f t="shared" ca="1" si="62"/>
        <v>13.3208</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Zeile</v>
      </c>
      <c r="J35" s="274" t="str">
        <f ca="1">IF(OR(I36&lt;&gt;"",I37&lt;&gt;"",I38&lt;&gt;"")=TRUE,"Effekt(e)","")</f>
        <v>Effekt(e)</v>
      </c>
      <c r="K35" s="685" t="str">
        <f ca="1">IF(OR(I36&lt;&gt;"",I37&lt;&gt;"",I38&lt;&gt;"")=TRUE,"Einheit und Grenzbereiche","")</f>
        <v>Einheit und Grenzbereiche</v>
      </c>
      <c r="L35" s="685"/>
      <c r="M35" s="269" t="str">
        <f ca="1">IF(OR(I36&lt;&gt;"",I37&lt;&gt;"",I38&lt;&gt;"")=TRUE,"Eingabe","")</f>
        <v>Eingabe</v>
      </c>
      <c r="N35"/>
      <c r="O35" s="358" t="s">
        <v>36</v>
      </c>
      <c r="P35" s="247"/>
      <c r="Q35" s="362">
        <f t="shared" ca="1" si="26"/>
        <v>4.0785</v>
      </c>
      <c r="R35" s="248">
        <f t="shared" ca="1" si="27"/>
        <v>1.9045000000000001</v>
      </c>
      <c r="S35" s="363">
        <f t="shared" ca="1" si="28"/>
        <v>5.9830000000000005</v>
      </c>
      <c r="T35" s="247"/>
      <c r="U35" s="362">
        <f t="shared" ca="1" si="29"/>
        <v>3.9871499999999997</v>
      </c>
      <c r="V35" s="248">
        <f t="shared" ca="1" si="30"/>
        <v>1.8336250000000001</v>
      </c>
      <c r="W35" s="363">
        <f t="shared" ca="1" si="7"/>
        <v>5.8207749999999994</v>
      </c>
      <c r="X35" s="247"/>
      <c r="Y35" s="362">
        <f t="shared" ca="1" si="8"/>
        <v>3.9610499999999997</v>
      </c>
      <c r="Z35" s="248">
        <f t="shared" ca="1" si="9"/>
        <v>1.8133750000000002</v>
      </c>
      <c r="AA35" s="363">
        <f t="shared" ca="1" si="31"/>
        <v>5.7744249999999999</v>
      </c>
      <c r="AB35" s="58" t="str">
        <f ca="1">IF(AND(AA35=MAX($AA$35:$AA$46),AA35&gt;0)=TRUE,"nachmittägliche
Spitzenstunde","")</f>
        <v/>
      </c>
      <c r="AC35" s="495" t="s">
        <v>36</v>
      </c>
      <c r="AD35" s="275"/>
      <c r="AE35" s="303">
        <f t="shared" ca="1" si="33"/>
        <v>-8.6999999999999993</v>
      </c>
      <c r="AF35" s="304">
        <f t="shared" ca="1" si="34"/>
        <v>6.75</v>
      </c>
      <c r="AG35" s="305">
        <f t="shared" ca="1" si="10"/>
        <v>-13</v>
      </c>
      <c r="AH35" s="304">
        <f t="shared" ca="1" si="11"/>
        <v>5.2</v>
      </c>
      <c r="AI35" s="305">
        <f t="shared" ca="1" si="12"/>
        <v>-8.75</v>
      </c>
      <c r="AJ35" s="306">
        <f t="shared" ca="1" si="13"/>
        <v>7</v>
      </c>
      <c r="AK35" s="313"/>
      <c r="AL35" s="307">
        <f t="shared" ca="1" si="35"/>
        <v>0.26099999999999995</v>
      </c>
      <c r="AM35" s="308">
        <f t="shared" ca="1" si="36"/>
        <v>0.20250000000000001</v>
      </c>
      <c r="AN35" s="309">
        <f t="shared" ca="1" si="37"/>
        <v>0.46349999999999997</v>
      </c>
      <c r="AO35" s="310">
        <f t="shared" ca="1" si="38"/>
        <v>3.38</v>
      </c>
      <c r="AP35" s="308">
        <f t="shared" ca="1" si="39"/>
        <v>1.3520000000000001</v>
      </c>
      <c r="AQ35" s="309">
        <f t="shared" ca="1" si="40"/>
        <v>4.7320000000000002</v>
      </c>
      <c r="AR35" s="310">
        <f t="shared" ca="1" si="41"/>
        <v>0.4375</v>
      </c>
      <c r="AS35" s="308">
        <f t="shared" ca="1" si="42"/>
        <v>0.35</v>
      </c>
      <c r="AT35" s="309">
        <f t="shared" ca="1" si="43"/>
        <v>0.78749999999999998</v>
      </c>
      <c r="AU35" s="310">
        <f t="shared" ca="1" si="44"/>
        <v>4.0785</v>
      </c>
      <c r="AV35" s="309">
        <f t="shared" ca="1" si="45"/>
        <v>1.9045000000000001</v>
      </c>
      <c r="AW35" s="311">
        <f t="shared" ca="1" si="46"/>
        <v>5.9830000000000005</v>
      </c>
      <c r="AX35" s="314"/>
      <c r="AY35" s="307">
        <f t="shared" ca="1" si="14"/>
        <v>0.16964999999999997</v>
      </c>
      <c r="AZ35" s="308">
        <f t="shared" ca="1" si="15"/>
        <v>0.13162500000000002</v>
      </c>
      <c r="BA35" s="309">
        <f t="shared" ca="1" si="47"/>
        <v>0.30127499999999996</v>
      </c>
      <c r="BB35" s="310">
        <f t="shared" ca="1" si="16"/>
        <v>3.38</v>
      </c>
      <c r="BC35" s="308">
        <f t="shared" ca="1" si="17"/>
        <v>1.3520000000000001</v>
      </c>
      <c r="BD35" s="309">
        <f t="shared" ca="1" si="48"/>
        <v>4.7320000000000002</v>
      </c>
      <c r="BE35" s="310">
        <f t="shared" ca="1" si="18"/>
        <v>0.4375</v>
      </c>
      <c r="BF35" s="308">
        <f t="shared" ca="1" si="19"/>
        <v>0.35</v>
      </c>
      <c r="BG35" s="309">
        <f t="shared" ca="1" si="49"/>
        <v>0.78749999999999998</v>
      </c>
      <c r="BH35" s="310">
        <f t="shared" ca="1" si="50"/>
        <v>3.9871499999999997</v>
      </c>
      <c r="BI35" s="309">
        <f t="shared" ca="1" si="51"/>
        <v>1.8336250000000001</v>
      </c>
      <c r="BJ35" s="311">
        <f t="shared" ca="1" si="52"/>
        <v>5.8207749999999994</v>
      </c>
      <c r="BK35" s="314"/>
      <c r="BL35" s="307">
        <f t="shared" ca="1" si="20"/>
        <v>0.14354999999999996</v>
      </c>
      <c r="BM35" s="308">
        <f t="shared" ca="1" si="21"/>
        <v>0.11137500000000002</v>
      </c>
      <c r="BN35" s="309">
        <f t="shared" ca="1" si="53"/>
        <v>0.25492499999999996</v>
      </c>
      <c r="BO35" s="310">
        <f t="shared" ca="1" si="22"/>
        <v>3.38</v>
      </c>
      <c r="BP35" s="308">
        <f t="shared" ca="1" si="23"/>
        <v>1.3520000000000001</v>
      </c>
      <c r="BQ35" s="309">
        <f t="shared" ca="1" si="54"/>
        <v>4.7320000000000002</v>
      </c>
      <c r="BR35" s="310">
        <f t="shared" ca="1" si="24"/>
        <v>0.4375</v>
      </c>
      <c r="BS35" s="308">
        <f t="shared" ca="1" si="25"/>
        <v>0.35</v>
      </c>
      <c r="BT35" s="309">
        <f t="shared" ca="1" si="55"/>
        <v>0.78749999999999998</v>
      </c>
      <c r="BU35" s="310">
        <f t="shared" ca="1" si="56"/>
        <v>3.9610499999999997</v>
      </c>
      <c r="BV35" s="309">
        <f t="shared" ca="1" si="57"/>
        <v>1.8133750000000002</v>
      </c>
      <c r="BW35" s="311">
        <f t="shared" ca="1" si="58"/>
        <v>5.7744249999999999</v>
      </c>
      <c r="BX35" s="314"/>
      <c r="BY35" s="300">
        <f t="shared" ca="1" si="59"/>
        <v>0.10627500000000015</v>
      </c>
      <c r="BZ35" s="301">
        <f t="shared" ca="1" si="60"/>
        <v>10.621000000000002</v>
      </c>
      <c r="CA35" s="301">
        <f t="shared" ca="1" si="61"/>
        <v>0.43999999999999995</v>
      </c>
      <c r="CB35" s="312">
        <f t="shared" ca="1" si="62"/>
        <v>11.167275000000002</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678" t="str">
        <f ca="1">IF(OR(M36&lt;B36,M36&gt;C36)=TRUE,"FEHLER","")</f>
        <v/>
      </c>
      <c r="E36" s="679"/>
      <c r="F36" s="679"/>
      <c r="G36" s="472">
        <f ca="1">IF(J36&lt;&gt;"",1,"")</f>
        <v>1</v>
      </c>
      <c r="I36" s="242" t="str">
        <f ca="1">IF(J36&lt;&gt;"","n","")</f>
        <v>n</v>
      </c>
      <c r="J36" s="270" t="str">
        <f ca="1">IF($C$8=1,INDIRECT(ADDRESS($D$8,$F$4-1,,,$B$4)),IF(AND($C$8=0,$C$9=1)=TRUE,INDIRECT(ADDRESS($D$9,$F$4-1,,,$B$4)),IF(AND($C$8=0,$C$9=0,$C$10=1)=TRUE,INDIRECT(ADDRESS($D$10,$F$4-1,,,$B$4)),"")))</f>
        <v>Verbundeffekt(e)</v>
      </c>
      <c r="K36" s="680" t="str">
        <f ca="1">IF($C$8=1,INDIRECT(ADDRESS($D$8,$F$4,,,$B$4)),IF(AND($C$8=0,$C$9=1)=TRUE,INDIRECT(ADDRESS($D$9,$F$4,,,$B$4)),IF(AND($C$8=0,$C$9=0,$C$10=1)=TRUE,INDIRECT(ADDRESS($D$10,$F$4,,,$B$4)),"")))</f>
        <v>10 - 30 %</v>
      </c>
      <c r="L36" s="680"/>
      <c r="M36" s="271">
        <v>20</v>
      </c>
      <c r="N36" s="5"/>
      <c r="O36" s="358" t="s">
        <v>37</v>
      </c>
      <c r="P36" s="247"/>
      <c r="Q36" s="362">
        <f t="shared" ca="1" si="26"/>
        <v>3.6195000000000004</v>
      </c>
      <c r="R36" s="248">
        <f t="shared" ca="1" si="27"/>
        <v>3.9575000000000005</v>
      </c>
      <c r="S36" s="363">
        <f t="shared" ca="1" si="28"/>
        <v>7.5770000000000008</v>
      </c>
      <c r="T36" s="247"/>
      <c r="U36" s="362">
        <f t="shared" ca="1" si="29"/>
        <v>3.5575500000000004</v>
      </c>
      <c r="V36" s="248">
        <f t="shared" ca="1" si="30"/>
        <v>3.9055250000000008</v>
      </c>
      <c r="W36" s="363">
        <f t="shared" ca="1" si="7"/>
        <v>7.4630750000000017</v>
      </c>
      <c r="X36" s="247"/>
      <c r="Y36" s="362">
        <f t="shared" ca="1" si="8"/>
        <v>3.5398500000000004</v>
      </c>
      <c r="Z36" s="248">
        <f t="shared" ca="1" si="9"/>
        <v>3.8906750000000008</v>
      </c>
      <c r="AA36" s="363">
        <f t="shared" ca="1" si="31"/>
        <v>7.4305250000000012</v>
      </c>
      <c r="AB36" s="58" t="str">
        <f t="shared" ref="AB36:AB46" ca="1" si="63">IF(AND(AA36=MAX($AA$35:$AA$46),AA36&gt;0)=TRUE,"nachmittägliche
Spitzenstunde","")</f>
        <v>nachmittägliche
Spitzenstunde</v>
      </c>
      <c r="AC36" s="495" t="s">
        <v>37</v>
      </c>
      <c r="AD36" s="275"/>
      <c r="AE36" s="303">
        <f t="shared" ca="1" si="33"/>
        <v>-5.9</v>
      </c>
      <c r="AF36" s="304">
        <f t="shared" ca="1" si="34"/>
        <v>4.95</v>
      </c>
      <c r="AG36" s="305">
        <f t="shared" ca="1" si="10"/>
        <v>-11.75</v>
      </c>
      <c r="AH36" s="304">
        <f t="shared" ca="1" si="11"/>
        <v>13.4</v>
      </c>
      <c r="AI36" s="305">
        <f t="shared" ca="1" si="12"/>
        <v>-7.75</v>
      </c>
      <c r="AJ36" s="306">
        <f t="shared" ca="1" si="13"/>
        <v>6.5</v>
      </c>
      <c r="AK36" s="280"/>
      <c r="AL36" s="307">
        <f t="shared" ca="1" si="35"/>
        <v>0.17700000000000002</v>
      </c>
      <c r="AM36" s="308">
        <f t="shared" ca="1" si="36"/>
        <v>0.14850000000000002</v>
      </c>
      <c r="AN36" s="309">
        <f t="shared" ca="1" si="37"/>
        <v>0.32550000000000001</v>
      </c>
      <c r="AO36" s="310">
        <f t="shared" ca="1" si="38"/>
        <v>3.0550000000000002</v>
      </c>
      <c r="AP36" s="308">
        <f t="shared" ca="1" si="39"/>
        <v>3.4840000000000004</v>
      </c>
      <c r="AQ36" s="309">
        <f t="shared" ca="1" si="40"/>
        <v>6.5390000000000006</v>
      </c>
      <c r="AR36" s="310">
        <f t="shared" ca="1" si="41"/>
        <v>0.38750000000000001</v>
      </c>
      <c r="AS36" s="308">
        <f t="shared" ca="1" si="42"/>
        <v>0.32500000000000001</v>
      </c>
      <c r="AT36" s="309">
        <f t="shared" ca="1" si="43"/>
        <v>0.71250000000000002</v>
      </c>
      <c r="AU36" s="310">
        <f t="shared" ca="1" si="44"/>
        <v>3.6195000000000004</v>
      </c>
      <c r="AV36" s="309">
        <f t="shared" ca="1" si="45"/>
        <v>3.9575000000000005</v>
      </c>
      <c r="AW36" s="311">
        <f t="shared" ca="1" si="46"/>
        <v>7.5770000000000008</v>
      </c>
      <c r="AX36" s="286"/>
      <c r="AY36" s="307">
        <f t="shared" ca="1" si="14"/>
        <v>0.11505000000000001</v>
      </c>
      <c r="AZ36" s="308">
        <f t="shared" ca="1" si="15"/>
        <v>9.6525000000000014E-2</v>
      </c>
      <c r="BA36" s="309">
        <f t="shared" ca="1" si="47"/>
        <v>0.21157500000000001</v>
      </c>
      <c r="BB36" s="310">
        <f t="shared" ca="1" si="16"/>
        <v>3.0550000000000002</v>
      </c>
      <c r="BC36" s="308">
        <f t="shared" ca="1" si="17"/>
        <v>3.4840000000000004</v>
      </c>
      <c r="BD36" s="309">
        <f t="shared" ca="1" si="48"/>
        <v>6.5390000000000006</v>
      </c>
      <c r="BE36" s="310">
        <f t="shared" ca="1" si="18"/>
        <v>0.38750000000000001</v>
      </c>
      <c r="BF36" s="308">
        <f t="shared" ca="1" si="19"/>
        <v>0.32500000000000001</v>
      </c>
      <c r="BG36" s="309">
        <f t="shared" ca="1" si="49"/>
        <v>0.71250000000000002</v>
      </c>
      <c r="BH36" s="310">
        <f t="shared" ca="1" si="50"/>
        <v>3.5575500000000004</v>
      </c>
      <c r="BI36" s="309">
        <f t="shared" ca="1" si="51"/>
        <v>3.9055250000000008</v>
      </c>
      <c r="BJ36" s="311">
        <f t="shared" ca="1" si="52"/>
        <v>7.4630750000000017</v>
      </c>
      <c r="BK36" s="286"/>
      <c r="BL36" s="307">
        <f t="shared" ca="1" si="20"/>
        <v>9.7350000000000006E-2</v>
      </c>
      <c r="BM36" s="308">
        <f t="shared" ca="1" si="21"/>
        <v>8.1674999999999998E-2</v>
      </c>
      <c r="BN36" s="309">
        <f t="shared" ca="1" si="53"/>
        <v>0.17902499999999999</v>
      </c>
      <c r="BO36" s="310">
        <f t="shared" ca="1" si="22"/>
        <v>3.0550000000000002</v>
      </c>
      <c r="BP36" s="308">
        <f t="shared" ca="1" si="23"/>
        <v>3.4840000000000004</v>
      </c>
      <c r="BQ36" s="309">
        <f t="shared" ca="1" si="54"/>
        <v>6.5390000000000006</v>
      </c>
      <c r="BR36" s="310">
        <f t="shared" ca="1" si="24"/>
        <v>0.38750000000000001</v>
      </c>
      <c r="BS36" s="308">
        <f t="shared" ca="1" si="25"/>
        <v>0.32500000000000001</v>
      </c>
      <c r="BT36" s="309">
        <f t="shared" ca="1" si="55"/>
        <v>0.71250000000000002</v>
      </c>
      <c r="BU36" s="310">
        <f t="shared" ca="1" si="56"/>
        <v>3.5398500000000004</v>
      </c>
      <c r="BV36" s="309">
        <f t="shared" ca="1" si="57"/>
        <v>3.8906750000000008</v>
      </c>
      <c r="BW36" s="311">
        <f t="shared" ca="1" si="58"/>
        <v>7.4305250000000012</v>
      </c>
      <c r="BX36" s="286"/>
      <c r="BY36" s="300">
        <f t="shared" ca="1" si="59"/>
        <v>8.7750000000000147E-2</v>
      </c>
      <c r="BZ36" s="301">
        <f t="shared" ca="1" si="60"/>
        <v>11.050000000000002</v>
      </c>
      <c r="CA36" s="301">
        <f t="shared" ca="1" si="61"/>
        <v>0.37749999999999995</v>
      </c>
      <c r="CB36" s="312">
        <f t="shared" ca="1" si="62"/>
        <v>11.515250000000002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678" t="str">
        <f ca="1">IF(OR(M37&lt;B37,M37&gt;C37)=TRUE,"FEHLER","")</f>
        <v/>
      </c>
      <c r="E37" s="679"/>
      <c r="F37" s="679"/>
      <c r="G37" s="472">
        <f ca="1">IF(J37&lt;&gt;"",1,"")</f>
        <v>1</v>
      </c>
      <c r="I37" s="242" t="str">
        <f ca="1">IF(J37&lt;&gt;"","o","")</f>
        <v>o</v>
      </c>
      <c r="J37" s="270" t="str">
        <f ca="1">IF(AND($C$8=1,$C$9=1)=TRUE,INDIRECT(ADDRESS($D$9,$F$4-1,,,$B$4)),IF(AND($C$8=1,$C$10=1)=TRUE,INDIRECT(ADDRESS($D$10,$F$4-1,,,$B$4)),IF(AND($C$9=1,$C$10=1)=TRUE,INDIRECT(ADDRESS($D$10,$F$4-1,,,$B$4)),"")))</f>
        <v>Mitnahmeeffekt(e)</v>
      </c>
      <c r="K37" s="680" t="str">
        <f ca="1">IF(AND($C$8=1,$C$9=1)=TRUE,INDIRECT(ADDRESS($D$9,$F$4,,,$B$4)),IF(AND($C$8=1,$C$10=1)=TRUE,INDIRECT(ADDRESS($D$10,$F$4,,,$B$4)),IF(AND($C$9=1,$C$10=1)=TRUE,INDIRECT(ADDRESS($D$10,$F$4,,,$B$4)),"")))</f>
        <v>5 - 35 %</v>
      </c>
      <c r="L37" s="680"/>
      <c r="M37" s="271">
        <v>10</v>
      </c>
      <c r="N37" s="6"/>
      <c r="O37" s="358" t="s">
        <v>38</v>
      </c>
      <c r="P37" s="247"/>
      <c r="Q37" s="362">
        <f t="shared" ca="1" si="26"/>
        <v>2.02</v>
      </c>
      <c r="R37" s="248">
        <f t="shared" ca="1" si="27"/>
        <v>1.8855000000000002</v>
      </c>
      <c r="S37" s="363">
        <f t="shared" ca="1" si="28"/>
        <v>3.9055</v>
      </c>
      <c r="T37" s="247"/>
      <c r="U37" s="362">
        <f t="shared" ca="1" si="29"/>
        <v>1.9570000000000001</v>
      </c>
      <c r="V37" s="248">
        <f t="shared" ca="1" si="30"/>
        <v>1.8219750000000001</v>
      </c>
      <c r="W37" s="363">
        <f t="shared" ca="1" si="7"/>
        <v>3.778975</v>
      </c>
      <c r="X37" s="247"/>
      <c r="Y37" s="362">
        <f t="shared" ca="1" si="8"/>
        <v>1.9390000000000001</v>
      </c>
      <c r="Z37" s="248">
        <f t="shared" ca="1" si="9"/>
        <v>1.8038250000000002</v>
      </c>
      <c r="AA37" s="363">
        <f t="shared" ca="1" si="31"/>
        <v>3.7428250000000003</v>
      </c>
      <c r="AB37" s="58" t="str">
        <f t="shared" ca="1" si="63"/>
        <v/>
      </c>
      <c r="AC37" s="495" t="s">
        <v>38</v>
      </c>
      <c r="AD37" s="275"/>
      <c r="AE37" s="303">
        <f t="shared" ca="1" si="33"/>
        <v>-6</v>
      </c>
      <c r="AF37" s="304">
        <f t="shared" ca="1" si="34"/>
        <v>6.05</v>
      </c>
      <c r="AG37" s="305">
        <f t="shared" ca="1" si="10"/>
        <v>-6</v>
      </c>
      <c r="AH37" s="304">
        <f t="shared" ca="1" si="11"/>
        <v>5.4</v>
      </c>
      <c r="AI37" s="305">
        <f t="shared" ca="1" si="12"/>
        <v>-5.6</v>
      </c>
      <c r="AJ37" s="306">
        <f t="shared" ca="1" si="13"/>
        <v>6</v>
      </c>
      <c r="AK37" s="280"/>
      <c r="AL37" s="307">
        <f t="shared" ca="1" si="35"/>
        <v>0.18</v>
      </c>
      <c r="AM37" s="308">
        <f t="shared" ca="1" si="36"/>
        <v>0.18149999999999999</v>
      </c>
      <c r="AN37" s="309">
        <f t="shared" ca="1" si="37"/>
        <v>0.36149999999999999</v>
      </c>
      <c r="AO37" s="310">
        <f t="shared" ca="1" si="38"/>
        <v>1.56</v>
      </c>
      <c r="AP37" s="308">
        <f t="shared" ca="1" si="39"/>
        <v>1.4040000000000001</v>
      </c>
      <c r="AQ37" s="309">
        <f t="shared" ca="1" si="40"/>
        <v>2.9640000000000004</v>
      </c>
      <c r="AR37" s="310">
        <f t="shared" ca="1" si="41"/>
        <v>0.28000000000000003</v>
      </c>
      <c r="AS37" s="308">
        <f t="shared" ca="1" si="42"/>
        <v>0.3</v>
      </c>
      <c r="AT37" s="309">
        <f t="shared" ca="1" si="43"/>
        <v>0.58000000000000007</v>
      </c>
      <c r="AU37" s="310">
        <f t="shared" ca="1" si="44"/>
        <v>2.02</v>
      </c>
      <c r="AV37" s="309">
        <f t="shared" ca="1" si="45"/>
        <v>1.8855000000000002</v>
      </c>
      <c r="AW37" s="311">
        <f t="shared" ca="1" si="46"/>
        <v>3.9055</v>
      </c>
      <c r="AX37" s="286"/>
      <c r="AY37" s="307">
        <f t="shared" ca="1" si="14"/>
        <v>0.11699999999999999</v>
      </c>
      <c r="AZ37" s="308">
        <f t="shared" ca="1" si="15"/>
        <v>0.117975</v>
      </c>
      <c r="BA37" s="309">
        <f t="shared" ca="1" si="47"/>
        <v>0.23497499999999999</v>
      </c>
      <c r="BB37" s="310">
        <f t="shared" ca="1" si="16"/>
        <v>1.56</v>
      </c>
      <c r="BC37" s="308">
        <f t="shared" ca="1" si="17"/>
        <v>1.4040000000000001</v>
      </c>
      <c r="BD37" s="309">
        <f t="shared" ca="1" si="48"/>
        <v>2.9640000000000004</v>
      </c>
      <c r="BE37" s="310">
        <f t="shared" ca="1" si="18"/>
        <v>0.28000000000000003</v>
      </c>
      <c r="BF37" s="308">
        <f t="shared" ca="1" si="19"/>
        <v>0.3</v>
      </c>
      <c r="BG37" s="309">
        <f t="shared" ca="1" si="49"/>
        <v>0.58000000000000007</v>
      </c>
      <c r="BH37" s="310">
        <f t="shared" ca="1" si="50"/>
        <v>1.9570000000000001</v>
      </c>
      <c r="BI37" s="309">
        <f t="shared" ca="1" si="51"/>
        <v>1.8219750000000001</v>
      </c>
      <c r="BJ37" s="311">
        <f t="shared" ca="1" si="52"/>
        <v>3.778975</v>
      </c>
      <c r="BK37" s="286"/>
      <c r="BL37" s="307">
        <f t="shared" ca="1" si="20"/>
        <v>9.9000000000000005E-2</v>
      </c>
      <c r="BM37" s="308">
        <f t="shared" ca="1" si="21"/>
        <v>9.9824999999999997E-2</v>
      </c>
      <c r="BN37" s="309">
        <f t="shared" ca="1" si="53"/>
        <v>0.198825</v>
      </c>
      <c r="BO37" s="310">
        <f t="shared" ca="1" si="22"/>
        <v>1.56</v>
      </c>
      <c r="BP37" s="308">
        <f t="shared" ca="1" si="23"/>
        <v>1.4040000000000001</v>
      </c>
      <c r="BQ37" s="309">
        <f t="shared" ca="1" si="54"/>
        <v>2.9640000000000004</v>
      </c>
      <c r="BR37" s="310">
        <f t="shared" ca="1" si="24"/>
        <v>0.28000000000000003</v>
      </c>
      <c r="BS37" s="308">
        <f t="shared" ca="1" si="25"/>
        <v>0.3</v>
      </c>
      <c r="BT37" s="309">
        <f t="shared" ca="1" si="55"/>
        <v>0.58000000000000007</v>
      </c>
      <c r="BU37" s="310">
        <f t="shared" ca="1" si="56"/>
        <v>1.9390000000000001</v>
      </c>
      <c r="BV37" s="309">
        <f t="shared" ca="1" si="57"/>
        <v>1.8038250000000002</v>
      </c>
      <c r="BW37" s="311">
        <f t="shared" ca="1" si="58"/>
        <v>3.7428250000000003</v>
      </c>
      <c r="BX37" s="286"/>
      <c r="BY37" s="300">
        <f t="shared" ca="1" si="59"/>
        <v>8.8725000000000151E-2</v>
      </c>
      <c r="BZ37" s="301">
        <f t="shared" ca="1" si="60"/>
        <v>10.894000000000002</v>
      </c>
      <c r="CA37" s="301">
        <f t="shared" ca="1" si="61"/>
        <v>0.39749999999999991</v>
      </c>
      <c r="CB37" s="312">
        <f t="shared" ca="1" si="62"/>
        <v>11.380225000000001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15</v>
      </c>
      <c r="C38" s="526">
        <f ca="1">IF(AND($C$8=1,$C$9=1,$C$10=1)=TRUE,INDIRECT(ADDRESS($D$10,$F$4+2,,,$B$4)),0)</f>
        <v>15</v>
      </c>
      <c r="D38" s="668" t="str">
        <f ca="1">IF(OR(M38&lt;B38,M38&gt;C38)=TRUE,"FEHLER","")</f>
        <v/>
      </c>
      <c r="E38" s="669"/>
      <c r="F38" s="669"/>
      <c r="G38" s="473">
        <f ca="1">IF(J38&lt;&gt;"",1,"")</f>
        <v>1</v>
      </c>
      <c r="I38" s="6" t="str">
        <f ca="1">IF(J38&lt;&gt;"","p","")</f>
        <v>p</v>
      </c>
      <c r="J38" s="9" t="str">
        <f ca="1">IF(AND($C$8=1,$C$9=1,$C$10=1)=TRUE,INDIRECT(ADDRESS($D$10,$F$4-1,,,$B$4)),"")</f>
        <v>Konkurrenzeffekt(e)</v>
      </c>
      <c r="K38" s="673" t="str">
        <f ca="1">IF(AND($C$8=1,$C$9=1,$C$10=1)=TRUE,INDIRECT(ADDRESS($D$10,$F$4,,,$B$4)),"")</f>
        <v>&gt; 15 %</v>
      </c>
      <c r="L38" s="673"/>
      <c r="M38" s="70">
        <v>15</v>
      </c>
      <c r="N38" s="6"/>
      <c r="O38" s="358" t="s">
        <v>39</v>
      </c>
      <c r="P38" s="247"/>
      <c r="Q38" s="362">
        <f t="shared" ca="1" si="26"/>
        <v>2.347</v>
      </c>
      <c r="R38" s="248">
        <f t="shared" ca="1" si="27"/>
        <v>1.0509999999999999</v>
      </c>
      <c r="S38" s="363">
        <f t="shared" ca="1" si="28"/>
        <v>3.3979999999999997</v>
      </c>
      <c r="T38" s="247"/>
      <c r="U38" s="362">
        <f t="shared" ca="1" si="29"/>
        <v>2.28505</v>
      </c>
      <c r="V38" s="248">
        <f t="shared" ca="1" si="30"/>
        <v>0.97802499999999992</v>
      </c>
      <c r="W38" s="363">
        <f t="shared" ca="1" si="7"/>
        <v>3.2630749999999997</v>
      </c>
      <c r="X38" s="247"/>
      <c r="Y38" s="362">
        <f t="shared" ca="1" si="8"/>
        <v>2.26735</v>
      </c>
      <c r="Z38" s="248">
        <f t="shared" ca="1" si="9"/>
        <v>0.95717500000000011</v>
      </c>
      <c r="AA38" s="363">
        <f t="shared" ca="1" si="31"/>
        <v>3.2245249999999999</v>
      </c>
      <c r="AB38" s="58" t="str">
        <f t="shared" ca="1" si="63"/>
        <v/>
      </c>
      <c r="AC38" s="495" t="s">
        <v>39</v>
      </c>
      <c r="AD38" s="275"/>
      <c r="AE38" s="303">
        <f t="shared" ca="1" si="33"/>
        <v>-5.9</v>
      </c>
      <c r="AF38" s="304">
        <f t="shared" ca="1" si="34"/>
        <v>6.95</v>
      </c>
      <c r="AG38" s="305">
        <f t="shared" ca="1" si="10"/>
        <v>-7</v>
      </c>
      <c r="AH38" s="304">
        <f t="shared" ca="1" si="11"/>
        <v>1.75</v>
      </c>
      <c r="AI38" s="305">
        <f t="shared" ca="1" si="12"/>
        <v>-7</v>
      </c>
      <c r="AJ38" s="306">
        <f t="shared" ca="1" si="13"/>
        <v>7.75</v>
      </c>
      <c r="AK38" s="280"/>
      <c r="AL38" s="307">
        <f t="shared" ca="1" si="35"/>
        <v>0.17700000000000002</v>
      </c>
      <c r="AM38" s="308">
        <f t="shared" ca="1" si="36"/>
        <v>0.20850000000000002</v>
      </c>
      <c r="AN38" s="309">
        <f t="shared" ca="1" si="37"/>
        <v>0.38550000000000006</v>
      </c>
      <c r="AO38" s="310">
        <f t="shared" ca="1" si="38"/>
        <v>1.82</v>
      </c>
      <c r="AP38" s="308">
        <f t="shared" ca="1" si="39"/>
        <v>0.45500000000000002</v>
      </c>
      <c r="AQ38" s="309">
        <f t="shared" ca="1" si="40"/>
        <v>2.2749999999999999</v>
      </c>
      <c r="AR38" s="310">
        <f t="shared" ca="1" si="41"/>
        <v>0.35</v>
      </c>
      <c r="AS38" s="308">
        <f t="shared" ca="1" si="42"/>
        <v>0.38750000000000001</v>
      </c>
      <c r="AT38" s="309">
        <f t="shared" ca="1" si="43"/>
        <v>0.73750000000000004</v>
      </c>
      <c r="AU38" s="310">
        <f t="shared" ca="1" si="44"/>
        <v>2.347</v>
      </c>
      <c r="AV38" s="309">
        <f t="shared" ca="1" si="45"/>
        <v>1.0509999999999999</v>
      </c>
      <c r="AW38" s="311">
        <f t="shared" ca="1" si="46"/>
        <v>3.3979999999999997</v>
      </c>
      <c r="AX38" s="286"/>
      <c r="AY38" s="307">
        <f t="shared" ca="1" si="14"/>
        <v>0.11505000000000001</v>
      </c>
      <c r="AZ38" s="308">
        <f t="shared" ca="1" si="15"/>
        <v>0.13552500000000001</v>
      </c>
      <c r="BA38" s="309">
        <f t="shared" ca="1" si="47"/>
        <v>0.25057499999999999</v>
      </c>
      <c r="BB38" s="310">
        <f t="shared" ca="1" si="16"/>
        <v>1.82</v>
      </c>
      <c r="BC38" s="308">
        <f t="shared" ca="1" si="17"/>
        <v>0.45500000000000002</v>
      </c>
      <c r="BD38" s="309">
        <f t="shared" ca="1" si="48"/>
        <v>2.2749999999999999</v>
      </c>
      <c r="BE38" s="310">
        <f t="shared" ca="1" si="18"/>
        <v>0.35</v>
      </c>
      <c r="BF38" s="308">
        <f t="shared" ca="1" si="19"/>
        <v>0.38750000000000001</v>
      </c>
      <c r="BG38" s="309">
        <f t="shared" ca="1" si="49"/>
        <v>0.73750000000000004</v>
      </c>
      <c r="BH38" s="310">
        <f t="shared" ca="1" si="50"/>
        <v>2.28505</v>
      </c>
      <c r="BI38" s="309">
        <f t="shared" ca="1" si="51"/>
        <v>0.97802499999999992</v>
      </c>
      <c r="BJ38" s="311">
        <f t="shared" ca="1" si="52"/>
        <v>3.2630749999999997</v>
      </c>
      <c r="BK38" s="286"/>
      <c r="BL38" s="307">
        <f t="shared" ca="1" si="20"/>
        <v>9.7350000000000006E-2</v>
      </c>
      <c r="BM38" s="308">
        <f t="shared" ca="1" si="21"/>
        <v>0.11467500000000001</v>
      </c>
      <c r="BN38" s="309">
        <f t="shared" ca="1" si="53"/>
        <v>0.21202500000000002</v>
      </c>
      <c r="BO38" s="310">
        <f t="shared" ca="1" si="22"/>
        <v>1.82</v>
      </c>
      <c r="BP38" s="308">
        <f t="shared" ca="1" si="23"/>
        <v>0.45500000000000002</v>
      </c>
      <c r="BQ38" s="309">
        <f t="shared" ca="1" si="54"/>
        <v>2.2749999999999999</v>
      </c>
      <c r="BR38" s="310">
        <f t="shared" ca="1" si="24"/>
        <v>0.35</v>
      </c>
      <c r="BS38" s="308">
        <f t="shared" ca="1" si="25"/>
        <v>0.38750000000000001</v>
      </c>
      <c r="BT38" s="309">
        <f t="shared" ca="1" si="55"/>
        <v>0.73750000000000004</v>
      </c>
      <c r="BU38" s="310">
        <f t="shared" ca="1" si="56"/>
        <v>2.26735</v>
      </c>
      <c r="BV38" s="309">
        <f t="shared" ca="1" si="57"/>
        <v>0.95717500000000011</v>
      </c>
      <c r="BW38" s="311">
        <f t="shared" ca="1" si="58"/>
        <v>3.2245249999999999</v>
      </c>
      <c r="BX38" s="286"/>
      <c r="BY38" s="300">
        <f t="shared" ca="1" si="59"/>
        <v>0.10920000000000014</v>
      </c>
      <c r="BZ38" s="301">
        <f t="shared" ca="1" si="60"/>
        <v>9.5290000000000017</v>
      </c>
      <c r="CA38" s="301">
        <f t="shared" ca="1" si="61"/>
        <v>0.43499999999999994</v>
      </c>
      <c r="CB38" s="312">
        <f t="shared" ca="1" si="62"/>
        <v>10.073200000000002</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6"/>
        <v>3.7445000000000004</v>
      </c>
      <c r="R39" s="248">
        <f t="shared" ca="1" si="27"/>
        <v>0.95200000000000007</v>
      </c>
      <c r="S39" s="363">
        <f t="shared" ca="1" si="28"/>
        <v>4.6965000000000003</v>
      </c>
      <c r="T39" s="247"/>
      <c r="U39" s="362">
        <f t="shared" ca="1" si="29"/>
        <v>3.6563000000000003</v>
      </c>
      <c r="V39" s="248">
        <f t="shared" ca="1" si="30"/>
        <v>0.85067500000000007</v>
      </c>
      <c r="W39" s="363">
        <f t="shared" ca="1" si="7"/>
        <v>4.5069750000000006</v>
      </c>
      <c r="X39" s="247"/>
      <c r="Y39" s="362">
        <f t="shared" ca="1" si="8"/>
        <v>3.6311</v>
      </c>
      <c r="Z39" s="248">
        <f t="shared" ca="1" si="9"/>
        <v>0.82172500000000004</v>
      </c>
      <c r="AA39" s="363">
        <f t="shared" ca="1" si="31"/>
        <v>4.4528249999999998</v>
      </c>
      <c r="AB39" s="58" t="str">
        <f t="shared" ca="1" si="63"/>
        <v/>
      </c>
      <c r="AC39" s="495" t="s">
        <v>40</v>
      </c>
      <c r="AD39" s="275"/>
      <c r="AE39" s="303">
        <f t="shared" ca="1" si="33"/>
        <v>-8.4</v>
      </c>
      <c r="AF39" s="304">
        <f t="shared" ca="1" si="34"/>
        <v>9.65</v>
      </c>
      <c r="AG39" s="305">
        <f t="shared" ca="1" si="10"/>
        <v>-11.75</v>
      </c>
      <c r="AH39" s="304">
        <f t="shared" ca="1" si="11"/>
        <v>1.25</v>
      </c>
      <c r="AI39" s="305">
        <f t="shared" ca="1" si="12"/>
        <v>-8.75</v>
      </c>
      <c r="AJ39" s="306">
        <f t="shared" ca="1" si="13"/>
        <v>6.75</v>
      </c>
      <c r="AK39" s="280"/>
      <c r="AL39" s="307">
        <f t="shared" ca="1" si="35"/>
        <v>0.252</v>
      </c>
      <c r="AM39" s="308">
        <f t="shared" ca="1" si="36"/>
        <v>0.28950000000000004</v>
      </c>
      <c r="AN39" s="309">
        <f t="shared" ca="1" si="37"/>
        <v>0.54150000000000009</v>
      </c>
      <c r="AO39" s="310">
        <f t="shared" ca="1" si="38"/>
        <v>3.0550000000000002</v>
      </c>
      <c r="AP39" s="308">
        <f t="shared" ca="1" si="39"/>
        <v>0.32500000000000001</v>
      </c>
      <c r="AQ39" s="309">
        <f t="shared" ca="1" si="40"/>
        <v>3.3800000000000003</v>
      </c>
      <c r="AR39" s="310">
        <f t="shared" ca="1" si="41"/>
        <v>0.4375</v>
      </c>
      <c r="AS39" s="308">
        <f t="shared" ca="1" si="42"/>
        <v>0.33750000000000002</v>
      </c>
      <c r="AT39" s="309">
        <f t="shared" ca="1" si="43"/>
        <v>0.77500000000000002</v>
      </c>
      <c r="AU39" s="310">
        <f t="shared" ca="1" si="44"/>
        <v>3.7445000000000004</v>
      </c>
      <c r="AV39" s="309">
        <f t="shared" ca="1" si="45"/>
        <v>0.95200000000000007</v>
      </c>
      <c r="AW39" s="311">
        <f t="shared" ca="1" si="46"/>
        <v>4.6965000000000003</v>
      </c>
      <c r="AX39" s="286"/>
      <c r="AY39" s="307">
        <f t="shared" ca="1" si="14"/>
        <v>0.1638</v>
      </c>
      <c r="AZ39" s="308">
        <f t="shared" ca="1" si="15"/>
        <v>0.18817500000000004</v>
      </c>
      <c r="BA39" s="309">
        <f t="shared" ca="1" si="47"/>
        <v>0.35197500000000004</v>
      </c>
      <c r="BB39" s="310">
        <f t="shared" ca="1" si="16"/>
        <v>3.0550000000000002</v>
      </c>
      <c r="BC39" s="308">
        <f t="shared" ca="1" si="17"/>
        <v>0.32500000000000001</v>
      </c>
      <c r="BD39" s="309">
        <f t="shared" ca="1" si="48"/>
        <v>3.3800000000000003</v>
      </c>
      <c r="BE39" s="310">
        <f t="shared" ca="1" si="18"/>
        <v>0.4375</v>
      </c>
      <c r="BF39" s="308">
        <f t="shared" ca="1" si="19"/>
        <v>0.33750000000000002</v>
      </c>
      <c r="BG39" s="309">
        <f t="shared" ca="1" si="49"/>
        <v>0.77500000000000002</v>
      </c>
      <c r="BH39" s="310">
        <f t="shared" ca="1" si="50"/>
        <v>3.6563000000000003</v>
      </c>
      <c r="BI39" s="309">
        <f t="shared" ca="1" si="51"/>
        <v>0.85067500000000007</v>
      </c>
      <c r="BJ39" s="311">
        <f t="shared" ca="1" si="52"/>
        <v>4.5069750000000006</v>
      </c>
      <c r="BK39" s="286"/>
      <c r="BL39" s="307">
        <f t="shared" ca="1" si="20"/>
        <v>0.1386</v>
      </c>
      <c r="BM39" s="308">
        <f t="shared" ca="1" si="21"/>
        <v>0.15922500000000001</v>
      </c>
      <c r="BN39" s="309">
        <f t="shared" ca="1" si="53"/>
        <v>0.29782500000000001</v>
      </c>
      <c r="BO39" s="310">
        <f t="shared" ca="1" si="22"/>
        <v>3.0550000000000002</v>
      </c>
      <c r="BP39" s="308">
        <f t="shared" ca="1" si="23"/>
        <v>0.32500000000000001</v>
      </c>
      <c r="BQ39" s="309">
        <f t="shared" ca="1" si="54"/>
        <v>3.3800000000000003</v>
      </c>
      <c r="BR39" s="310">
        <f t="shared" ca="1" si="24"/>
        <v>0.4375</v>
      </c>
      <c r="BS39" s="308">
        <f t="shared" ca="1" si="25"/>
        <v>0.33750000000000002</v>
      </c>
      <c r="BT39" s="309">
        <f t="shared" ca="1" si="55"/>
        <v>0.77500000000000002</v>
      </c>
      <c r="BU39" s="310">
        <f t="shared" ca="1" si="56"/>
        <v>3.6311</v>
      </c>
      <c r="BV39" s="309">
        <f t="shared" ca="1" si="57"/>
        <v>0.82172500000000004</v>
      </c>
      <c r="BW39" s="311">
        <f t="shared" ca="1" si="58"/>
        <v>4.4528249999999998</v>
      </c>
      <c r="BX39" s="286"/>
      <c r="BY39" s="300">
        <f t="shared" ca="1" si="59"/>
        <v>0.13357500000000017</v>
      </c>
      <c r="BZ39" s="301">
        <f t="shared" ca="1" si="60"/>
        <v>6.7990000000000013</v>
      </c>
      <c r="CA39" s="301">
        <f t="shared" ca="1" si="61"/>
        <v>0.33499999999999996</v>
      </c>
      <c r="CB39" s="312">
        <f t="shared" ca="1" si="62"/>
        <v>7.2675750000000017</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3</v>
      </c>
      <c r="I40" s="674" t="s">
        <v>152</v>
      </c>
      <c r="J40" s="675"/>
      <c r="K40" s="675"/>
      <c r="L40" s="672" t="s">
        <v>153</v>
      </c>
      <c r="M40" s="672" t="s">
        <v>154</v>
      </c>
      <c r="N40" s="1"/>
      <c r="O40" s="358" t="s">
        <v>41</v>
      </c>
      <c r="P40" s="247"/>
      <c r="Q40" s="362">
        <f t="shared" ca="1" si="26"/>
        <v>4.2430000000000003</v>
      </c>
      <c r="R40" s="248">
        <f t="shared" ca="1" si="27"/>
        <v>0.87</v>
      </c>
      <c r="S40" s="363">
        <f t="shared" ca="1" si="28"/>
        <v>5.1130000000000004</v>
      </c>
      <c r="T40" s="247"/>
      <c r="U40" s="362">
        <f t="shared" ca="1" si="29"/>
        <v>4.1317000000000004</v>
      </c>
      <c r="V40" s="248">
        <f t="shared" ca="1" si="30"/>
        <v>0.74399999999999999</v>
      </c>
      <c r="W40" s="363">
        <f t="shared" ca="1" si="7"/>
        <v>4.8757000000000001</v>
      </c>
      <c r="X40" s="247"/>
      <c r="Y40" s="362">
        <f t="shared" ca="1" si="8"/>
        <v>4.0998999999999999</v>
      </c>
      <c r="Z40" s="248">
        <f t="shared" ca="1" si="9"/>
        <v>0.70799999999999996</v>
      </c>
      <c r="AA40" s="363">
        <f t="shared" ca="1" si="31"/>
        <v>4.8079000000000001</v>
      </c>
      <c r="AB40" s="58" t="str">
        <f t="shared" ca="1" si="63"/>
        <v/>
      </c>
      <c r="AC40" s="495" t="s">
        <v>41</v>
      </c>
      <c r="AD40" s="275"/>
      <c r="AE40" s="303">
        <f t="shared" ca="1" si="33"/>
        <v>-10.6</v>
      </c>
      <c r="AF40" s="304">
        <f t="shared" ca="1" si="34"/>
        <v>12</v>
      </c>
      <c r="AG40" s="305">
        <f t="shared" ca="1" si="10"/>
        <v>-13.75</v>
      </c>
      <c r="AH40" s="304">
        <f t="shared" ca="1" si="11"/>
        <v>1</v>
      </c>
      <c r="AI40" s="305">
        <f t="shared" ca="1" si="12"/>
        <v>-7</v>
      </c>
      <c r="AJ40" s="306">
        <f t="shared" ca="1" si="13"/>
        <v>5</v>
      </c>
      <c r="AK40" s="280"/>
      <c r="AL40" s="307">
        <f t="shared" ca="1" si="35"/>
        <v>0.31799999999999995</v>
      </c>
      <c r="AM40" s="308">
        <f t="shared" ca="1" si="36"/>
        <v>0.36</v>
      </c>
      <c r="AN40" s="309">
        <f t="shared" ca="1" si="37"/>
        <v>0.67799999999999994</v>
      </c>
      <c r="AO40" s="310">
        <f t="shared" ca="1" si="38"/>
        <v>3.5750000000000002</v>
      </c>
      <c r="AP40" s="308">
        <f t="shared" ca="1" si="39"/>
        <v>0.26</v>
      </c>
      <c r="AQ40" s="309">
        <f t="shared" ca="1" si="40"/>
        <v>3.835</v>
      </c>
      <c r="AR40" s="310">
        <f t="shared" ca="1" si="41"/>
        <v>0.35</v>
      </c>
      <c r="AS40" s="308">
        <f t="shared" ca="1" si="42"/>
        <v>0.25</v>
      </c>
      <c r="AT40" s="309">
        <f t="shared" ca="1" si="43"/>
        <v>0.6</v>
      </c>
      <c r="AU40" s="310">
        <f t="shared" ca="1" si="44"/>
        <v>4.2430000000000003</v>
      </c>
      <c r="AV40" s="309">
        <f t="shared" ca="1" si="45"/>
        <v>0.87</v>
      </c>
      <c r="AW40" s="311">
        <f t="shared" ca="1" si="46"/>
        <v>5.1130000000000004</v>
      </c>
      <c r="AX40" s="286"/>
      <c r="AY40" s="307">
        <f t="shared" ca="1" si="14"/>
        <v>0.20669999999999999</v>
      </c>
      <c r="AZ40" s="308">
        <f t="shared" ca="1" si="15"/>
        <v>0.23399999999999999</v>
      </c>
      <c r="BA40" s="309">
        <f t="shared" ca="1" si="47"/>
        <v>0.44069999999999998</v>
      </c>
      <c r="BB40" s="310">
        <f t="shared" ca="1" si="16"/>
        <v>3.5750000000000002</v>
      </c>
      <c r="BC40" s="308">
        <f t="shared" ca="1" si="17"/>
        <v>0.26</v>
      </c>
      <c r="BD40" s="309">
        <f t="shared" ca="1" si="48"/>
        <v>3.835</v>
      </c>
      <c r="BE40" s="310">
        <f t="shared" ca="1" si="18"/>
        <v>0.35</v>
      </c>
      <c r="BF40" s="308">
        <f t="shared" ca="1" si="19"/>
        <v>0.25</v>
      </c>
      <c r="BG40" s="309">
        <f t="shared" ca="1" si="49"/>
        <v>0.6</v>
      </c>
      <c r="BH40" s="310">
        <f t="shared" ca="1" si="50"/>
        <v>4.1317000000000004</v>
      </c>
      <c r="BI40" s="309">
        <f t="shared" ca="1" si="51"/>
        <v>0.74399999999999999</v>
      </c>
      <c r="BJ40" s="311">
        <f t="shared" ca="1" si="52"/>
        <v>4.8757000000000001</v>
      </c>
      <c r="BK40" s="286"/>
      <c r="BL40" s="307">
        <f t="shared" ca="1" si="20"/>
        <v>0.17489999999999997</v>
      </c>
      <c r="BM40" s="308">
        <f t="shared" ca="1" si="21"/>
        <v>0.19800000000000001</v>
      </c>
      <c r="BN40" s="309">
        <f t="shared" ca="1" si="53"/>
        <v>0.37290000000000001</v>
      </c>
      <c r="BO40" s="310">
        <f t="shared" ca="1" si="22"/>
        <v>3.5750000000000002</v>
      </c>
      <c r="BP40" s="308">
        <f t="shared" ca="1" si="23"/>
        <v>0.26</v>
      </c>
      <c r="BQ40" s="309">
        <f t="shared" ca="1" si="54"/>
        <v>3.835</v>
      </c>
      <c r="BR40" s="310">
        <f t="shared" ca="1" si="24"/>
        <v>0.35</v>
      </c>
      <c r="BS40" s="308">
        <f t="shared" ca="1" si="25"/>
        <v>0.25</v>
      </c>
      <c r="BT40" s="309">
        <f t="shared" ca="1" si="55"/>
        <v>0.6</v>
      </c>
      <c r="BU40" s="310">
        <f t="shared" ca="1" si="56"/>
        <v>4.0998999999999999</v>
      </c>
      <c r="BV40" s="309">
        <f t="shared" ca="1" si="57"/>
        <v>0.70799999999999996</v>
      </c>
      <c r="BW40" s="311">
        <f t="shared" ca="1" si="58"/>
        <v>4.8079000000000001</v>
      </c>
      <c r="BX40" s="286"/>
      <c r="BY40" s="300">
        <f t="shared" ca="1" si="59"/>
        <v>0.16087500000000016</v>
      </c>
      <c r="BZ40" s="301">
        <f t="shared" ca="1" si="60"/>
        <v>3.4840000000000009</v>
      </c>
      <c r="CA40" s="301">
        <f t="shared" ca="1" si="61"/>
        <v>0.23499999999999999</v>
      </c>
      <c r="CB40" s="312">
        <f t="shared" ca="1" si="62"/>
        <v>3.8798750000000011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6"/>
        <v>2.4905000000000004</v>
      </c>
      <c r="R41" s="248">
        <f t="shared" ca="1" si="27"/>
        <v>0.67549999999999999</v>
      </c>
      <c r="S41" s="363">
        <f t="shared" ca="1" si="28"/>
        <v>3.1660000000000004</v>
      </c>
      <c r="T41" s="247"/>
      <c r="U41" s="362">
        <f t="shared" ca="1" si="29"/>
        <v>2.3477000000000001</v>
      </c>
      <c r="V41" s="248">
        <f t="shared" ca="1" si="30"/>
        <v>0.52744999999999997</v>
      </c>
      <c r="W41" s="363">
        <f t="shared" ca="1" si="7"/>
        <v>2.8751500000000001</v>
      </c>
      <c r="X41" s="247"/>
      <c r="Y41" s="362">
        <f t="shared" ca="1" si="8"/>
        <v>2.3069000000000002</v>
      </c>
      <c r="Z41" s="248">
        <f t="shared" ca="1" si="9"/>
        <v>0.48514999999999997</v>
      </c>
      <c r="AA41" s="363">
        <f t="shared" ca="1" si="31"/>
        <v>2.7920500000000001</v>
      </c>
      <c r="AB41" s="58" t="str">
        <f t="shared" ca="1" si="63"/>
        <v/>
      </c>
      <c r="AC41" s="495" t="s">
        <v>42</v>
      </c>
      <c r="AD41" s="275"/>
      <c r="AE41" s="303">
        <f t="shared" ca="1" si="33"/>
        <v>-13.6</v>
      </c>
      <c r="AF41" s="304">
        <f t="shared" ca="1" si="34"/>
        <v>14.1</v>
      </c>
      <c r="AG41" s="305">
        <f t="shared" ca="1" si="10"/>
        <v>-7</v>
      </c>
      <c r="AH41" s="304">
        <f t="shared" ca="1" si="11"/>
        <v>0.25</v>
      </c>
      <c r="AI41" s="305">
        <f t="shared" ca="1" si="12"/>
        <v>-5.25</v>
      </c>
      <c r="AJ41" s="306">
        <f t="shared" ca="1" si="13"/>
        <v>3.75</v>
      </c>
      <c r="AK41" s="280"/>
      <c r="AL41" s="307">
        <f t="shared" ca="1" si="35"/>
        <v>0.40799999999999997</v>
      </c>
      <c r="AM41" s="308">
        <f t="shared" ca="1" si="36"/>
        <v>0.42299999999999999</v>
      </c>
      <c r="AN41" s="309">
        <f t="shared" ca="1" si="37"/>
        <v>0.83099999999999996</v>
      </c>
      <c r="AO41" s="310">
        <f t="shared" ca="1" si="38"/>
        <v>1.82</v>
      </c>
      <c r="AP41" s="308">
        <f t="shared" ca="1" si="39"/>
        <v>6.5000000000000002E-2</v>
      </c>
      <c r="AQ41" s="309">
        <f t="shared" ca="1" si="40"/>
        <v>1.885</v>
      </c>
      <c r="AR41" s="310">
        <f t="shared" ca="1" si="41"/>
        <v>0.26250000000000001</v>
      </c>
      <c r="AS41" s="308">
        <f t="shared" ca="1" si="42"/>
        <v>0.1875</v>
      </c>
      <c r="AT41" s="309">
        <f t="shared" ca="1" si="43"/>
        <v>0.45</v>
      </c>
      <c r="AU41" s="310">
        <f t="shared" ca="1" si="44"/>
        <v>2.4905000000000004</v>
      </c>
      <c r="AV41" s="309">
        <f t="shared" ca="1" si="45"/>
        <v>0.67549999999999999</v>
      </c>
      <c r="AW41" s="311">
        <f t="shared" ca="1" si="46"/>
        <v>3.1660000000000004</v>
      </c>
      <c r="AX41" s="286"/>
      <c r="AY41" s="307">
        <f t="shared" ca="1" si="14"/>
        <v>0.26519999999999999</v>
      </c>
      <c r="AZ41" s="308">
        <f t="shared" ca="1" si="15"/>
        <v>0.27494999999999997</v>
      </c>
      <c r="BA41" s="309">
        <f t="shared" ca="1" si="47"/>
        <v>0.54014999999999991</v>
      </c>
      <c r="BB41" s="310">
        <f t="shared" ca="1" si="16"/>
        <v>1.82</v>
      </c>
      <c r="BC41" s="308">
        <f t="shared" ca="1" si="17"/>
        <v>6.5000000000000002E-2</v>
      </c>
      <c r="BD41" s="309">
        <f t="shared" ca="1" si="48"/>
        <v>1.885</v>
      </c>
      <c r="BE41" s="310">
        <f t="shared" ca="1" si="18"/>
        <v>0.26250000000000001</v>
      </c>
      <c r="BF41" s="308">
        <f t="shared" ca="1" si="19"/>
        <v>0.1875</v>
      </c>
      <c r="BG41" s="309">
        <f t="shared" ca="1" si="49"/>
        <v>0.45</v>
      </c>
      <c r="BH41" s="310">
        <f t="shared" ca="1" si="50"/>
        <v>2.3477000000000001</v>
      </c>
      <c r="BI41" s="309">
        <f t="shared" ca="1" si="51"/>
        <v>0.52744999999999997</v>
      </c>
      <c r="BJ41" s="311">
        <f t="shared" ca="1" si="52"/>
        <v>2.8751500000000001</v>
      </c>
      <c r="BK41" s="286"/>
      <c r="BL41" s="307">
        <f t="shared" ca="1" si="20"/>
        <v>0.22439999999999999</v>
      </c>
      <c r="BM41" s="308">
        <f t="shared" ca="1" si="21"/>
        <v>0.23265</v>
      </c>
      <c r="BN41" s="309">
        <f t="shared" ca="1" si="53"/>
        <v>0.45704999999999996</v>
      </c>
      <c r="BO41" s="310">
        <f t="shared" ca="1" si="22"/>
        <v>1.82</v>
      </c>
      <c r="BP41" s="308">
        <f t="shared" ca="1" si="23"/>
        <v>6.5000000000000002E-2</v>
      </c>
      <c r="BQ41" s="309">
        <f t="shared" ca="1" si="54"/>
        <v>1.885</v>
      </c>
      <c r="BR41" s="310">
        <f t="shared" ca="1" si="24"/>
        <v>0.26250000000000001</v>
      </c>
      <c r="BS41" s="308">
        <f t="shared" ca="1" si="25"/>
        <v>0.1875</v>
      </c>
      <c r="BT41" s="309">
        <f t="shared" ca="1" si="55"/>
        <v>0.45</v>
      </c>
      <c r="BU41" s="310">
        <f t="shared" ca="1" si="56"/>
        <v>2.3069000000000002</v>
      </c>
      <c r="BV41" s="309">
        <f t="shared" ca="1" si="57"/>
        <v>0.48514999999999997</v>
      </c>
      <c r="BW41" s="311">
        <f t="shared" ca="1" si="58"/>
        <v>2.7920500000000001</v>
      </c>
      <c r="BX41" s="286"/>
      <c r="BY41" s="300">
        <f t="shared" ca="1" si="59"/>
        <v>0.17062500000000014</v>
      </c>
      <c r="BZ41" s="301">
        <f t="shared" ca="1" si="60"/>
        <v>1.7290000000000008</v>
      </c>
      <c r="CA41" s="301">
        <f t="shared" ca="1" si="61"/>
        <v>0.15999999999999998</v>
      </c>
      <c r="CB41" s="312">
        <f t="shared" ca="1" si="62"/>
        <v>2.0596250000000009</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6"/>
        <v>1.2155</v>
      </c>
      <c r="R42" s="248">
        <f t="shared" ca="1" si="27"/>
        <v>0.47799999999999998</v>
      </c>
      <c r="S42" s="363">
        <f t="shared" ca="1" si="28"/>
        <v>1.6935</v>
      </c>
      <c r="T42" s="247"/>
      <c r="U42" s="362">
        <f t="shared" ca="1" si="29"/>
        <v>1.0831999999999999</v>
      </c>
      <c r="V42" s="248">
        <f t="shared" ca="1" si="30"/>
        <v>0.40397499999999997</v>
      </c>
      <c r="W42" s="363">
        <f t="shared" ca="1" si="7"/>
        <v>1.4871749999999999</v>
      </c>
      <c r="X42" s="247"/>
      <c r="Y42" s="362">
        <f t="shared" ca="1" si="8"/>
        <v>1.0453999999999999</v>
      </c>
      <c r="Z42" s="248">
        <f t="shared" ca="1" si="9"/>
        <v>0.38282499999999997</v>
      </c>
      <c r="AA42" s="363">
        <f t="shared" ca="1" si="31"/>
        <v>1.4282249999999999</v>
      </c>
      <c r="AB42" s="58" t="str">
        <f t="shared" ca="1" si="63"/>
        <v/>
      </c>
      <c r="AC42" s="495" t="s">
        <v>43</v>
      </c>
      <c r="AD42" s="275"/>
      <c r="AE42" s="303">
        <f t="shared" ca="1" si="33"/>
        <v>-12.6</v>
      </c>
      <c r="AF42" s="304">
        <f t="shared" ca="1" si="34"/>
        <v>7.05</v>
      </c>
      <c r="AG42" s="305">
        <f t="shared" ca="1" si="10"/>
        <v>-2.5</v>
      </c>
      <c r="AH42" s="304">
        <f t="shared" ca="1" si="11"/>
        <v>0.4</v>
      </c>
      <c r="AI42" s="305">
        <f t="shared" ca="1" si="12"/>
        <v>-3.75</v>
      </c>
      <c r="AJ42" s="306">
        <f t="shared" ca="1" si="13"/>
        <v>3.25</v>
      </c>
      <c r="AK42" s="280"/>
      <c r="AL42" s="307">
        <f t="shared" ca="1" si="35"/>
        <v>0.37799999999999995</v>
      </c>
      <c r="AM42" s="308">
        <f t="shared" ca="1" si="36"/>
        <v>0.21149999999999999</v>
      </c>
      <c r="AN42" s="309">
        <f t="shared" ca="1" si="37"/>
        <v>0.58949999999999991</v>
      </c>
      <c r="AO42" s="310">
        <f t="shared" ca="1" si="38"/>
        <v>0.65</v>
      </c>
      <c r="AP42" s="308">
        <f t="shared" ca="1" si="39"/>
        <v>0.10400000000000001</v>
      </c>
      <c r="AQ42" s="309">
        <f t="shared" ca="1" si="40"/>
        <v>0.754</v>
      </c>
      <c r="AR42" s="310">
        <f t="shared" ca="1" si="41"/>
        <v>0.1875</v>
      </c>
      <c r="AS42" s="308">
        <f t="shared" ca="1" si="42"/>
        <v>0.16250000000000001</v>
      </c>
      <c r="AT42" s="309">
        <f t="shared" ca="1" si="43"/>
        <v>0.35</v>
      </c>
      <c r="AU42" s="310">
        <f t="shared" ca="1" si="44"/>
        <v>1.2155</v>
      </c>
      <c r="AV42" s="309">
        <f t="shared" ca="1" si="45"/>
        <v>0.47799999999999998</v>
      </c>
      <c r="AW42" s="311">
        <f t="shared" ca="1" si="46"/>
        <v>1.6935</v>
      </c>
      <c r="AX42" s="286"/>
      <c r="AY42" s="307">
        <f t="shared" ca="1" si="14"/>
        <v>0.24569999999999997</v>
      </c>
      <c r="AZ42" s="308">
        <f t="shared" ca="1" si="15"/>
        <v>0.13747499999999999</v>
      </c>
      <c r="BA42" s="309">
        <f t="shared" ca="1" si="47"/>
        <v>0.38317499999999993</v>
      </c>
      <c r="BB42" s="310">
        <f t="shared" ca="1" si="16"/>
        <v>0.65</v>
      </c>
      <c r="BC42" s="308">
        <f t="shared" ca="1" si="17"/>
        <v>0.10400000000000001</v>
      </c>
      <c r="BD42" s="309">
        <f t="shared" ca="1" si="48"/>
        <v>0.754</v>
      </c>
      <c r="BE42" s="310">
        <f t="shared" ca="1" si="18"/>
        <v>0.1875</v>
      </c>
      <c r="BF42" s="308">
        <f t="shared" ca="1" si="19"/>
        <v>0.16250000000000001</v>
      </c>
      <c r="BG42" s="309">
        <f t="shared" ca="1" si="49"/>
        <v>0.35</v>
      </c>
      <c r="BH42" s="310">
        <f t="shared" ca="1" si="50"/>
        <v>1.0831999999999999</v>
      </c>
      <c r="BI42" s="309">
        <f t="shared" ca="1" si="51"/>
        <v>0.40397499999999997</v>
      </c>
      <c r="BJ42" s="311">
        <f t="shared" ca="1" si="52"/>
        <v>1.4871749999999999</v>
      </c>
      <c r="BK42" s="286"/>
      <c r="BL42" s="307">
        <f t="shared" ca="1" si="20"/>
        <v>0.20789999999999995</v>
      </c>
      <c r="BM42" s="308">
        <f t="shared" ca="1" si="21"/>
        <v>0.116325</v>
      </c>
      <c r="BN42" s="309">
        <f t="shared" ca="1" si="53"/>
        <v>0.32422499999999993</v>
      </c>
      <c r="BO42" s="310">
        <f t="shared" ca="1" si="22"/>
        <v>0.65</v>
      </c>
      <c r="BP42" s="308">
        <f t="shared" ca="1" si="23"/>
        <v>0.10400000000000001</v>
      </c>
      <c r="BQ42" s="309">
        <f t="shared" ca="1" si="54"/>
        <v>0.754</v>
      </c>
      <c r="BR42" s="310">
        <f t="shared" ca="1" si="24"/>
        <v>0.1875</v>
      </c>
      <c r="BS42" s="308">
        <f t="shared" ca="1" si="25"/>
        <v>0.16250000000000001</v>
      </c>
      <c r="BT42" s="309">
        <f t="shared" ca="1" si="55"/>
        <v>0.35</v>
      </c>
      <c r="BU42" s="310">
        <f t="shared" ca="1" si="56"/>
        <v>1.0453999999999999</v>
      </c>
      <c r="BV42" s="309">
        <f t="shared" ca="1" si="57"/>
        <v>0.38282499999999997</v>
      </c>
      <c r="BW42" s="311">
        <f t="shared" ca="1" si="58"/>
        <v>1.4282249999999999</v>
      </c>
      <c r="BX42" s="286"/>
      <c r="BY42" s="300">
        <f t="shared" ca="1" si="59"/>
        <v>6.240000000000015E-2</v>
      </c>
      <c r="BZ42" s="301">
        <f t="shared" ca="1" si="60"/>
        <v>1.1830000000000007</v>
      </c>
      <c r="CA42" s="301">
        <f t="shared" ca="1" si="61"/>
        <v>0.13499999999999998</v>
      </c>
      <c r="CB42" s="312">
        <f t="shared" ca="1" si="62"/>
        <v>1.380400000000001</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6"/>
        <v>0.70350000000000001</v>
      </c>
      <c r="R43" s="248">
        <f t="shared" ca="1" si="27"/>
        <v>7.2499999999999995E-2</v>
      </c>
      <c r="S43" s="363">
        <f t="shared" ca="1" si="28"/>
        <v>0.77600000000000002</v>
      </c>
      <c r="T43" s="247"/>
      <c r="U43" s="362">
        <f t="shared" ca="1" si="29"/>
        <v>0.66990000000000005</v>
      </c>
      <c r="V43" s="248">
        <f t="shared" ca="1" si="30"/>
        <v>7.2499999999999995E-2</v>
      </c>
      <c r="W43" s="363">
        <f t="shared" ca="1" si="7"/>
        <v>0.74240000000000006</v>
      </c>
      <c r="X43" s="247"/>
      <c r="Y43" s="362">
        <f t="shared" ca="1" si="8"/>
        <v>0.6603</v>
      </c>
      <c r="Z43" s="248">
        <f t="shared" ca="1" si="9"/>
        <v>7.2499999999999995E-2</v>
      </c>
      <c r="AA43" s="363">
        <f t="shared" ca="1" si="31"/>
        <v>0.73280000000000001</v>
      </c>
      <c r="AB43" s="58" t="str">
        <f t="shared" ca="1" si="63"/>
        <v/>
      </c>
      <c r="AC43" s="495" t="s">
        <v>44</v>
      </c>
      <c r="AD43" s="275"/>
      <c r="AE43" s="303">
        <f t="shared" ca="1" si="33"/>
        <v>-3.2</v>
      </c>
      <c r="AF43" s="304">
        <f t="shared" ca="1" si="34"/>
        <v>0</v>
      </c>
      <c r="AG43" s="305">
        <f t="shared" ca="1" si="10"/>
        <v>-2</v>
      </c>
      <c r="AH43" s="304">
        <f t="shared" ca="1" si="11"/>
        <v>0</v>
      </c>
      <c r="AI43" s="305">
        <f t="shared" ca="1" si="12"/>
        <v>-1.75</v>
      </c>
      <c r="AJ43" s="306">
        <f t="shared" ca="1" si="13"/>
        <v>1.45</v>
      </c>
      <c r="AK43" s="280"/>
      <c r="AL43" s="307">
        <f t="shared" ca="1" si="35"/>
        <v>9.6000000000000016E-2</v>
      </c>
      <c r="AM43" s="308">
        <f t="shared" ca="1" si="36"/>
        <v>0</v>
      </c>
      <c r="AN43" s="309">
        <f t="shared" ca="1" si="37"/>
        <v>9.6000000000000016E-2</v>
      </c>
      <c r="AO43" s="310">
        <f t="shared" ca="1" si="38"/>
        <v>0.52</v>
      </c>
      <c r="AP43" s="308">
        <f t="shared" ca="1" si="39"/>
        <v>0</v>
      </c>
      <c r="AQ43" s="309">
        <f t="shared" ca="1" si="40"/>
        <v>0.52</v>
      </c>
      <c r="AR43" s="310">
        <f t="shared" ca="1" si="41"/>
        <v>8.7499999999999994E-2</v>
      </c>
      <c r="AS43" s="308">
        <f t="shared" ca="1" si="42"/>
        <v>7.2499999999999995E-2</v>
      </c>
      <c r="AT43" s="309">
        <f t="shared" ca="1" si="43"/>
        <v>0.15999999999999998</v>
      </c>
      <c r="AU43" s="310">
        <f t="shared" ca="1" si="44"/>
        <v>0.70350000000000001</v>
      </c>
      <c r="AV43" s="309">
        <f t="shared" ca="1" si="45"/>
        <v>7.2499999999999995E-2</v>
      </c>
      <c r="AW43" s="311">
        <f t="shared" ca="1" si="46"/>
        <v>0.77600000000000002</v>
      </c>
      <c r="AX43" s="286"/>
      <c r="AY43" s="307">
        <f t="shared" ca="1" si="14"/>
        <v>6.2400000000000011E-2</v>
      </c>
      <c r="AZ43" s="308">
        <f t="shared" ca="1" si="15"/>
        <v>0</v>
      </c>
      <c r="BA43" s="309">
        <f t="shared" ca="1" si="47"/>
        <v>6.2400000000000011E-2</v>
      </c>
      <c r="BB43" s="310">
        <f t="shared" ca="1" si="16"/>
        <v>0.52</v>
      </c>
      <c r="BC43" s="308">
        <f t="shared" ca="1" si="17"/>
        <v>0</v>
      </c>
      <c r="BD43" s="309">
        <f t="shared" ca="1" si="48"/>
        <v>0.52</v>
      </c>
      <c r="BE43" s="310">
        <f t="shared" ca="1" si="18"/>
        <v>8.7499999999999994E-2</v>
      </c>
      <c r="BF43" s="308">
        <f t="shared" ca="1" si="19"/>
        <v>7.2499999999999995E-2</v>
      </c>
      <c r="BG43" s="309">
        <f t="shared" ca="1" si="49"/>
        <v>0.15999999999999998</v>
      </c>
      <c r="BH43" s="310">
        <f t="shared" ca="1" si="50"/>
        <v>0.66990000000000005</v>
      </c>
      <c r="BI43" s="309">
        <f t="shared" ca="1" si="51"/>
        <v>7.2499999999999995E-2</v>
      </c>
      <c r="BJ43" s="311">
        <f t="shared" ca="1" si="52"/>
        <v>0.74240000000000006</v>
      </c>
      <c r="BK43" s="286"/>
      <c r="BL43" s="307">
        <f t="shared" ca="1" si="20"/>
        <v>5.2800000000000014E-2</v>
      </c>
      <c r="BM43" s="308">
        <f t="shared" ca="1" si="21"/>
        <v>0</v>
      </c>
      <c r="BN43" s="309">
        <f t="shared" ca="1" si="53"/>
        <v>5.2800000000000014E-2</v>
      </c>
      <c r="BO43" s="310">
        <f t="shared" ca="1" si="22"/>
        <v>0.52</v>
      </c>
      <c r="BP43" s="308">
        <f t="shared" ca="1" si="23"/>
        <v>0</v>
      </c>
      <c r="BQ43" s="309">
        <f t="shared" ca="1" si="54"/>
        <v>0.52</v>
      </c>
      <c r="BR43" s="310">
        <f t="shared" ca="1" si="24"/>
        <v>8.7499999999999994E-2</v>
      </c>
      <c r="BS43" s="308">
        <f t="shared" ca="1" si="25"/>
        <v>7.2499999999999995E-2</v>
      </c>
      <c r="BT43" s="309">
        <f t="shared" ca="1" si="55"/>
        <v>0.15999999999999998</v>
      </c>
      <c r="BU43" s="310">
        <f t="shared" ca="1" si="56"/>
        <v>0.6603</v>
      </c>
      <c r="BV43" s="309">
        <f t="shared" ca="1" si="57"/>
        <v>7.2499999999999995E-2</v>
      </c>
      <c r="BW43" s="311">
        <f t="shared" ca="1" si="58"/>
        <v>0.73280000000000001</v>
      </c>
      <c r="BX43" s="286"/>
      <c r="BY43" s="300">
        <f t="shared" ca="1" si="59"/>
        <v>1.3877787807814457E-16</v>
      </c>
      <c r="BZ43" s="301">
        <f t="shared" ca="1" si="60"/>
        <v>0.6630000000000007</v>
      </c>
      <c r="CA43" s="301">
        <f t="shared" ca="1" si="61"/>
        <v>0.11999999999999998</v>
      </c>
      <c r="CB43" s="312">
        <f t="shared" ca="1" si="62"/>
        <v>0.78300000000000081</v>
      </c>
      <c r="CC43" s="372"/>
      <c r="CE43" s="27"/>
      <c r="CF43" s="27"/>
      <c r="CG43" s="27"/>
      <c r="CH43" s="27"/>
      <c r="CI43" s="27"/>
      <c r="CJ43" s="27"/>
      <c r="CK43" s="41">
        <f>'NF-Sets'!C48</f>
        <v>21</v>
      </c>
      <c r="CL43" s="42" t="str">
        <f ca="1">'NF-Sets'!B48</f>
        <v>Wohnen</v>
      </c>
      <c r="CM43" s="35"/>
    </row>
    <row r="44" spans="2:91" ht="18.899999999999999" customHeight="1">
      <c r="I44" s="246" t="str">
        <f ca="1">IF(I36="","n",IF(I37="","o",IF(I38="","p","q")))</f>
        <v>q</v>
      </c>
      <c r="J44" s="252" t="s">
        <v>155</v>
      </c>
      <c r="K44" s="253" t="s">
        <v>147</v>
      </c>
      <c r="L44" s="254">
        <f ca="1">BD47</f>
        <v>52</v>
      </c>
      <c r="M44" s="254">
        <f ca="1">BQ47</f>
        <v>52</v>
      </c>
      <c r="N44" s="25"/>
      <c r="O44" s="358" t="s">
        <v>45</v>
      </c>
      <c r="P44" s="247"/>
      <c r="Q44" s="362">
        <f t="shared" ca="1" si="26"/>
        <v>0.375</v>
      </c>
      <c r="R44" s="248">
        <f t="shared" ca="1" si="27"/>
        <v>0.19450000000000001</v>
      </c>
      <c r="S44" s="363">
        <f t="shared" ca="1" si="28"/>
        <v>0.56950000000000001</v>
      </c>
      <c r="T44" s="247"/>
      <c r="U44" s="362">
        <f t="shared" ca="1" si="29"/>
        <v>0.375</v>
      </c>
      <c r="V44" s="248">
        <f t="shared" ca="1" si="30"/>
        <v>0.19450000000000001</v>
      </c>
      <c r="W44" s="363">
        <f t="shared" ca="1" si="7"/>
        <v>0.56950000000000001</v>
      </c>
      <c r="X44" s="247"/>
      <c r="Y44" s="362">
        <f t="shared" ca="1" si="8"/>
        <v>0.375</v>
      </c>
      <c r="Z44" s="248">
        <f t="shared" ca="1" si="9"/>
        <v>0.19450000000000001</v>
      </c>
      <c r="AA44" s="363">
        <f t="shared" ca="1" si="31"/>
        <v>0.56950000000000001</v>
      </c>
      <c r="AB44" s="58" t="str">
        <f t="shared" ca="1" si="63"/>
        <v/>
      </c>
      <c r="AC44" s="495" t="s">
        <v>45</v>
      </c>
      <c r="AD44" s="275"/>
      <c r="AE44" s="303">
        <f t="shared" ca="1" si="33"/>
        <v>0</v>
      </c>
      <c r="AF44" s="304">
        <f t="shared" ca="1" si="34"/>
        <v>0</v>
      </c>
      <c r="AG44" s="305">
        <f t="shared" ca="1" si="10"/>
        <v>-1.25</v>
      </c>
      <c r="AH44" s="304">
        <f t="shared" ca="1" si="11"/>
        <v>0.7</v>
      </c>
      <c r="AI44" s="305">
        <f t="shared" ca="1" si="12"/>
        <v>-1</v>
      </c>
      <c r="AJ44" s="306">
        <f t="shared" ca="1" si="13"/>
        <v>0.25</v>
      </c>
      <c r="AK44" s="280"/>
      <c r="AL44" s="307">
        <f t="shared" ca="1" si="35"/>
        <v>0</v>
      </c>
      <c r="AM44" s="308">
        <f t="shared" ca="1" si="36"/>
        <v>0</v>
      </c>
      <c r="AN44" s="309">
        <f t="shared" ca="1" si="37"/>
        <v>0</v>
      </c>
      <c r="AO44" s="310">
        <f t="shared" ca="1" si="38"/>
        <v>0.32500000000000001</v>
      </c>
      <c r="AP44" s="308">
        <f t="shared" ca="1" si="39"/>
        <v>0.182</v>
      </c>
      <c r="AQ44" s="309">
        <f t="shared" ca="1" si="40"/>
        <v>0.50700000000000001</v>
      </c>
      <c r="AR44" s="310">
        <f t="shared" ca="1" si="41"/>
        <v>0.05</v>
      </c>
      <c r="AS44" s="308">
        <f t="shared" ca="1" si="42"/>
        <v>1.2500000000000001E-2</v>
      </c>
      <c r="AT44" s="309">
        <f t="shared" ca="1" si="43"/>
        <v>6.25E-2</v>
      </c>
      <c r="AU44" s="310">
        <f t="shared" ca="1" si="44"/>
        <v>0.375</v>
      </c>
      <c r="AV44" s="309">
        <f t="shared" ca="1" si="45"/>
        <v>0.19450000000000001</v>
      </c>
      <c r="AW44" s="311">
        <f t="shared" ca="1" si="46"/>
        <v>0.56950000000000001</v>
      </c>
      <c r="AX44" s="286"/>
      <c r="AY44" s="307">
        <f t="shared" ca="1" si="14"/>
        <v>0</v>
      </c>
      <c r="AZ44" s="308">
        <f t="shared" ca="1" si="15"/>
        <v>0</v>
      </c>
      <c r="BA44" s="309">
        <f t="shared" ca="1" si="47"/>
        <v>0</v>
      </c>
      <c r="BB44" s="310">
        <f t="shared" ca="1" si="16"/>
        <v>0.32500000000000001</v>
      </c>
      <c r="BC44" s="308">
        <f t="shared" ca="1" si="17"/>
        <v>0.182</v>
      </c>
      <c r="BD44" s="309">
        <f t="shared" ca="1" si="48"/>
        <v>0.50700000000000001</v>
      </c>
      <c r="BE44" s="310">
        <f t="shared" ca="1" si="18"/>
        <v>0.05</v>
      </c>
      <c r="BF44" s="308">
        <f t="shared" ca="1" si="19"/>
        <v>1.2500000000000001E-2</v>
      </c>
      <c r="BG44" s="309">
        <f t="shared" ca="1" si="49"/>
        <v>6.25E-2</v>
      </c>
      <c r="BH44" s="310">
        <f t="shared" ca="1" si="50"/>
        <v>0.375</v>
      </c>
      <c r="BI44" s="309">
        <f t="shared" ca="1" si="51"/>
        <v>0.19450000000000001</v>
      </c>
      <c r="BJ44" s="311">
        <f t="shared" ca="1" si="52"/>
        <v>0.56950000000000001</v>
      </c>
      <c r="BK44" s="286"/>
      <c r="BL44" s="307">
        <f t="shared" ca="1" si="20"/>
        <v>0</v>
      </c>
      <c r="BM44" s="308">
        <f t="shared" ca="1" si="21"/>
        <v>0</v>
      </c>
      <c r="BN44" s="309">
        <f t="shared" ca="1" si="53"/>
        <v>0</v>
      </c>
      <c r="BO44" s="310">
        <f t="shared" ca="1" si="22"/>
        <v>0.32500000000000001</v>
      </c>
      <c r="BP44" s="308">
        <f t="shared" ca="1" si="23"/>
        <v>0.182</v>
      </c>
      <c r="BQ44" s="309">
        <f t="shared" ca="1" si="54"/>
        <v>0.50700000000000001</v>
      </c>
      <c r="BR44" s="310">
        <f t="shared" ca="1" si="24"/>
        <v>0.05</v>
      </c>
      <c r="BS44" s="308">
        <f t="shared" ca="1" si="25"/>
        <v>1.2500000000000001E-2</v>
      </c>
      <c r="BT44" s="309">
        <f t="shared" ca="1" si="55"/>
        <v>6.25E-2</v>
      </c>
      <c r="BU44" s="310">
        <f t="shared" ca="1" si="56"/>
        <v>0.375</v>
      </c>
      <c r="BV44" s="309">
        <f t="shared" ca="1" si="57"/>
        <v>0.19450000000000001</v>
      </c>
      <c r="BW44" s="311">
        <f t="shared" ca="1" si="58"/>
        <v>0.56950000000000001</v>
      </c>
      <c r="BX44" s="286"/>
      <c r="BY44" s="300">
        <f t="shared" ca="1" si="59"/>
        <v>1.3877787807814457E-16</v>
      </c>
      <c r="BZ44" s="301">
        <f t="shared" ca="1" si="60"/>
        <v>0.52000000000000068</v>
      </c>
      <c r="CA44" s="301">
        <f t="shared" ca="1" si="61"/>
        <v>8.2499999999999976E-2</v>
      </c>
      <c r="CB44" s="312">
        <f t="shared" ca="1" si="62"/>
        <v>0.60250000000000081</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r</v>
      </c>
      <c r="J45" s="252" t="s">
        <v>156</v>
      </c>
      <c r="K45" s="253" t="s">
        <v>147</v>
      </c>
      <c r="L45" s="254">
        <f ca="1">BA47</f>
        <v>3.8999999999999995</v>
      </c>
      <c r="M45" s="254">
        <f ca="1">BN47</f>
        <v>3.3</v>
      </c>
      <c r="N45" s="25"/>
      <c r="O45" s="358" t="s">
        <v>46</v>
      </c>
      <c r="P45" s="247"/>
      <c r="Q45" s="362">
        <f t="shared" ca="1" si="26"/>
        <v>0.45250000000000001</v>
      </c>
      <c r="R45" s="248">
        <f t="shared" ca="1" si="27"/>
        <v>1.2500000000000001E-2</v>
      </c>
      <c r="S45" s="363">
        <f t="shared" ca="1" si="28"/>
        <v>0.46500000000000002</v>
      </c>
      <c r="T45" s="247"/>
      <c r="U45" s="362">
        <f t="shared" ca="1" si="29"/>
        <v>0.45250000000000001</v>
      </c>
      <c r="V45" s="248">
        <f t="shared" ca="1" si="30"/>
        <v>1.2500000000000001E-2</v>
      </c>
      <c r="W45" s="363">
        <f t="shared" ca="1" si="7"/>
        <v>0.46500000000000002</v>
      </c>
      <c r="X45" s="247"/>
      <c r="Y45" s="362">
        <f t="shared" ca="1" si="8"/>
        <v>0.45250000000000001</v>
      </c>
      <c r="Z45" s="248">
        <f t="shared" ca="1" si="9"/>
        <v>1.2500000000000001E-2</v>
      </c>
      <c r="AA45" s="363">
        <f t="shared" ca="1" si="31"/>
        <v>0.46500000000000002</v>
      </c>
      <c r="AB45" s="58" t="str">
        <f t="shared" ca="1" si="63"/>
        <v/>
      </c>
      <c r="AC45" s="495" t="s">
        <v>46</v>
      </c>
      <c r="AD45" s="275"/>
      <c r="AE45" s="303">
        <f t="shared" ca="1" si="33"/>
        <v>0</v>
      </c>
      <c r="AF45" s="304">
        <f t="shared" ca="1" si="34"/>
        <v>0</v>
      </c>
      <c r="AG45" s="305">
        <f t="shared" ca="1" si="10"/>
        <v>-1.5</v>
      </c>
      <c r="AH45" s="304">
        <f t="shared" ca="1" si="11"/>
        <v>0</v>
      </c>
      <c r="AI45" s="305">
        <f t="shared" ca="1" si="12"/>
        <v>-1.25</v>
      </c>
      <c r="AJ45" s="306">
        <f t="shared" ca="1" si="13"/>
        <v>0.25</v>
      </c>
      <c r="AK45" s="280"/>
      <c r="AL45" s="307">
        <f t="shared" ca="1" si="35"/>
        <v>0</v>
      </c>
      <c r="AM45" s="308">
        <f t="shared" ca="1" si="36"/>
        <v>0</v>
      </c>
      <c r="AN45" s="309">
        <f t="shared" ca="1" si="37"/>
        <v>0</v>
      </c>
      <c r="AO45" s="310">
        <f t="shared" ca="1" si="38"/>
        <v>0.39</v>
      </c>
      <c r="AP45" s="308">
        <f t="shared" ca="1" si="39"/>
        <v>0</v>
      </c>
      <c r="AQ45" s="309">
        <f t="shared" ca="1" si="40"/>
        <v>0.39</v>
      </c>
      <c r="AR45" s="310">
        <f t="shared" ca="1" si="41"/>
        <v>6.25E-2</v>
      </c>
      <c r="AS45" s="308">
        <f t="shared" ca="1" si="42"/>
        <v>1.2500000000000001E-2</v>
      </c>
      <c r="AT45" s="309">
        <f t="shared" ca="1" si="43"/>
        <v>7.4999999999999997E-2</v>
      </c>
      <c r="AU45" s="310">
        <f t="shared" ca="1" si="44"/>
        <v>0.45250000000000001</v>
      </c>
      <c r="AV45" s="309">
        <f t="shared" ca="1" si="45"/>
        <v>1.2500000000000001E-2</v>
      </c>
      <c r="AW45" s="311">
        <f t="shared" ca="1" si="46"/>
        <v>0.46500000000000002</v>
      </c>
      <c r="AX45" s="286"/>
      <c r="AY45" s="307">
        <f t="shared" ca="1" si="14"/>
        <v>0</v>
      </c>
      <c r="AZ45" s="308">
        <f t="shared" ca="1" si="15"/>
        <v>0</v>
      </c>
      <c r="BA45" s="309">
        <f t="shared" ca="1" si="47"/>
        <v>0</v>
      </c>
      <c r="BB45" s="310">
        <f t="shared" ca="1" si="16"/>
        <v>0.39</v>
      </c>
      <c r="BC45" s="308">
        <f t="shared" ca="1" si="17"/>
        <v>0</v>
      </c>
      <c r="BD45" s="309">
        <f t="shared" ca="1" si="48"/>
        <v>0.39</v>
      </c>
      <c r="BE45" s="310">
        <f t="shared" ca="1" si="18"/>
        <v>6.25E-2</v>
      </c>
      <c r="BF45" s="308">
        <f t="shared" ca="1" si="19"/>
        <v>1.2500000000000001E-2</v>
      </c>
      <c r="BG45" s="309">
        <f t="shared" ca="1" si="49"/>
        <v>7.4999999999999997E-2</v>
      </c>
      <c r="BH45" s="310">
        <f t="shared" ca="1" si="50"/>
        <v>0.45250000000000001</v>
      </c>
      <c r="BI45" s="309">
        <f t="shared" ca="1" si="51"/>
        <v>1.2500000000000001E-2</v>
      </c>
      <c r="BJ45" s="311">
        <f t="shared" ca="1" si="52"/>
        <v>0.46500000000000002</v>
      </c>
      <c r="BK45" s="286"/>
      <c r="BL45" s="307">
        <f t="shared" ca="1" si="20"/>
        <v>0</v>
      </c>
      <c r="BM45" s="308">
        <f t="shared" ca="1" si="21"/>
        <v>0</v>
      </c>
      <c r="BN45" s="309">
        <f t="shared" ca="1" si="53"/>
        <v>0</v>
      </c>
      <c r="BO45" s="310">
        <f t="shared" ca="1" si="22"/>
        <v>0.39</v>
      </c>
      <c r="BP45" s="308">
        <f t="shared" ca="1" si="23"/>
        <v>0</v>
      </c>
      <c r="BQ45" s="309">
        <f t="shared" ca="1" si="54"/>
        <v>0.39</v>
      </c>
      <c r="BR45" s="310">
        <f t="shared" ca="1" si="24"/>
        <v>6.25E-2</v>
      </c>
      <c r="BS45" s="308">
        <f t="shared" ca="1" si="25"/>
        <v>1.2500000000000001E-2</v>
      </c>
      <c r="BT45" s="309">
        <f t="shared" ca="1" si="55"/>
        <v>7.4999999999999997E-2</v>
      </c>
      <c r="BU45" s="310">
        <f t="shared" ca="1" si="56"/>
        <v>0.45250000000000001</v>
      </c>
      <c r="BV45" s="309">
        <f t="shared" ca="1" si="57"/>
        <v>1.2500000000000001E-2</v>
      </c>
      <c r="BW45" s="311">
        <f t="shared" ca="1" si="58"/>
        <v>0.46500000000000002</v>
      </c>
      <c r="BX45" s="286"/>
      <c r="BY45" s="300">
        <f t="shared" ca="1" si="59"/>
        <v>1.3877787807814457E-16</v>
      </c>
      <c r="BZ45" s="301">
        <f t="shared" ca="1" si="60"/>
        <v>0.13000000000000067</v>
      </c>
      <c r="CA45" s="301">
        <f t="shared" ca="1" si="61"/>
        <v>3.2499999999999973E-2</v>
      </c>
      <c r="CB45" s="312">
        <f t="shared" ca="1" si="62"/>
        <v>0.16250000000000078</v>
      </c>
      <c r="CE45" s="27"/>
      <c r="CF45" s="27"/>
      <c r="CG45" s="27"/>
      <c r="CH45" s="27"/>
      <c r="CI45" s="27"/>
      <c r="CJ45" s="27"/>
      <c r="CK45" s="34"/>
      <c r="CL45" s="34"/>
      <c r="CM45" s="35"/>
    </row>
    <row r="46" spans="2:91" ht="18.899999999999999" customHeight="1" thickBot="1">
      <c r="I46" s="258" t="str">
        <f ca="1">IF(I45="o","p",IF(I45="p","q",IF(I45="q","r","s")))</f>
        <v>s</v>
      </c>
      <c r="J46" s="259" t="s">
        <v>150</v>
      </c>
      <c r="K46" s="260" t="s">
        <v>147</v>
      </c>
      <c r="L46" s="261">
        <f ca="1">BG47</f>
        <v>9.9999999999999982</v>
      </c>
      <c r="M46" s="261">
        <f ca="1">BT47</f>
        <v>9.9999999999999982</v>
      </c>
      <c r="N46" s="25"/>
      <c r="O46" s="359" t="s">
        <v>24</v>
      </c>
      <c r="P46" s="247"/>
      <c r="Q46" s="364">
        <f t="shared" ca="1" si="26"/>
        <v>0.16250000000000001</v>
      </c>
      <c r="R46" s="352">
        <f t="shared" ca="1" si="27"/>
        <v>0</v>
      </c>
      <c r="S46" s="365">
        <f t="shared" ca="1" si="28"/>
        <v>0.16250000000000001</v>
      </c>
      <c r="T46" s="247"/>
      <c r="U46" s="364">
        <f t="shared" ca="1" si="29"/>
        <v>0.16250000000000001</v>
      </c>
      <c r="V46" s="352">
        <f t="shared" ca="1" si="30"/>
        <v>0</v>
      </c>
      <c r="W46" s="365">
        <f t="shared" ca="1" si="7"/>
        <v>0.16250000000000001</v>
      </c>
      <c r="X46" s="247"/>
      <c r="Y46" s="364">
        <f t="shared" ca="1" si="8"/>
        <v>0.16250000000000001</v>
      </c>
      <c r="Z46" s="352">
        <f t="shared" ca="1" si="9"/>
        <v>0</v>
      </c>
      <c r="AA46" s="365">
        <f t="shared" ca="1" si="31"/>
        <v>0.16250000000000001</v>
      </c>
      <c r="AB46" s="58" t="str">
        <f t="shared" ca="1" si="63"/>
        <v/>
      </c>
      <c r="AC46" s="496" t="s">
        <v>24</v>
      </c>
      <c r="AD46" s="275"/>
      <c r="AE46" s="315">
        <f t="shared" ca="1" si="33"/>
        <v>0</v>
      </c>
      <c r="AF46" s="316">
        <f t="shared" ca="1" si="34"/>
        <v>0</v>
      </c>
      <c r="AG46" s="317">
        <f t="shared" ca="1" si="10"/>
        <v>-0.5</v>
      </c>
      <c r="AH46" s="316">
        <f t="shared" ca="1" si="11"/>
        <v>0</v>
      </c>
      <c r="AI46" s="317">
        <f t="shared" ca="1" si="12"/>
        <v>-0.65</v>
      </c>
      <c r="AJ46" s="318">
        <f t="shared" ca="1" si="13"/>
        <v>0</v>
      </c>
      <c r="AK46" s="280"/>
      <c r="AL46" s="319">
        <f t="shared" ca="1" si="35"/>
        <v>0</v>
      </c>
      <c r="AM46" s="320">
        <f t="shared" ca="1" si="36"/>
        <v>0</v>
      </c>
      <c r="AN46" s="321">
        <f t="shared" ca="1" si="37"/>
        <v>0</v>
      </c>
      <c r="AO46" s="322">
        <f t="shared" ca="1" si="38"/>
        <v>0.13</v>
      </c>
      <c r="AP46" s="320">
        <f t="shared" ca="1" si="39"/>
        <v>0</v>
      </c>
      <c r="AQ46" s="321">
        <f t="shared" ca="1" si="40"/>
        <v>0.13</v>
      </c>
      <c r="AR46" s="322">
        <f t="shared" ca="1" si="41"/>
        <v>3.2500000000000001E-2</v>
      </c>
      <c r="AS46" s="320">
        <f t="shared" ca="1" si="42"/>
        <v>0</v>
      </c>
      <c r="AT46" s="321">
        <f t="shared" ca="1" si="43"/>
        <v>3.2500000000000001E-2</v>
      </c>
      <c r="AU46" s="322">
        <f t="shared" ca="1" si="44"/>
        <v>0.16250000000000001</v>
      </c>
      <c r="AV46" s="321">
        <f t="shared" ca="1" si="45"/>
        <v>0</v>
      </c>
      <c r="AW46" s="323">
        <f t="shared" ca="1" si="46"/>
        <v>0.16250000000000001</v>
      </c>
      <c r="AX46" s="286"/>
      <c r="AY46" s="319">
        <f t="shared" ca="1" si="14"/>
        <v>0</v>
      </c>
      <c r="AZ46" s="320">
        <f t="shared" ca="1" si="15"/>
        <v>0</v>
      </c>
      <c r="BA46" s="321">
        <f t="shared" ca="1" si="47"/>
        <v>0</v>
      </c>
      <c r="BB46" s="322">
        <f t="shared" ca="1" si="16"/>
        <v>0.13</v>
      </c>
      <c r="BC46" s="320">
        <f t="shared" ca="1" si="17"/>
        <v>0</v>
      </c>
      <c r="BD46" s="321">
        <f t="shared" ca="1" si="48"/>
        <v>0.13</v>
      </c>
      <c r="BE46" s="322">
        <f t="shared" ca="1" si="18"/>
        <v>3.2500000000000001E-2</v>
      </c>
      <c r="BF46" s="320">
        <f t="shared" ca="1" si="19"/>
        <v>0</v>
      </c>
      <c r="BG46" s="321">
        <f t="shared" ca="1" si="49"/>
        <v>3.2500000000000001E-2</v>
      </c>
      <c r="BH46" s="322">
        <f t="shared" ca="1" si="50"/>
        <v>0.16250000000000001</v>
      </c>
      <c r="BI46" s="321">
        <f t="shared" ca="1" si="51"/>
        <v>0</v>
      </c>
      <c r="BJ46" s="323">
        <f t="shared" ca="1" si="52"/>
        <v>0.16250000000000001</v>
      </c>
      <c r="BK46" s="286"/>
      <c r="BL46" s="319">
        <f t="shared" ca="1" si="20"/>
        <v>0</v>
      </c>
      <c r="BM46" s="320">
        <f t="shared" ca="1" si="21"/>
        <v>0</v>
      </c>
      <c r="BN46" s="321">
        <f t="shared" ca="1" si="53"/>
        <v>0</v>
      </c>
      <c r="BO46" s="322">
        <f t="shared" ca="1" si="22"/>
        <v>0.13</v>
      </c>
      <c r="BP46" s="320">
        <f t="shared" ca="1" si="23"/>
        <v>0</v>
      </c>
      <c r="BQ46" s="321">
        <f t="shared" ca="1" si="54"/>
        <v>0.13</v>
      </c>
      <c r="BR46" s="322">
        <f t="shared" ca="1" si="24"/>
        <v>3.2500000000000001E-2</v>
      </c>
      <c r="BS46" s="320">
        <f t="shared" ca="1" si="25"/>
        <v>0</v>
      </c>
      <c r="BT46" s="321">
        <f t="shared" ca="1" si="55"/>
        <v>3.2500000000000001E-2</v>
      </c>
      <c r="BU46" s="322">
        <f t="shared" ca="1" si="56"/>
        <v>0.16250000000000001</v>
      </c>
      <c r="BV46" s="321">
        <f t="shared" ca="1" si="57"/>
        <v>0</v>
      </c>
      <c r="BW46" s="323">
        <f t="shared" ca="1" si="58"/>
        <v>0.16250000000000001</v>
      </c>
      <c r="BX46" s="286"/>
      <c r="BY46" s="300">
        <f ca="1">IF(AND((-AY46+AZ46+BY45)&gt;=0,ISERROR(-AY46+AZ46+BY45)=FALSE)=TRUE,-AY46+AZ46+BY45,0)</f>
        <v>1.3877787807814457E-16</v>
      </c>
      <c r="BZ46" s="301">
        <f ca="1">IF(AND((-BB46+BC46+BZ45)&gt;=0,ISERROR(-BB46+BC46+BZ45)=FALSE)=TRUE,-BB46+BC46+BZ45,0)</f>
        <v>6.6613381477509392E-16</v>
      </c>
      <c r="CA46" s="301">
        <f ca="1">IF(AND((-BE46+BF46+CA45)&gt;=0,ISERROR(-BE46+BF46+CA45)=FALSE)=TRUE,-BE46+BF46+CA45,0)</f>
        <v>0</v>
      </c>
      <c r="CB46" s="324">
        <f ca="1">SUM(BY46:CA46)</f>
        <v>8.0491169285323849E-16</v>
      </c>
      <c r="CE46" s="27"/>
      <c r="CF46" s="27"/>
      <c r="CG46" s="27"/>
      <c r="CH46" s="27"/>
      <c r="CI46" s="27"/>
      <c r="CJ46" s="27"/>
      <c r="CK46" s="34"/>
      <c r="CL46" s="34"/>
      <c r="CM46" s="35"/>
    </row>
    <row r="47" spans="2:91" ht="18.899999999999999" customHeight="1" thickBot="1">
      <c r="I47" s="255"/>
      <c r="J47" s="256" t="s">
        <v>22</v>
      </c>
      <c r="K47" s="257" t="s">
        <v>147</v>
      </c>
      <c r="L47" s="249">
        <f ca="1">SUM(L44:L46)</f>
        <v>65.899999999999991</v>
      </c>
      <c r="M47" s="249">
        <f ca="1">SUM(M44:M46)</f>
        <v>65.3</v>
      </c>
      <c r="N47" s="26"/>
      <c r="O47" s="353" t="s">
        <v>47</v>
      </c>
      <c r="P47" s="247"/>
      <c r="Q47" s="354">
        <f ca="1">SUM(Q23:Q46)</f>
        <v>34.000000000000007</v>
      </c>
      <c r="R47" s="355">
        <f ca="1">SUM(R23:R46)</f>
        <v>34</v>
      </c>
      <c r="S47" s="356">
        <f ca="1">SUM(S23:S46)</f>
        <v>68</v>
      </c>
      <c r="T47" s="247"/>
      <c r="U47" s="354">
        <f ca="1">SUM(U23:U46)</f>
        <v>32.950000000000003</v>
      </c>
      <c r="V47" s="355">
        <f ca="1">SUM(V23:V46)</f>
        <v>32.950000000000003</v>
      </c>
      <c r="W47" s="356">
        <f ca="1">SUM(W23:W46)</f>
        <v>65.900000000000006</v>
      </c>
      <c r="X47" s="247"/>
      <c r="Y47" s="354">
        <f ca="1">SUM(Y23:Y46)</f>
        <v>32.65</v>
      </c>
      <c r="Z47" s="355">
        <f ca="1">SUM(Z23:Z46)</f>
        <v>32.65</v>
      </c>
      <c r="AA47" s="356">
        <f ca="1">SUM(AA23:AA46)</f>
        <v>65.300000000000011</v>
      </c>
      <c r="AC47" s="325" t="s">
        <v>47</v>
      </c>
      <c r="AD47" s="90"/>
      <c r="AE47" s="326">
        <f t="shared" ref="AE47:AJ47" ca="1" si="64">SUM(AE23:AE46)</f>
        <v>-99.999999999999986</v>
      </c>
      <c r="AF47" s="327">
        <f t="shared" ca="1" si="64"/>
        <v>100</v>
      </c>
      <c r="AG47" s="328">
        <f t="shared" ca="1" si="64"/>
        <v>-100</v>
      </c>
      <c r="AH47" s="327">
        <f t="shared" ca="1" si="64"/>
        <v>100.00000000000003</v>
      </c>
      <c r="AI47" s="328">
        <f t="shared" ca="1" si="64"/>
        <v>-100</v>
      </c>
      <c r="AJ47" s="329">
        <f t="shared" ca="1" si="64"/>
        <v>100</v>
      </c>
      <c r="AK47" s="330"/>
      <c r="AL47" s="326">
        <f ca="1">SUM(AL23:AL46)</f>
        <v>3</v>
      </c>
      <c r="AM47" s="331">
        <f ca="1">SUM(AM23:AM46)</f>
        <v>2.9999999999999996</v>
      </c>
      <c r="AN47" s="327">
        <f ca="1">SUM(AN23:AN46)</f>
        <v>5.9999999999999991</v>
      </c>
      <c r="AO47" s="328">
        <f t="shared" ref="AO47:AT47" ca="1" si="65">SUM(AO23:AO46)</f>
        <v>25.999999999999996</v>
      </c>
      <c r="AP47" s="331">
        <f t="shared" ca="1" si="65"/>
        <v>25.999999999999996</v>
      </c>
      <c r="AQ47" s="327">
        <f t="shared" ca="1" si="65"/>
        <v>52</v>
      </c>
      <c r="AR47" s="328">
        <f t="shared" ca="1" si="65"/>
        <v>5</v>
      </c>
      <c r="AS47" s="331">
        <f t="shared" ca="1" si="65"/>
        <v>5</v>
      </c>
      <c r="AT47" s="327">
        <f t="shared" ca="1" si="65"/>
        <v>9.9999999999999982</v>
      </c>
      <c r="AU47" s="328">
        <f ca="1">SUM(AU23:AU46)</f>
        <v>34.000000000000007</v>
      </c>
      <c r="AV47" s="327">
        <f ca="1">SUM(AV23:AV46)</f>
        <v>34</v>
      </c>
      <c r="AW47" s="329">
        <f ca="1">SUM(AW23:AW46)</f>
        <v>68</v>
      </c>
      <c r="AX47" s="332"/>
      <c r="AY47" s="326">
        <f t="shared" ref="AY47:BI47" ca="1" si="66">SUM(AY23:AY46)</f>
        <v>1.9500000000000002</v>
      </c>
      <c r="AZ47" s="331">
        <f t="shared" ca="1" si="66"/>
        <v>1.9500000000000002</v>
      </c>
      <c r="BA47" s="327">
        <f ca="1">SUM(BA23:BA46)</f>
        <v>3.8999999999999995</v>
      </c>
      <c r="BB47" s="328">
        <f t="shared" ca="1" si="66"/>
        <v>25.999999999999996</v>
      </c>
      <c r="BC47" s="331">
        <f t="shared" ca="1" si="66"/>
        <v>25.999999999999996</v>
      </c>
      <c r="BD47" s="327">
        <f t="shared" ca="1" si="66"/>
        <v>52</v>
      </c>
      <c r="BE47" s="328">
        <f t="shared" ca="1" si="66"/>
        <v>5</v>
      </c>
      <c r="BF47" s="331">
        <f t="shared" ca="1" si="66"/>
        <v>5</v>
      </c>
      <c r="BG47" s="327">
        <f t="shared" ca="1" si="66"/>
        <v>9.9999999999999982</v>
      </c>
      <c r="BH47" s="328">
        <f t="shared" ca="1" si="66"/>
        <v>32.950000000000003</v>
      </c>
      <c r="BI47" s="327">
        <f t="shared" ca="1" si="66"/>
        <v>32.950000000000003</v>
      </c>
      <c r="BJ47" s="329">
        <f ca="1">SUM(BJ23:BJ46)</f>
        <v>65.900000000000006</v>
      </c>
      <c r="BK47" s="332"/>
      <c r="BL47" s="326">
        <f t="shared" ref="BL47:BT47" ca="1" si="67">SUM(BL23:BL46)</f>
        <v>1.65</v>
      </c>
      <c r="BM47" s="331">
        <f t="shared" ca="1" si="67"/>
        <v>1.6500000000000001</v>
      </c>
      <c r="BN47" s="327">
        <f t="shared" ca="1" si="67"/>
        <v>3.3</v>
      </c>
      <c r="BO47" s="328">
        <f t="shared" ca="1" si="67"/>
        <v>25.999999999999996</v>
      </c>
      <c r="BP47" s="331">
        <f t="shared" ca="1" si="67"/>
        <v>25.999999999999996</v>
      </c>
      <c r="BQ47" s="327">
        <f ca="1">SUM(BQ23:BQ46)</f>
        <v>52</v>
      </c>
      <c r="BR47" s="328">
        <f t="shared" ca="1" si="67"/>
        <v>5</v>
      </c>
      <c r="BS47" s="331">
        <f t="shared" ca="1" si="67"/>
        <v>5</v>
      </c>
      <c r="BT47" s="327">
        <f t="shared" ca="1" si="67"/>
        <v>9.9999999999999982</v>
      </c>
      <c r="BU47" s="328">
        <f ca="1">SUM(BU23:BU46)</f>
        <v>32.65</v>
      </c>
      <c r="BV47" s="327">
        <f ca="1">SUM(BV23:BV46)</f>
        <v>32.65</v>
      </c>
      <c r="BW47" s="329">
        <f ca="1">SUM(BW23:BW46)</f>
        <v>65.300000000000011</v>
      </c>
      <c r="BX47" s="332"/>
      <c r="BY47" s="333">
        <f ca="1">MAX(BY23:BY46)</f>
        <v>0.17062500000000014</v>
      </c>
      <c r="BZ47" s="334">
        <f ca="1">MAX(BZ23:BZ46)</f>
        <v>14.209</v>
      </c>
      <c r="CA47" s="334">
        <f ca="1">MAX(CA23:CA46)</f>
        <v>0.54499999999999993</v>
      </c>
      <c r="CB47" s="335">
        <f ca="1">MAX(CB23:CB46)</f>
        <v>14.749374999999999</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 xml:space="preserve">großfl. Einzelhandel </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 xml:space="preserve">großfl. Einzelhandel </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ca="1">CB23</f>
        <v>7.6327832942979512E-16</v>
      </c>
      <c r="X102" s="244"/>
      <c r="Y102" s="499">
        <f ca="1">BY23</f>
        <v>9.7144514654701197E-17</v>
      </c>
      <c r="Z102" s="500">
        <f ca="1">BZ23</f>
        <v>6.6613381477509392E-16</v>
      </c>
      <c r="AA102" s="501">
        <f ca="1">CA23</f>
        <v>0</v>
      </c>
    </row>
    <row r="103" spans="9:27" ht="15.9" customHeight="1">
      <c r="I103" s="670"/>
      <c r="J103" s="52"/>
      <c r="K103" s="52"/>
      <c r="L103" s="52"/>
      <c r="M103" s="52"/>
      <c r="N103" s="52"/>
      <c r="O103" s="52"/>
      <c r="P103" s="52"/>
      <c r="Q103" s="52"/>
      <c r="R103" s="52"/>
      <c r="S103" s="52"/>
      <c r="T103" s="52"/>
      <c r="U103" s="664" t="s">
        <v>161</v>
      </c>
      <c r="V103" s="665"/>
      <c r="W103" s="466">
        <f t="shared" ref="W103:W125" ca="1" si="68">CB24</f>
        <v>7.6327832942979512E-16</v>
      </c>
      <c r="X103" s="244"/>
      <c r="Y103" s="502">
        <f t="shared" ref="Y103:Y125" ca="1" si="69">BY24</f>
        <v>9.7144514654701197E-17</v>
      </c>
      <c r="Z103" s="503">
        <f t="shared" ref="Z103:Z125" ca="1" si="70">BZ24</f>
        <v>6.6613381477509392E-16</v>
      </c>
      <c r="AA103" s="504">
        <f t="shared" ref="AA103:AA125" ca="1" si="71">CA24</f>
        <v>0</v>
      </c>
    </row>
    <row r="104" spans="9:27" ht="15.9" customHeight="1">
      <c r="I104" s="670"/>
      <c r="J104" s="52"/>
      <c r="K104" s="52"/>
      <c r="L104" s="52"/>
      <c r="M104" s="52"/>
      <c r="N104" s="52"/>
      <c r="O104" s="52"/>
      <c r="P104" s="52"/>
      <c r="Q104" s="52"/>
      <c r="R104" s="52"/>
      <c r="S104" s="52"/>
      <c r="T104" s="52"/>
      <c r="U104" s="664" t="s">
        <v>26</v>
      </c>
      <c r="V104" s="665"/>
      <c r="W104" s="466">
        <f t="shared" ca="1" si="68"/>
        <v>7.6327832942979512E-16</v>
      </c>
      <c r="X104" s="244"/>
      <c r="Y104" s="502">
        <f t="shared" ca="1" si="69"/>
        <v>9.7144514654701197E-17</v>
      </c>
      <c r="Z104" s="503">
        <f t="shared" ca="1" si="70"/>
        <v>6.6613381477509392E-16</v>
      </c>
      <c r="AA104" s="504">
        <f t="shared" ca="1" si="71"/>
        <v>0</v>
      </c>
    </row>
    <row r="105" spans="9:27" ht="15.9" customHeight="1">
      <c r="I105" s="670"/>
      <c r="J105" s="52"/>
      <c r="K105" s="52"/>
      <c r="L105" s="52"/>
      <c r="M105" s="52"/>
      <c r="N105" s="52"/>
      <c r="O105" s="52"/>
      <c r="P105" s="52"/>
      <c r="Q105" s="52"/>
      <c r="R105" s="52"/>
      <c r="S105" s="52"/>
      <c r="T105" s="52"/>
      <c r="U105" s="664" t="s">
        <v>27</v>
      </c>
      <c r="V105" s="665"/>
      <c r="W105" s="466">
        <f t="shared" ca="1" si="68"/>
        <v>7.6327832942979512E-16</v>
      </c>
      <c r="X105" s="244"/>
      <c r="Y105" s="502">
        <f t="shared" ca="1" si="69"/>
        <v>9.7144514654701197E-17</v>
      </c>
      <c r="Z105" s="503">
        <f t="shared" ca="1" si="70"/>
        <v>6.6613381477509392E-16</v>
      </c>
      <c r="AA105" s="504">
        <f t="shared" ca="1" si="71"/>
        <v>0</v>
      </c>
    </row>
    <row r="106" spans="9:27" ht="15.9" customHeight="1">
      <c r="I106" s="670"/>
      <c r="J106" s="52"/>
      <c r="K106" s="52"/>
      <c r="L106" s="52"/>
      <c r="M106" s="52"/>
      <c r="N106" s="52"/>
      <c r="O106" s="52"/>
      <c r="P106" s="52"/>
      <c r="Q106" s="52"/>
      <c r="R106" s="52"/>
      <c r="S106" s="52"/>
      <c r="T106" s="52"/>
      <c r="U106" s="664" t="s">
        <v>28</v>
      </c>
      <c r="V106" s="665"/>
      <c r="W106" s="466">
        <f t="shared" ca="1" si="68"/>
        <v>0.2725000000000008</v>
      </c>
      <c r="X106" s="244"/>
      <c r="Y106" s="502">
        <f t="shared" ca="1" si="69"/>
        <v>9.7144514654701197E-17</v>
      </c>
      <c r="Z106" s="503">
        <f t="shared" ca="1" si="70"/>
        <v>0.26000000000000068</v>
      </c>
      <c r="AA106" s="504">
        <f t="shared" ca="1" si="71"/>
        <v>1.2500000000000001E-2</v>
      </c>
    </row>
    <row r="107" spans="9:27" ht="15.9" customHeight="1">
      <c r="I107" s="670"/>
      <c r="J107" s="52"/>
      <c r="K107" s="52"/>
      <c r="L107" s="52"/>
      <c r="M107" s="52"/>
      <c r="N107" s="52"/>
      <c r="O107" s="52"/>
      <c r="P107" s="52"/>
      <c r="Q107" s="52"/>
      <c r="R107" s="52"/>
      <c r="S107" s="52"/>
      <c r="T107" s="52"/>
      <c r="U107" s="664" t="s">
        <v>29</v>
      </c>
      <c r="V107" s="665"/>
      <c r="W107" s="466">
        <f t="shared" ca="1" si="68"/>
        <v>1.7925000000000006</v>
      </c>
      <c r="X107" s="244"/>
      <c r="Y107" s="502">
        <f t="shared" ca="1" si="69"/>
        <v>9.7144514654701197E-17</v>
      </c>
      <c r="Z107" s="503">
        <f t="shared" ca="1" si="70"/>
        <v>1.7550000000000006</v>
      </c>
      <c r="AA107" s="504">
        <f t="shared" ca="1" si="71"/>
        <v>3.7499999999999992E-2</v>
      </c>
    </row>
    <row r="108" spans="9:27" ht="15.9" customHeight="1">
      <c r="I108" s="670"/>
      <c r="J108" s="52"/>
      <c r="K108" s="52"/>
      <c r="L108" s="52"/>
      <c r="M108" s="52"/>
      <c r="N108" s="52"/>
      <c r="O108" s="52"/>
      <c r="P108" s="52"/>
      <c r="Q108" s="52"/>
      <c r="R108" s="52"/>
      <c r="S108" s="52"/>
      <c r="T108" s="52"/>
      <c r="U108" s="664" t="s">
        <v>30</v>
      </c>
      <c r="V108" s="665"/>
      <c r="W108" s="466">
        <f t="shared" ca="1" si="68"/>
        <v>7.1069999999999993</v>
      </c>
      <c r="X108" s="244"/>
      <c r="Y108" s="502">
        <f t="shared" ca="1" si="69"/>
        <v>9.7144514654701197E-17</v>
      </c>
      <c r="Z108" s="503">
        <f t="shared" ca="1" si="70"/>
        <v>7.0069999999999997</v>
      </c>
      <c r="AA108" s="504">
        <f t="shared" ca="1" si="71"/>
        <v>9.9999999999999992E-2</v>
      </c>
    </row>
    <row r="109" spans="9:27" ht="15.9" customHeight="1">
      <c r="I109" s="670"/>
      <c r="J109" s="52"/>
      <c r="K109" s="52"/>
      <c r="L109" s="52"/>
      <c r="M109" s="52"/>
      <c r="N109" s="52"/>
      <c r="O109" s="52"/>
      <c r="P109" s="52"/>
      <c r="Q109" s="52"/>
      <c r="R109" s="52"/>
      <c r="S109" s="52"/>
      <c r="T109" s="52"/>
      <c r="U109" s="664" t="s">
        <v>31</v>
      </c>
      <c r="V109" s="665"/>
      <c r="W109" s="466">
        <f t="shared" ca="1" si="68"/>
        <v>13.614149999999999</v>
      </c>
      <c r="X109" s="244"/>
      <c r="Y109" s="502">
        <f t="shared" ca="1" si="69"/>
        <v>5.2650000000000113E-2</v>
      </c>
      <c r="Z109" s="503">
        <f t="shared" ca="1" si="70"/>
        <v>13.298999999999999</v>
      </c>
      <c r="AA109" s="504">
        <f t="shared" ca="1" si="71"/>
        <v>0.26250000000000001</v>
      </c>
    </row>
    <row r="110" spans="9:27" ht="15.9" customHeight="1">
      <c r="I110" s="670"/>
      <c r="J110" s="52"/>
      <c r="K110" s="52"/>
      <c r="L110" s="52"/>
      <c r="M110" s="52"/>
      <c r="N110" s="52"/>
      <c r="O110" s="52"/>
      <c r="P110" s="52"/>
      <c r="Q110" s="52"/>
      <c r="R110" s="52"/>
      <c r="S110" s="52"/>
      <c r="T110" s="52"/>
      <c r="U110" s="664" t="s">
        <v>32</v>
      </c>
      <c r="V110" s="665"/>
      <c r="W110" s="466">
        <f t="shared" ca="1" si="68"/>
        <v>14.749374999999999</v>
      </c>
      <c r="X110" s="244"/>
      <c r="Y110" s="502">
        <f t="shared" ca="1" si="69"/>
        <v>8.2875000000000115E-2</v>
      </c>
      <c r="Z110" s="503">
        <f t="shared" ca="1" si="70"/>
        <v>14.209</v>
      </c>
      <c r="AA110" s="504">
        <f t="shared" ca="1" si="71"/>
        <v>0.45750000000000002</v>
      </c>
    </row>
    <row r="111" spans="9:27" ht="15.9" customHeight="1">
      <c r="I111" s="670"/>
      <c r="J111" s="52"/>
      <c r="K111" s="52"/>
      <c r="L111" s="52"/>
      <c r="M111" s="52"/>
      <c r="N111" s="52"/>
      <c r="O111" s="52"/>
      <c r="P111" s="52"/>
      <c r="Q111" s="52"/>
      <c r="R111" s="52"/>
      <c r="S111" s="52"/>
      <c r="T111" s="52"/>
      <c r="U111" s="664" t="s">
        <v>33</v>
      </c>
      <c r="V111" s="665"/>
      <c r="W111" s="466">
        <f t="shared" ca="1" si="68"/>
        <v>14.38275</v>
      </c>
      <c r="X111" s="244"/>
      <c r="Y111" s="502">
        <f t="shared" ca="1" si="69"/>
        <v>0.14625000000000007</v>
      </c>
      <c r="Z111" s="503">
        <f t="shared" ca="1" si="70"/>
        <v>13.754</v>
      </c>
      <c r="AA111" s="504">
        <f t="shared" ca="1" si="71"/>
        <v>0.48250000000000004</v>
      </c>
    </row>
    <row r="112" spans="9:27" ht="15.9" customHeight="1">
      <c r="I112" s="670"/>
      <c r="J112" s="52"/>
      <c r="K112" s="52"/>
      <c r="L112" s="52"/>
      <c r="M112" s="52"/>
      <c r="N112" s="52"/>
      <c r="O112" s="52"/>
      <c r="P112" s="52"/>
      <c r="Q112" s="52"/>
      <c r="R112" s="52"/>
      <c r="S112" s="52"/>
      <c r="T112" s="52"/>
      <c r="U112" s="664" t="s">
        <v>34</v>
      </c>
      <c r="V112" s="665"/>
      <c r="W112" s="466">
        <f t="shared" ca="1" si="68"/>
        <v>13.882675000000001</v>
      </c>
      <c r="X112" s="244"/>
      <c r="Y112" s="502">
        <f t="shared" ca="1" si="69"/>
        <v>0.16867500000000007</v>
      </c>
      <c r="Z112" s="503">
        <f t="shared" ca="1" si="70"/>
        <v>13.169</v>
      </c>
      <c r="AA112" s="504">
        <f t="shared" ca="1" si="71"/>
        <v>0.54499999999999993</v>
      </c>
    </row>
    <row r="113" spans="9:27" ht="15.9" customHeight="1">
      <c r="I113" s="670"/>
      <c r="J113" s="52"/>
      <c r="K113" s="52"/>
      <c r="L113" s="52"/>
      <c r="M113" s="52"/>
      <c r="N113" s="52"/>
      <c r="O113" s="52"/>
      <c r="P113" s="52"/>
      <c r="Q113" s="52"/>
      <c r="R113" s="52"/>
      <c r="S113" s="52"/>
      <c r="T113" s="52"/>
      <c r="U113" s="664" t="s">
        <v>35</v>
      </c>
      <c r="V113" s="665"/>
      <c r="W113" s="466">
        <f t="shared" ca="1" si="68"/>
        <v>13.3208</v>
      </c>
      <c r="X113" s="244"/>
      <c r="Y113" s="502">
        <f t="shared" ca="1" si="69"/>
        <v>0.14430000000000009</v>
      </c>
      <c r="Z113" s="503">
        <f t="shared" ca="1" si="70"/>
        <v>12.649000000000001</v>
      </c>
      <c r="AA113" s="504">
        <f t="shared" ca="1" si="71"/>
        <v>0.52749999999999997</v>
      </c>
    </row>
    <row r="114" spans="9:27" ht="15.9" customHeight="1">
      <c r="I114" s="670"/>
      <c r="J114" s="52"/>
      <c r="K114" s="52"/>
      <c r="L114" s="52"/>
      <c r="M114" s="52"/>
      <c r="N114" s="52"/>
      <c r="O114" s="52"/>
      <c r="P114" s="52"/>
      <c r="Q114" s="52"/>
      <c r="R114" s="52"/>
      <c r="S114" s="52"/>
      <c r="T114" s="52"/>
      <c r="U114" s="664" t="s">
        <v>36</v>
      </c>
      <c r="V114" s="665"/>
      <c r="W114" s="466">
        <f t="shared" ca="1" si="68"/>
        <v>11.167275000000002</v>
      </c>
      <c r="X114" s="244"/>
      <c r="Y114" s="502">
        <f t="shared" ca="1" si="69"/>
        <v>0.10627500000000015</v>
      </c>
      <c r="Z114" s="503">
        <f t="shared" ca="1" si="70"/>
        <v>10.621000000000002</v>
      </c>
      <c r="AA114" s="504">
        <f t="shared" ca="1" si="71"/>
        <v>0.43999999999999995</v>
      </c>
    </row>
    <row r="115" spans="9:27" ht="15.9" customHeight="1">
      <c r="I115" s="670"/>
      <c r="J115" s="52"/>
      <c r="K115" s="52"/>
      <c r="L115" s="52"/>
      <c r="M115" s="52"/>
      <c r="N115" s="52"/>
      <c r="O115" s="52"/>
      <c r="P115" s="52"/>
      <c r="Q115" s="52"/>
      <c r="R115" s="52"/>
      <c r="S115" s="52"/>
      <c r="T115" s="52"/>
      <c r="U115" s="664" t="s">
        <v>37</v>
      </c>
      <c r="V115" s="665"/>
      <c r="W115" s="466">
        <f t="shared" ca="1" si="68"/>
        <v>11.515250000000002</v>
      </c>
      <c r="X115" s="244"/>
      <c r="Y115" s="502">
        <f t="shared" ca="1" si="69"/>
        <v>8.7750000000000147E-2</v>
      </c>
      <c r="Z115" s="503">
        <f t="shared" ca="1" si="70"/>
        <v>11.050000000000002</v>
      </c>
      <c r="AA115" s="504">
        <f t="shared" ca="1" si="71"/>
        <v>0.37749999999999995</v>
      </c>
    </row>
    <row r="116" spans="9:27" ht="15.9" customHeight="1">
      <c r="I116" s="670"/>
      <c r="J116" s="52"/>
      <c r="K116" s="52"/>
      <c r="L116" s="52"/>
      <c r="M116" s="52"/>
      <c r="N116" s="52"/>
      <c r="O116" s="52"/>
      <c r="P116" s="52"/>
      <c r="Q116" s="52"/>
      <c r="R116" s="52"/>
      <c r="S116" s="52"/>
      <c r="T116" s="52"/>
      <c r="U116" s="664" t="s">
        <v>38</v>
      </c>
      <c r="V116" s="665"/>
      <c r="W116" s="466">
        <f t="shared" ca="1" si="68"/>
        <v>11.380225000000001</v>
      </c>
      <c r="X116" s="244"/>
      <c r="Y116" s="502">
        <f t="shared" ca="1" si="69"/>
        <v>8.8725000000000151E-2</v>
      </c>
      <c r="Z116" s="503">
        <f t="shared" ca="1" si="70"/>
        <v>10.894000000000002</v>
      </c>
      <c r="AA116" s="504">
        <f t="shared" ca="1" si="71"/>
        <v>0.39749999999999991</v>
      </c>
    </row>
    <row r="117" spans="9:27" ht="15.9" customHeight="1">
      <c r="I117" s="670"/>
      <c r="J117" s="52"/>
      <c r="K117" s="52"/>
      <c r="L117" s="52"/>
      <c r="M117" s="52"/>
      <c r="N117" s="52"/>
      <c r="O117" s="52"/>
      <c r="P117" s="52"/>
      <c r="Q117" s="52"/>
      <c r="R117" s="52"/>
      <c r="S117" s="52"/>
      <c r="T117" s="52"/>
      <c r="U117" s="664" t="s">
        <v>39</v>
      </c>
      <c r="V117" s="665"/>
      <c r="W117" s="466">
        <f t="shared" ca="1" si="68"/>
        <v>10.073200000000002</v>
      </c>
      <c r="X117" s="244"/>
      <c r="Y117" s="502">
        <f t="shared" ca="1" si="69"/>
        <v>0.10920000000000014</v>
      </c>
      <c r="Z117" s="503">
        <f t="shared" ca="1" si="70"/>
        <v>9.5290000000000017</v>
      </c>
      <c r="AA117" s="504">
        <f t="shared" ca="1" si="71"/>
        <v>0.43499999999999994</v>
      </c>
    </row>
    <row r="118" spans="9:27" ht="15.9" customHeight="1">
      <c r="I118" s="670"/>
      <c r="J118" s="52"/>
      <c r="K118" s="52"/>
      <c r="L118" s="52"/>
      <c r="M118" s="52"/>
      <c r="N118" s="52"/>
      <c r="O118" s="52"/>
      <c r="P118" s="52"/>
      <c r="Q118" s="52"/>
      <c r="R118" s="52"/>
      <c r="S118" s="52"/>
      <c r="T118" s="52"/>
      <c r="U118" s="664" t="s">
        <v>40</v>
      </c>
      <c r="V118" s="665"/>
      <c r="W118" s="466">
        <f t="shared" ca="1" si="68"/>
        <v>7.2675750000000017</v>
      </c>
      <c r="X118" s="244"/>
      <c r="Y118" s="502">
        <f t="shared" ca="1" si="69"/>
        <v>0.13357500000000017</v>
      </c>
      <c r="Z118" s="503">
        <f t="shared" ca="1" si="70"/>
        <v>6.7990000000000013</v>
      </c>
      <c r="AA118" s="504">
        <f t="shared" ca="1" si="71"/>
        <v>0.33499999999999996</v>
      </c>
    </row>
    <row r="119" spans="9:27" ht="15.9" customHeight="1">
      <c r="I119" s="670"/>
      <c r="J119" s="52"/>
      <c r="K119" s="52"/>
      <c r="L119" s="52"/>
      <c r="M119" s="52"/>
      <c r="N119" s="52"/>
      <c r="O119" s="52"/>
      <c r="P119" s="52"/>
      <c r="Q119" s="52"/>
      <c r="R119" s="52"/>
      <c r="S119" s="52"/>
      <c r="T119" s="52"/>
      <c r="U119" s="664" t="s">
        <v>41</v>
      </c>
      <c r="V119" s="665"/>
      <c r="W119" s="466">
        <f t="shared" ca="1" si="68"/>
        <v>3.8798750000000011</v>
      </c>
      <c r="X119" s="244"/>
      <c r="Y119" s="502">
        <f t="shared" ca="1" si="69"/>
        <v>0.16087500000000016</v>
      </c>
      <c r="Z119" s="503">
        <f t="shared" ca="1" si="70"/>
        <v>3.4840000000000009</v>
      </c>
      <c r="AA119" s="504">
        <f t="shared" ca="1" si="71"/>
        <v>0.23499999999999999</v>
      </c>
    </row>
    <row r="120" spans="9:27" ht="15.9" customHeight="1">
      <c r="I120" s="670"/>
      <c r="J120" s="52"/>
      <c r="K120" s="52"/>
      <c r="L120" s="52"/>
      <c r="M120" s="52"/>
      <c r="N120" s="52"/>
      <c r="O120" s="52"/>
      <c r="P120" s="52"/>
      <c r="Q120" s="52"/>
      <c r="R120" s="52"/>
      <c r="S120" s="52"/>
      <c r="T120" s="52"/>
      <c r="U120" s="664" t="s">
        <v>42</v>
      </c>
      <c r="V120" s="665"/>
      <c r="W120" s="466">
        <f t="shared" ca="1" si="68"/>
        <v>2.0596250000000009</v>
      </c>
      <c r="X120" s="244"/>
      <c r="Y120" s="502">
        <f t="shared" ca="1" si="69"/>
        <v>0.17062500000000014</v>
      </c>
      <c r="Z120" s="503">
        <f t="shared" ca="1" si="70"/>
        <v>1.7290000000000008</v>
      </c>
      <c r="AA120" s="504">
        <f t="shared" ca="1" si="71"/>
        <v>0.15999999999999998</v>
      </c>
    </row>
    <row r="121" spans="9:27" ht="15.9" customHeight="1">
      <c r="I121" s="670"/>
      <c r="J121" s="52"/>
      <c r="K121" s="52"/>
      <c r="L121" s="52"/>
      <c r="M121" s="52"/>
      <c r="N121" s="52"/>
      <c r="O121" s="52"/>
      <c r="P121" s="52"/>
      <c r="Q121" s="52"/>
      <c r="R121" s="52"/>
      <c r="S121" s="52"/>
      <c r="T121" s="52"/>
      <c r="U121" s="664" t="s">
        <v>43</v>
      </c>
      <c r="V121" s="665"/>
      <c r="W121" s="466">
        <f t="shared" ca="1" si="68"/>
        <v>1.380400000000001</v>
      </c>
      <c r="X121" s="244"/>
      <c r="Y121" s="502">
        <f t="shared" ca="1" si="69"/>
        <v>6.240000000000015E-2</v>
      </c>
      <c r="Z121" s="503">
        <f t="shared" ca="1" si="70"/>
        <v>1.1830000000000007</v>
      </c>
      <c r="AA121" s="504">
        <f t="shared" ca="1" si="71"/>
        <v>0.13499999999999998</v>
      </c>
    </row>
    <row r="122" spans="9:27" ht="15.9" customHeight="1">
      <c r="I122" s="670"/>
      <c r="J122" s="52"/>
      <c r="K122" s="52"/>
      <c r="L122" s="52"/>
      <c r="M122" s="52"/>
      <c r="N122" s="52"/>
      <c r="O122" s="52"/>
      <c r="P122" s="52"/>
      <c r="Q122" s="52"/>
      <c r="R122" s="52"/>
      <c r="S122" s="52"/>
      <c r="T122" s="52"/>
      <c r="U122" s="664" t="s">
        <v>44</v>
      </c>
      <c r="V122" s="665"/>
      <c r="W122" s="466">
        <f t="shared" ca="1" si="68"/>
        <v>0.78300000000000081</v>
      </c>
      <c r="X122" s="244"/>
      <c r="Y122" s="502">
        <f t="shared" ca="1" si="69"/>
        <v>1.3877787807814457E-16</v>
      </c>
      <c r="Z122" s="503">
        <f t="shared" ca="1" si="70"/>
        <v>0.6630000000000007</v>
      </c>
      <c r="AA122" s="504">
        <f t="shared" ca="1" si="71"/>
        <v>0.11999999999999998</v>
      </c>
    </row>
    <row r="123" spans="9:27" ht="15.9" customHeight="1">
      <c r="I123" s="670"/>
      <c r="J123" s="52"/>
      <c r="K123" s="52"/>
      <c r="L123" s="52"/>
      <c r="M123" s="52"/>
      <c r="N123" s="52"/>
      <c r="O123" s="52"/>
      <c r="P123" s="52"/>
      <c r="Q123" s="52"/>
      <c r="R123" s="52"/>
      <c r="S123" s="52"/>
      <c r="T123" s="52"/>
      <c r="U123" s="664" t="s">
        <v>45</v>
      </c>
      <c r="V123" s="665"/>
      <c r="W123" s="466">
        <f t="shared" ca="1" si="68"/>
        <v>0.60250000000000081</v>
      </c>
      <c r="X123" s="244"/>
      <c r="Y123" s="502">
        <f t="shared" ca="1" si="69"/>
        <v>1.3877787807814457E-16</v>
      </c>
      <c r="Z123" s="503">
        <f t="shared" ca="1" si="70"/>
        <v>0.52000000000000068</v>
      </c>
      <c r="AA123" s="504">
        <f t="shared" ca="1" si="71"/>
        <v>8.2499999999999976E-2</v>
      </c>
    </row>
    <row r="124" spans="9:27" ht="15.9" customHeight="1">
      <c r="I124" s="670"/>
      <c r="J124" s="52"/>
      <c r="K124" s="52"/>
      <c r="L124" s="52"/>
      <c r="M124" s="52"/>
      <c r="N124" s="52"/>
      <c r="O124" s="52"/>
      <c r="P124" s="52"/>
      <c r="Q124" s="52"/>
      <c r="R124" s="52"/>
      <c r="S124" s="52"/>
      <c r="T124" s="52"/>
      <c r="U124" s="664" t="s">
        <v>46</v>
      </c>
      <c r="V124" s="665"/>
      <c r="W124" s="466">
        <f t="shared" ca="1" si="68"/>
        <v>0.16250000000000078</v>
      </c>
      <c r="X124" s="244"/>
      <c r="Y124" s="502">
        <f t="shared" ca="1" si="69"/>
        <v>1.3877787807814457E-16</v>
      </c>
      <c r="Z124" s="503">
        <f t="shared" ca="1" si="70"/>
        <v>0.13000000000000067</v>
      </c>
      <c r="AA124" s="504">
        <f t="shared" ca="1" si="71"/>
        <v>3.2499999999999973E-2</v>
      </c>
    </row>
    <row r="125" spans="9:27" ht="15.9" customHeight="1" thickBot="1">
      <c r="I125" s="670"/>
      <c r="J125" s="52"/>
      <c r="K125" s="52"/>
      <c r="L125" s="52"/>
      <c r="M125" s="52"/>
      <c r="N125" s="52"/>
      <c r="O125" s="52"/>
      <c r="P125" s="52"/>
      <c r="Q125" s="52"/>
      <c r="R125" s="52"/>
      <c r="S125" s="52"/>
      <c r="T125" s="52"/>
      <c r="U125" s="666" t="s">
        <v>24</v>
      </c>
      <c r="V125" s="667"/>
      <c r="W125" s="466">
        <f t="shared" ca="1" si="68"/>
        <v>8.0491169285323849E-16</v>
      </c>
      <c r="X125" s="244"/>
      <c r="Y125" s="505">
        <f t="shared" ca="1" si="69"/>
        <v>1.3877787807814457E-16</v>
      </c>
      <c r="Z125" s="506">
        <f t="shared" ca="1" si="70"/>
        <v>6.6613381477509392E-16</v>
      </c>
      <c r="AA125" s="507">
        <f t="shared" ca="1" si="71"/>
        <v>0</v>
      </c>
    </row>
    <row r="126" spans="9:27" ht="15.9" customHeight="1">
      <c r="I126" s="670"/>
      <c r="J126" s="52"/>
      <c r="K126" s="52"/>
      <c r="L126" s="52"/>
      <c r="M126" s="52"/>
      <c r="N126" s="52"/>
      <c r="O126" s="52"/>
      <c r="P126" s="52"/>
      <c r="Q126" s="52"/>
      <c r="R126" s="52"/>
      <c r="S126" s="52"/>
      <c r="T126" s="52"/>
      <c r="U126" s="654" t="s">
        <v>48</v>
      </c>
      <c r="V126" s="655"/>
      <c r="W126" s="658">
        <f ca="1">MAX(W102:W125)</f>
        <v>14.749374999999999</v>
      </c>
      <c r="X126" s="245"/>
      <c r="Y126" s="660">
        <f ca="1">MAX(Y102:Y125)</f>
        <v>0.17062500000000014</v>
      </c>
      <c r="Z126" s="662">
        <f ca="1">MAX(Z102:Z125)</f>
        <v>14.209</v>
      </c>
      <c r="AA126" s="652">
        <f ca="1">MAX(AA102:AA125)</f>
        <v>0.54499999999999993</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15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23" priority="14" stopIfTrue="1">
      <formula>$I34&lt;&gt;""</formula>
    </cfRule>
  </conditionalFormatting>
  <dataValidations disablePrompts="1" count="4">
    <dataValidation type="list" allowBlank="1" showInputMessage="1" showErrorMessage="1" sqref="L8" xr:uid="{00000000-0002-0000-0200-000000000000}">
      <formula1>F9:F10</formula1>
    </dataValidation>
    <dataValidation type="list" allowBlank="1" showInputMessage="1" showErrorMessage="1" sqref="L9:L10" xr:uid="{00000000-0002-0000-0200-000001000000}">
      <formula1>$F$9:$F$10</formula1>
    </dataValidation>
    <dataValidation type="list" allowBlank="1" showInputMessage="1" showErrorMessage="1" sqref="K4:M4" xr:uid="{00000000-0002-0000-0200-000002000000}">
      <formula1>$CL$22:$CL$44</formula1>
    </dataValidation>
    <dataValidation type="list" allowBlank="1" showInputMessage="1" showErrorMessage="1" sqref="K6:M6" xr:uid="{00000000-0002-0000-02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0119519"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0119519" r:id="rId5" name="Toggle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tabColor indexed="17"/>
  </sheetPr>
  <dimension ref="A1:CM134"/>
  <sheetViews>
    <sheetView showGridLines="0" zoomScale="85" zoomScaleNormal="85" zoomScaleSheetLayoutView="85" workbookViewId="0">
      <pane xSplit="7" ySplit="1" topLeftCell="H16" activePane="bottomRight" state="frozen"/>
      <selection pane="topRight" activeCell="K4" sqref="K4:M4"/>
      <selection pane="bottomLeft" activeCell="K4" sqref="K4:M4"/>
      <selection pane="bottomRight" activeCell="M38" sqref="M38"/>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7</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23</v>
      </c>
      <c r="G4" s="520">
        <f>IF(AND(K4&lt;&gt;"keine Nutzung",K4&lt;&gt;0,K4&lt;&gt;"")=TRUE,ROW(I17)-(D4),0)</f>
        <v>14</v>
      </c>
      <c r="I4" s="517" t="s">
        <v>85</v>
      </c>
      <c r="K4" s="753" t="s">
        <v>86</v>
      </c>
      <c r="L4" s="754"/>
      <c r="M4" s="755"/>
      <c r="N4" s="27"/>
      <c r="O4" s="72" t="s">
        <v>87</v>
      </c>
      <c r="Q4" s="753" t="s">
        <v>162</v>
      </c>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24</v>
      </c>
      <c r="G6" s="520">
        <f>IF(OR(K6="--- LEER ---",K6=0,K6="")=TRUE,0,ROW(AC23)-(D6+7))</f>
        <v>14</v>
      </c>
      <c r="I6" s="518" t="s">
        <v>89</v>
      </c>
      <c r="J6" s="39"/>
      <c r="K6" s="715" t="s">
        <v>163</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1</v>
      </c>
      <c r="D8" s="50">
        <f t="array" aca="1" ref="D8" ca="1">MAX(IF('NF-Sets'!$B$2:$FJ$38=K8,ROW('NF-Sets'!$B$2:$FJ$38)))</f>
        <v>18</v>
      </c>
      <c r="E8" s="30"/>
      <c r="F8" s="51" t="s">
        <v>94</v>
      </c>
      <c r="G8" s="480"/>
      <c r="I8" s="518" t="s">
        <v>95</v>
      </c>
      <c r="J8" s="39"/>
      <c r="K8" s="40" t="str">
        <f>'NF-Sets'!B18</f>
        <v>Verbundeffekt(e)</v>
      </c>
      <c r="L8" s="756" t="s">
        <v>96</v>
      </c>
      <c r="M8" s="757"/>
      <c r="N8" s="29"/>
      <c r="Q8" s="729" t="str">
        <f>"Ganglinie: "</f>
        <v xml:space="preserve">Ganglinie: </v>
      </c>
      <c r="R8" s="730"/>
      <c r="S8" s="719" t="str">
        <f ca="1">IF(INDIRECT(ADDRESS(D6+2,F6,,,B6))&lt;&gt;0,INDIRECT(ADDRESS(D6+2,F6,,,B6)),"")</f>
        <v>Ganglininenkennwerte sind den Hinweisen zur Schätzung des Verkehrsaufkommens von Gebietstypen entnommen worden | beim Besucherverkehr wurden die Ganglinien für Besucherverkehr allgemein gewählt</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1</v>
      </c>
      <c r="D9" s="50">
        <f t="array" aca="1" ref="D9" ca="1">MAX(IF('NF-Sets'!$B$2:$FJ$38=K9,ROW('NF-Sets'!$B$2:$FJ$38)))</f>
        <v>19</v>
      </c>
      <c r="E9" s="30"/>
      <c r="F9" s="50" t="s">
        <v>96</v>
      </c>
      <c r="G9" s="481"/>
      <c r="I9" s="518"/>
      <c r="J9" s="39"/>
      <c r="K9" s="40" t="str">
        <f>'NF-Sets'!B19</f>
        <v>Mitnahmeeffekt(e)</v>
      </c>
      <c r="L9" s="756" t="s">
        <v>96</v>
      </c>
      <c r="M9" s="757"/>
      <c r="N9" s="29"/>
      <c r="Q9" s="729"/>
      <c r="R9" s="730"/>
      <c r="S9" s="719"/>
      <c r="T9" s="719"/>
      <c r="U9" s="719"/>
      <c r="V9" s="719"/>
      <c r="W9" s="719"/>
      <c r="X9" s="719"/>
      <c r="Y9" s="719"/>
      <c r="Z9" s="719"/>
      <c r="AA9" s="720"/>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3</v>
      </c>
      <c r="C11" s="516">
        <f ca="1">SUM(C8:C10)</f>
        <v>2</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"&amp;Q4,"02 - keine Nutzung")</f>
        <v>großfl. Einzelhandel BT A</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davon zusätzlich erzeugtes 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v>24000</v>
      </c>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davon zusätzlich erzeugtes 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55</v>
      </c>
      <c r="C19" s="69">
        <f t="shared" ref="C19:C28" ca="1" si="3">INDIRECT(ADDRESS($D$4+ROW()-ROW($J$17)+1,$F$4+2,,,$B$4))</f>
        <v>100</v>
      </c>
      <c r="D19" s="683" t="str">
        <f t="shared" ref="D19:D27" ca="1" si="4">IF($K$4=$CL$22,"",IF(AND(ISNUMBER(M19)=FALSE,ISNUMBER(B19)=TRUE,ISNUMBER(C19)=TRUE)=TRUE,"FEHLER",IF(OR(M19&lt;B19,M19&gt;C19)=TRUE,"FEHLER","")))</f>
        <v>FEHLER</v>
      </c>
      <c r="E19" s="683"/>
      <c r="F19" s="683"/>
      <c r="G19" s="684"/>
      <c r="H19" s="33"/>
      <c r="I19" s="246" t="s">
        <v>116</v>
      </c>
      <c r="J19" s="250" t="str">
        <f t="shared" ca="1" si="0"/>
        <v xml:space="preserve">Beschäftigte je m² GF </v>
      </c>
      <c r="K19" s="687" t="str">
        <f t="shared" ca="1" si="1"/>
        <v>1 Beschäftigter / 55 - 100  m² GF</v>
      </c>
      <c r="L19" s="687"/>
      <c r="M19" s="251">
        <v>50</v>
      </c>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inkl. Berücksichtigung von abmindernden Effekten im Kundenverkehr | exkl. Mitnahmeeffekte</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inkl. Berücksichtigung aller abmindernder Effekte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inkl. Berücksichtigung von abmindernden Effekten im Kundenverkehr | exkl. Mitnahmeeffekte</v>
      </c>
      <c r="AZ19" s="703"/>
      <c r="BA19" s="703"/>
      <c r="BB19" s="703"/>
      <c r="BC19" s="703"/>
      <c r="BD19" s="703"/>
      <c r="BE19" s="703"/>
      <c r="BF19" s="703"/>
      <c r="BG19" s="704"/>
      <c r="BH19" s="705" t="s">
        <v>47</v>
      </c>
      <c r="BI19" s="706"/>
      <c r="BJ19" s="707"/>
      <c r="BL19" s="702" t="str">
        <f ca="1">Y19</f>
        <v>inkl. Berücksichtigung aller abmindernder Effekte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ca="1" si="2"/>
        <v>0.3</v>
      </c>
      <c r="C20" s="69">
        <f t="shared" ca="1" si="3"/>
        <v>0.45</v>
      </c>
      <c r="D20" s="683" t="str">
        <f t="shared" ca="1" si="4"/>
        <v>FEHLER</v>
      </c>
      <c r="E20" s="683"/>
      <c r="F20" s="683"/>
      <c r="G20" s="684"/>
      <c r="H20" s="33"/>
      <c r="I20" s="246" t="s">
        <v>120</v>
      </c>
      <c r="J20" s="250" t="str">
        <f t="shared" ca="1" si="0"/>
        <v>Kunden je m² GF</v>
      </c>
      <c r="K20" s="687" t="str">
        <f t="shared" ca="1" si="1"/>
        <v>0,3 - 0,45  Kunden / 1 m² GF</v>
      </c>
      <c r="L20" s="687"/>
      <c r="M20" s="251" t="s">
        <v>121</v>
      </c>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4"/>
        <v/>
      </c>
      <c r="E21" s="683"/>
      <c r="F21" s="683"/>
      <c r="G21" s="684"/>
      <c r="H21" s="33"/>
      <c r="I21" s="246" t="s">
        <v>124</v>
      </c>
      <c r="J21" s="250" t="str">
        <f t="shared" ca="1" si="0"/>
        <v>Wegehäufigkeit je Beschäftigtem</v>
      </c>
      <c r="K21" s="687" t="str">
        <f t="shared" ca="1" si="1"/>
        <v>2 - 3 Wege / Beschäftigter</v>
      </c>
      <c r="L21" s="687"/>
      <c r="M21" s="251">
        <v>2.25</v>
      </c>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683" t="str">
        <f t="shared" ca="1" si="4"/>
        <v>FEHLER</v>
      </c>
      <c r="E22" s="683"/>
      <c r="F22" s="683"/>
      <c r="G22" s="684"/>
      <c r="H22" s="33"/>
      <c r="I22" s="246" t="s">
        <v>134</v>
      </c>
      <c r="J22" s="250" t="str">
        <f t="shared" ca="1" si="0"/>
        <v>Wegehäufigkeit je Kunde</v>
      </c>
      <c r="K22" s="687" t="str">
        <f t="shared" ca="1" si="1"/>
        <v>2 Wege / Kunde</v>
      </c>
      <c r="L22" s="687"/>
      <c r="M22" s="251">
        <v>0.5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-5.25</v>
      </c>
      <c r="AF22" s="277">
        <f t="shared" ca="1" si="5"/>
        <v>1</v>
      </c>
      <c r="AG22" s="278">
        <f t="shared" ca="1" si="5"/>
        <v>-0.5</v>
      </c>
      <c r="AH22" s="277">
        <f t="shared" ca="1" si="5"/>
        <v>0</v>
      </c>
      <c r="AI22" s="278">
        <f t="shared" ca="1" si="5"/>
        <v>-0.65</v>
      </c>
      <c r="AJ22" s="279">
        <f t="shared" ca="1" si="5"/>
        <v>0</v>
      </c>
      <c r="AK22" s="280"/>
      <c r="AL22" s="281">
        <f ca="1">AL46</f>
        <v>1.70625</v>
      </c>
      <c r="AM22" s="282">
        <f ca="1">AM46</f>
        <v>0.32500000000000001</v>
      </c>
      <c r="AN22" s="283">
        <f t="shared" ref="AN22:AN46" ca="1" si="6">AL22+AM22</f>
        <v>2.03125</v>
      </c>
      <c r="AO22" s="284">
        <f ca="1">AO46</f>
        <v>0.73750000000000004</v>
      </c>
      <c r="AP22" s="282">
        <f ca="1">AP46</f>
        <v>0</v>
      </c>
      <c r="AQ22" s="283">
        <f t="shared" ref="AQ22:AQ46" ca="1" si="7">AO22+AP22</f>
        <v>0.73750000000000004</v>
      </c>
      <c r="AR22" s="284">
        <f ca="1">AR46</f>
        <v>0.23400000000000001</v>
      </c>
      <c r="AS22" s="282">
        <f ca="1">AS46</f>
        <v>0</v>
      </c>
      <c r="AT22" s="283">
        <f t="shared" ref="AT22:AT46" ca="1" si="8">AR22+AS22</f>
        <v>0.23400000000000001</v>
      </c>
      <c r="AU22" s="284">
        <f t="shared" ref="AU22:AU46" ca="1" si="9">AL22+AO22+AR22</f>
        <v>2.6777500000000001</v>
      </c>
      <c r="AV22" s="283">
        <f t="shared" ref="AV22:AV46" ca="1" si="10">AM22+AP22+AS22</f>
        <v>0.32500000000000001</v>
      </c>
      <c r="AW22" s="285">
        <f t="shared" ref="AW22:AW46" ca="1" si="11">AU22+AV22</f>
        <v>3.0027500000000003</v>
      </c>
      <c r="AX22" s="286"/>
      <c r="AY22" s="281">
        <f ca="1">AY46</f>
        <v>1.6209374999999999</v>
      </c>
      <c r="AZ22" s="282">
        <f ca="1">AZ46</f>
        <v>0.30875000000000002</v>
      </c>
      <c r="BA22" s="283">
        <f ca="1">BA46</f>
        <v>1.9296875</v>
      </c>
      <c r="BB22" s="284">
        <f ca="1">BB46</f>
        <v>0.73750000000000004</v>
      </c>
      <c r="BC22" s="282">
        <f ca="1">BC46</f>
        <v>0</v>
      </c>
      <c r="BD22" s="283">
        <f t="shared" ref="BD22:BD46" ca="1" si="12">BB22+BC22</f>
        <v>0.73750000000000004</v>
      </c>
      <c r="BE22" s="284">
        <f ca="1">BE46</f>
        <v>0.23400000000000001</v>
      </c>
      <c r="BF22" s="282">
        <f ca="1">BF46</f>
        <v>0</v>
      </c>
      <c r="BG22" s="283">
        <f t="shared" ref="BG22:BG46" ca="1" si="13">BE22+BF22</f>
        <v>0.23400000000000001</v>
      </c>
      <c r="BH22" s="284">
        <f ca="1">BH46</f>
        <v>2.5924375</v>
      </c>
      <c r="BI22" s="283">
        <f ca="1">BI46</f>
        <v>0.30875000000000002</v>
      </c>
      <c r="BJ22" s="285">
        <f t="shared" ref="BJ22:BJ46" ca="1" si="14">BH22+BI22</f>
        <v>2.9011874999999998</v>
      </c>
      <c r="BK22" s="286"/>
      <c r="BL22" s="281">
        <f ca="1">BL46</f>
        <v>1.535625</v>
      </c>
      <c r="BM22" s="282">
        <f ca="1">BM46</f>
        <v>0.29249999999999998</v>
      </c>
      <c r="BN22" s="283">
        <f t="shared" ref="BN22:BN46" ca="1" si="15">BL22+BM22</f>
        <v>1.828125</v>
      </c>
      <c r="BO22" s="284">
        <f ca="1">BO46</f>
        <v>0.73750000000000004</v>
      </c>
      <c r="BP22" s="282">
        <f ca="1">BP46</f>
        <v>0</v>
      </c>
      <c r="BQ22" s="283">
        <f t="shared" ref="BQ22:BQ46" ca="1" si="16">BO22+BP22</f>
        <v>0.73750000000000004</v>
      </c>
      <c r="BR22" s="284">
        <f ca="1">BR46</f>
        <v>0.23400000000000001</v>
      </c>
      <c r="BS22" s="282">
        <f ca="1">BS46</f>
        <v>0</v>
      </c>
      <c r="BT22" s="283">
        <f t="shared" ref="BT22:BT46" ca="1" si="17">BR22+BS22</f>
        <v>0.23400000000000001</v>
      </c>
      <c r="BU22" s="284">
        <f t="shared" ref="BU22:BU46" ca="1" si="18">BL22+BO22+BR22</f>
        <v>2.5071250000000003</v>
      </c>
      <c r="BV22" s="283">
        <f t="shared" ref="BV22:BV46" ca="1" si="19">BM22+BP22+BS22</f>
        <v>0.29249999999999998</v>
      </c>
      <c r="BW22" s="285">
        <f t="shared" ref="BW22:BW46" ca="1" si="20">BU22+BV22</f>
        <v>2.7996250000000003</v>
      </c>
      <c r="BX22" s="286"/>
      <c r="BY22" s="287">
        <v>0.58662499999999973</v>
      </c>
      <c r="BZ22" s="288">
        <v>0</v>
      </c>
      <c r="CA22" s="289">
        <v>7.4940054162198066E-16</v>
      </c>
      <c r="CB22" s="290">
        <f ca="1">CB46</f>
        <v>0.5866250000000014</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4"/>
        <v/>
      </c>
      <c r="E23" s="683"/>
      <c r="F23" s="683"/>
      <c r="G23" s="684"/>
      <c r="H23" s="33"/>
      <c r="I23" s="246" t="s">
        <v>140</v>
      </c>
      <c r="J23" s="250" t="str">
        <f t="shared" ca="1" si="0"/>
        <v>MIV-Anteil bei den Beschäftigten</v>
      </c>
      <c r="K23" s="687" t="str">
        <f t="shared" ca="1" si="1"/>
        <v>0,3 - 0,9 MIV-Nutzer / Beschäftigter</v>
      </c>
      <c r="L23" s="687"/>
      <c r="M23" s="251">
        <v>0.3</v>
      </c>
      <c r="N23" s="23"/>
      <c r="O23" s="357" t="s">
        <v>23</v>
      </c>
      <c r="P23" s="247"/>
      <c r="Q23" s="360">
        <f t="shared" ref="Q23:Q46" ca="1" si="21">AU23</f>
        <v>0.16250000000000001</v>
      </c>
      <c r="R23" s="351">
        <f ca="1">AV23</f>
        <v>0</v>
      </c>
      <c r="S23" s="361">
        <f t="shared" ref="S23:S46" ca="1" si="22">SUM(Q23:R23)</f>
        <v>0.16250000000000001</v>
      </c>
      <c r="T23" s="247"/>
      <c r="U23" s="360">
        <f t="shared" ref="U23:U46" ca="1" si="23">BH23</f>
        <v>0.15437500000000001</v>
      </c>
      <c r="V23" s="351">
        <f t="shared" ref="V23:V46" ca="1" si="24">BI23</f>
        <v>0</v>
      </c>
      <c r="W23" s="361">
        <f t="shared" ref="W23:W46" ca="1" si="25">SUM(U23:V23)</f>
        <v>0.15437500000000001</v>
      </c>
      <c r="X23" s="247"/>
      <c r="Y23" s="360">
        <f t="shared" ref="Y23:Y46" ca="1" si="26">BU23</f>
        <v>0.14624999999999999</v>
      </c>
      <c r="Z23" s="351">
        <f t="shared" ref="Z23:Z46" ca="1" si="27">BV23</f>
        <v>0</v>
      </c>
      <c r="AA23" s="361">
        <f t="shared" ref="AA23:AA46" ca="1" si="28">SUM(Y23:Z23)</f>
        <v>0.14624999999999999</v>
      </c>
      <c r="AB23" s="58" t="str">
        <f t="shared" ref="AB23:AB34" ca="1" si="29">IF(AND(AA23=MAX($AA$23:$AA$34),AA23&gt;0)=TRUE,"morgendliche
Spitzenstunde","")</f>
        <v/>
      </c>
      <c r="AC23" s="494" t="s">
        <v>23</v>
      </c>
      <c r="AD23" s="275"/>
      <c r="AE23" s="291">
        <f t="shared" ref="AE23:AE46" ca="1" si="30">INDIRECT(ADDRESS(ROW()-$G$6,$F$6,,,$B$6))</f>
        <v>-0.5</v>
      </c>
      <c r="AF23" s="292">
        <f ca="1">INDIRECT(ADDRESS(ROW()-$G$6,$F$6+1,,,$B$6))</f>
        <v>0</v>
      </c>
      <c r="AG23" s="293">
        <f t="shared" ref="AG23:AG46" ca="1" si="31">INDIRECT(ADDRESS(ROW()-$G$6,$F$6+2,,,$B$6))</f>
        <v>0</v>
      </c>
      <c r="AH23" s="292">
        <f t="shared" ref="AH23:AH46" ca="1" si="32">INDIRECT(ADDRESS(ROW()-$G$6,$F$6+3,,,$B$6))</f>
        <v>0</v>
      </c>
      <c r="AI23" s="293">
        <f t="shared" ref="AI23:AI46" ca="1" si="33">INDIRECT(ADDRESS(ROW()-$G$6,$F$6+4,,,$B$6))</f>
        <v>0</v>
      </c>
      <c r="AJ23" s="294">
        <f t="shared" ref="AJ23:AJ46" ca="1" si="34">INDIRECT(ADDRESS(ROW()-$G$6,$F$6+5,,,$B$6))</f>
        <v>0</v>
      </c>
      <c r="AK23" s="280"/>
      <c r="AL23" s="295">
        <f t="shared" ref="AL23:AL46" ca="1" si="35">-AE23*1/2*IF(ISERROR($M$30)=FALSE,$M$30,0)/100</f>
        <v>0.16250000000000001</v>
      </c>
      <c r="AM23" s="296">
        <f t="shared" ref="AM23:AM46" ca="1" si="36">AF23*1/2*IF(ISERROR($M$30)=FALSE,$M$30,0)/100</f>
        <v>0</v>
      </c>
      <c r="AN23" s="297">
        <f t="shared" ca="1" si="6"/>
        <v>0.16250000000000001</v>
      </c>
      <c r="AO23" s="298">
        <f t="shared" ref="AO23:AO46" ca="1" si="37">-AG23*1/2*IF(ISERROR($M$29)=FALSE,$M$29,0)/100</f>
        <v>0</v>
      </c>
      <c r="AP23" s="296">
        <f t="shared" ref="AP23:AP46" ca="1" si="38">AH23*1/2*IF(ISERROR($M$29)=FALSE,$M$29,0)/100</f>
        <v>0</v>
      </c>
      <c r="AQ23" s="297">
        <f t="shared" ca="1" si="7"/>
        <v>0</v>
      </c>
      <c r="AR23" s="298">
        <f t="shared" ref="AR23:AR46" ca="1" si="39">-AI23*1/2*IF(ISERROR($M$31)=FALSE,$M$31,0)/100</f>
        <v>0</v>
      </c>
      <c r="AS23" s="296">
        <f t="shared" ref="AS23:AS46" ca="1" si="40">AJ23*1/2*IF(ISERROR($M$31)=FALSE,$M$31,0)/100</f>
        <v>0</v>
      </c>
      <c r="AT23" s="297">
        <f t="shared" ca="1" si="8"/>
        <v>0</v>
      </c>
      <c r="AU23" s="298">
        <f t="shared" ca="1" si="9"/>
        <v>0.16250000000000001</v>
      </c>
      <c r="AV23" s="297">
        <f t="shared" ca="1" si="10"/>
        <v>0</v>
      </c>
      <c r="AW23" s="299">
        <f t="shared" ca="1" si="11"/>
        <v>0.16250000000000001</v>
      </c>
      <c r="AX23" s="286"/>
      <c r="AY23" s="295">
        <f t="shared" ref="AY23:AY46" ca="1" si="41">AL23*(100-IF(AND($J$36&lt;&gt;$K$9,$J$36&lt;&gt;"")=TRUE,$M$36,)-IF(AND($J$37&lt;&gt;$K$9,$J$37&lt;&gt;"")=TRUE,$M$37,)-IF(AND($J$38&lt;&gt;$K$9,$J$38&lt;&gt;"")=TRUE,$M$38,))/100</f>
        <v>0.15437500000000001</v>
      </c>
      <c r="AZ23" s="296">
        <f t="shared" ref="AZ23:AZ46" ca="1" si="42">AM23*(100-IF(AND($J$36&lt;&gt;$K$9,$J$36&lt;&gt;"")=TRUE,$M$36,)-IF(AND($J$37&lt;&gt;$K$9,$J$37&lt;&gt;"")=TRUE,$M$37,)-IF(AND($J$38&lt;&gt;$K$9,$J$38&lt;&gt;"")=TRUE,$M$38,))/100</f>
        <v>0</v>
      </c>
      <c r="BA23" s="297">
        <f t="shared" ref="BA23:BA46" ca="1" si="43">AY23+AZ23</f>
        <v>0.15437500000000001</v>
      </c>
      <c r="BB23" s="298">
        <f t="shared" ref="BB23:BB46" ca="1" si="44">BO23</f>
        <v>0</v>
      </c>
      <c r="BC23" s="296">
        <f t="shared" ref="BC23:BC46" ca="1" si="45">BP23</f>
        <v>0</v>
      </c>
      <c r="BD23" s="297">
        <f t="shared" ca="1" si="12"/>
        <v>0</v>
      </c>
      <c r="BE23" s="298">
        <f t="shared" ref="BE23:BE46" ca="1" si="46">BR23</f>
        <v>0</v>
      </c>
      <c r="BF23" s="296">
        <f t="shared" ref="BF23:BF46" ca="1" si="47">BS23</f>
        <v>0</v>
      </c>
      <c r="BG23" s="297">
        <f t="shared" ca="1" si="13"/>
        <v>0</v>
      </c>
      <c r="BH23" s="298">
        <f t="shared" ref="BH23:BH46" ca="1" si="48">AY23+BB23+BE23</f>
        <v>0.15437500000000001</v>
      </c>
      <c r="BI23" s="297">
        <f t="shared" ref="BI23:BI46" ca="1" si="49">AZ23+BC23+BF23</f>
        <v>0</v>
      </c>
      <c r="BJ23" s="299">
        <f t="shared" ca="1" si="14"/>
        <v>0.15437500000000001</v>
      </c>
      <c r="BK23" s="286"/>
      <c r="BL23" s="295">
        <f t="shared" ref="BL23:BL46" ca="1" si="50">AL23*(100-IF(AND($J$36&lt;&gt;"",$M$36&gt;0)=TRUE,$M$36,)-IF(AND($J$37&lt;&gt;"",$M$37&gt;0)=TRUE,$M$37,)-IF(AND($J$38&lt;&gt;"",$M$38&gt;0)=TRUE,$M$38))/100</f>
        <v>0.14624999999999999</v>
      </c>
      <c r="BM23" s="296">
        <f t="shared" ref="BM23:BM46" ca="1" si="51">AM23*(100-IF(AND($J$36&lt;&gt;"",$M$36&gt;0)=TRUE,$M$36,)-IF(AND($J$37&lt;&gt;"",$M$37&gt;0)=TRUE,$M$37,)-IF(AND($J$38&lt;&gt;"",$M$38&gt;0)=TRUE,$M$38))/100</f>
        <v>0</v>
      </c>
      <c r="BN23" s="297">
        <f t="shared" ca="1" si="15"/>
        <v>0.14624999999999999</v>
      </c>
      <c r="BO23" s="298">
        <f t="shared" ref="BO23:BO46" ca="1" si="52">AO23</f>
        <v>0</v>
      </c>
      <c r="BP23" s="296">
        <f t="shared" ref="BP23:BP46" ca="1" si="53">AP23</f>
        <v>0</v>
      </c>
      <c r="BQ23" s="297">
        <f t="shared" ca="1" si="16"/>
        <v>0</v>
      </c>
      <c r="BR23" s="298">
        <f t="shared" ref="BR23:BR46" ca="1" si="54">AR23</f>
        <v>0</v>
      </c>
      <c r="BS23" s="296">
        <f t="shared" ref="BS23:BS46" ca="1" si="55">AS23</f>
        <v>0</v>
      </c>
      <c r="BT23" s="297">
        <f t="shared" ca="1" si="17"/>
        <v>0</v>
      </c>
      <c r="BU23" s="298">
        <f t="shared" ca="1" si="18"/>
        <v>0.14624999999999999</v>
      </c>
      <c r="BV23" s="297">
        <f t="shared" ca="1" si="19"/>
        <v>0</v>
      </c>
      <c r="BW23" s="299">
        <f t="shared" ca="1" si="20"/>
        <v>0.14624999999999999</v>
      </c>
      <c r="BX23" s="286"/>
      <c r="BY23" s="300">
        <f ca="1">IF((-AY23+AZ23+BY22)&gt;=0,-AY23+AZ23+BY22,0)</f>
        <v>0.43224999999999969</v>
      </c>
      <c r="BZ23" s="301">
        <f ca="1">IF((-BB23+BC23+BZ22)&gt;=0,-BB23+BC23+BZ22,0)</f>
        <v>0</v>
      </c>
      <c r="CA23" s="301">
        <f ca="1">IF((-BE23+BF23+CA22)&gt;=0,-BE23+BF23+CA22,0)</f>
        <v>7.4940054162198066E-16</v>
      </c>
      <c r="CB23" s="302">
        <f t="shared" ref="CB23:CB46" ca="1" si="56">SUM(BY23:CA23)</f>
        <v>0.43225000000000047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0.5</v>
      </c>
      <c r="C24" s="69">
        <f t="shared" ca="1" si="3"/>
        <v>0.9</v>
      </c>
      <c r="D24" s="683" t="str">
        <f t="shared" ca="1" si="4"/>
        <v>FEHLER</v>
      </c>
      <c r="E24" s="683"/>
      <c r="F24" s="683"/>
      <c r="G24" s="684"/>
      <c r="H24" s="33"/>
      <c r="I24" s="246" t="s">
        <v>141</v>
      </c>
      <c r="J24" s="250" t="str">
        <f t="shared" ca="1" si="0"/>
        <v>MIV-Anteil  bei den Kunden</v>
      </c>
      <c r="K24" s="687" t="str">
        <f t="shared" ca="1" si="1"/>
        <v>0,5 - 0,9 MIV-Nutzer / Kunde</v>
      </c>
      <c r="L24" s="687"/>
      <c r="M24" s="251">
        <v>0.3</v>
      </c>
      <c r="N24" s="23"/>
      <c r="O24" s="358" t="s">
        <v>25</v>
      </c>
      <c r="P24" s="247"/>
      <c r="Q24" s="362">
        <f t="shared" ca="1" si="21"/>
        <v>0</v>
      </c>
      <c r="R24" s="248">
        <f t="shared" ref="R24:R46" ca="1" si="57">AV24</f>
        <v>0</v>
      </c>
      <c r="S24" s="363">
        <f t="shared" ca="1" si="22"/>
        <v>0</v>
      </c>
      <c r="T24" s="247"/>
      <c r="U24" s="362">
        <f t="shared" ca="1" si="23"/>
        <v>0</v>
      </c>
      <c r="V24" s="248">
        <f t="shared" ca="1" si="24"/>
        <v>0</v>
      </c>
      <c r="W24" s="363">
        <f t="shared" ca="1" si="25"/>
        <v>0</v>
      </c>
      <c r="X24" s="247"/>
      <c r="Y24" s="362">
        <f t="shared" ca="1" si="26"/>
        <v>0</v>
      </c>
      <c r="Z24" s="248">
        <f t="shared" ca="1" si="27"/>
        <v>0</v>
      </c>
      <c r="AA24" s="363">
        <f t="shared" ca="1" si="28"/>
        <v>0</v>
      </c>
      <c r="AB24" s="58" t="str">
        <f t="shared" ca="1" si="29"/>
        <v/>
      </c>
      <c r="AC24" s="495" t="s">
        <v>25</v>
      </c>
      <c r="AD24" s="275"/>
      <c r="AE24" s="303">
        <f t="shared" ca="1" si="30"/>
        <v>0</v>
      </c>
      <c r="AF24" s="304">
        <f t="shared" ref="AF24:AF46" ca="1" si="58">INDIRECT(ADDRESS(ROW()-$G$6,$F$6+1,,,$B$6))</f>
        <v>0</v>
      </c>
      <c r="AG24" s="305">
        <f t="shared" ca="1" si="31"/>
        <v>0</v>
      </c>
      <c r="AH24" s="304">
        <f t="shared" ca="1" si="32"/>
        <v>0</v>
      </c>
      <c r="AI24" s="305">
        <f t="shared" ca="1" si="33"/>
        <v>0</v>
      </c>
      <c r="AJ24" s="306">
        <f t="shared" ca="1" si="34"/>
        <v>0</v>
      </c>
      <c r="AK24" s="280"/>
      <c r="AL24" s="307">
        <f t="shared" ca="1" si="35"/>
        <v>0</v>
      </c>
      <c r="AM24" s="308">
        <f t="shared" ca="1" si="36"/>
        <v>0</v>
      </c>
      <c r="AN24" s="309">
        <f t="shared" ca="1" si="6"/>
        <v>0</v>
      </c>
      <c r="AO24" s="310">
        <f t="shared" ca="1" si="37"/>
        <v>0</v>
      </c>
      <c r="AP24" s="308">
        <f t="shared" ca="1" si="38"/>
        <v>0</v>
      </c>
      <c r="AQ24" s="309">
        <f t="shared" ca="1" si="7"/>
        <v>0</v>
      </c>
      <c r="AR24" s="310">
        <f t="shared" ca="1" si="39"/>
        <v>0</v>
      </c>
      <c r="AS24" s="308">
        <f t="shared" ca="1" si="40"/>
        <v>0</v>
      </c>
      <c r="AT24" s="309">
        <f t="shared" ca="1" si="8"/>
        <v>0</v>
      </c>
      <c r="AU24" s="310">
        <f t="shared" ca="1" si="9"/>
        <v>0</v>
      </c>
      <c r="AV24" s="309">
        <f t="shared" ca="1" si="10"/>
        <v>0</v>
      </c>
      <c r="AW24" s="311">
        <f t="shared" ca="1" si="11"/>
        <v>0</v>
      </c>
      <c r="AX24" s="286"/>
      <c r="AY24" s="307">
        <f t="shared" ca="1" si="41"/>
        <v>0</v>
      </c>
      <c r="AZ24" s="308">
        <f t="shared" ca="1" si="42"/>
        <v>0</v>
      </c>
      <c r="BA24" s="309">
        <f t="shared" ca="1" si="43"/>
        <v>0</v>
      </c>
      <c r="BB24" s="310">
        <f t="shared" ca="1" si="44"/>
        <v>0</v>
      </c>
      <c r="BC24" s="308">
        <f t="shared" ca="1" si="45"/>
        <v>0</v>
      </c>
      <c r="BD24" s="309">
        <f t="shared" ca="1" si="12"/>
        <v>0</v>
      </c>
      <c r="BE24" s="310">
        <f t="shared" ca="1" si="46"/>
        <v>0</v>
      </c>
      <c r="BF24" s="308">
        <f t="shared" ca="1" si="47"/>
        <v>0</v>
      </c>
      <c r="BG24" s="309">
        <f t="shared" ca="1" si="13"/>
        <v>0</v>
      </c>
      <c r="BH24" s="310">
        <f t="shared" ca="1" si="48"/>
        <v>0</v>
      </c>
      <c r="BI24" s="309">
        <f t="shared" ca="1" si="49"/>
        <v>0</v>
      </c>
      <c r="BJ24" s="311">
        <f t="shared" ca="1" si="14"/>
        <v>0</v>
      </c>
      <c r="BK24" s="286"/>
      <c r="BL24" s="307">
        <f t="shared" ca="1" si="50"/>
        <v>0</v>
      </c>
      <c r="BM24" s="308">
        <f t="shared" ca="1" si="51"/>
        <v>0</v>
      </c>
      <c r="BN24" s="309">
        <f t="shared" ca="1" si="15"/>
        <v>0</v>
      </c>
      <c r="BO24" s="310">
        <f t="shared" ca="1" si="52"/>
        <v>0</v>
      </c>
      <c r="BP24" s="308">
        <f t="shared" ca="1" si="53"/>
        <v>0</v>
      </c>
      <c r="BQ24" s="309">
        <f t="shared" ca="1" si="16"/>
        <v>0</v>
      </c>
      <c r="BR24" s="310">
        <f t="shared" ca="1" si="54"/>
        <v>0</v>
      </c>
      <c r="BS24" s="308">
        <f t="shared" ca="1" si="55"/>
        <v>0</v>
      </c>
      <c r="BT24" s="309">
        <f t="shared" ca="1" si="17"/>
        <v>0</v>
      </c>
      <c r="BU24" s="310">
        <f t="shared" ca="1" si="18"/>
        <v>0</v>
      </c>
      <c r="BV24" s="309">
        <f t="shared" ca="1" si="19"/>
        <v>0</v>
      </c>
      <c r="BW24" s="311">
        <f t="shared" ca="1" si="20"/>
        <v>0</v>
      </c>
      <c r="BX24" s="286"/>
      <c r="BY24" s="300">
        <f t="shared" ref="BY24:BY46" ca="1" si="59">IF((-AY24+AZ24+BY23)&gt;=0,-AY24+AZ24+BY23,0)</f>
        <v>0.43224999999999969</v>
      </c>
      <c r="BZ24" s="301">
        <f t="shared" ref="BZ24:BZ46" ca="1" si="60">IF((-BB24+BC24+BZ23)&gt;=0,-BB24+BC24+BZ23,0)</f>
        <v>0</v>
      </c>
      <c r="CA24" s="301">
        <f t="shared" ref="CA24:CA46" ca="1" si="61">IF((-BE24+BF24+CA23)&gt;=0,-BE24+BF24+CA23,0)</f>
        <v>7.4940054162198066E-16</v>
      </c>
      <c r="CB24" s="312">
        <f t="shared" ca="1" si="56"/>
        <v>0.43225000000000047</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4"/>
        <v/>
      </c>
      <c r="E25" s="683"/>
      <c r="F25" s="683"/>
      <c r="G25" s="684"/>
      <c r="H25" s="33"/>
      <c r="I25" s="246" t="s">
        <v>142</v>
      </c>
      <c r="J25" s="250" t="str">
        <f t="shared" ca="1" si="0"/>
        <v>Kfz-Besetzungsgrad Beschäftigte</v>
      </c>
      <c r="K25" s="687" t="str">
        <f t="shared" ca="1" si="1"/>
        <v>1,1 Beschäftigte(r) / Kfz</v>
      </c>
      <c r="L25" s="687"/>
      <c r="M25" s="251">
        <v>1.1000000000000001</v>
      </c>
      <c r="N25" s="23"/>
      <c r="O25" s="358" t="s">
        <v>26</v>
      </c>
      <c r="P25" s="247"/>
      <c r="Q25" s="362">
        <f t="shared" ca="1" si="21"/>
        <v>0</v>
      </c>
      <c r="R25" s="248">
        <f t="shared" ca="1" si="57"/>
        <v>0</v>
      </c>
      <c r="S25" s="363">
        <f t="shared" ca="1" si="22"/>
        <v>0</v>
      </c>
      <c r="T25" s="247"/>
      <c r="U25" s="362">
        <f t="shared" ca="1" si="23"/>
        <v>0</v>
      </c>
      <c r="V25" s="248">
        <f t="shared" ca="1" si="24"/>
        <v>0</v>
      </c>
      <c r="W25" s="363">
        <f t="shared" ca="1" si="25"/>
        <v>0</v>
      </c>
      <c r="X25" s="247"/>
      <c r="Y25" s="362">
        <f t="shared" ca="1" si="26"/>
        <v>0</v>
      </c>
      <c r="Z25" s="248">
        <f t="shared" ca="1" si="27"/>
        <v>0</v>
      </c>
      <c r="AA25" s="363">
        <f t="shared" ca="1" si="28"/>
        <v>0</v>
      </c>
      <c r="AB25" s="58" t="str">
        <f t="shared" ca="1" si="29"/>
        <v/>
      </c>
      <c r="AC25" s="495" t="s">
        <v>26</v>
      </c>
      <c r="AD25" s="275"/>
      <c r="AE25" s="303">
        <f t="shared" ca="1" si="30"/>
        <v>0</v>
      </c>
      <c r="AF25" s="304">
        <f t="shared" ca="1" si="58"/>
        <v>0</v>
      </c>
      <c r="AG25" s="305">
        <f t="shared" ca="1" si="31"/>
        <v>0</v>
      </c>
      <c r="AH25" s="304">
        <f t="shared" ca="1" si="32"/>
        <v>0</v>
      </c>
      <c r="AI25" s="305">
        <f t="shared" ca="1" si="33"/>
        <v>0</v>
      </c>
      <c r="AJ25" s="306">
        <f t="shared" ca="1" si="34"/>
        <v>0</v>
      </c>
      <c r="AK25" s="280"/>
      <c r="AL25" s="307">
        <f t="shared" ca="1" si="35"/>
        <v>0</v>
      </c>
      <c r="AM25" s="308">
        <f t="shared" ca="1" si="36"/>
        <v>0</v>
      </c>
      <c r="AN25" s="309">
        <f t="shared" ca="1" si="6"/>
        <v>0</v>
      </c>
      <c r="AO25" s="310">
        <f t="shared" ca="1" si="37"/>
        <v>0</v>
      </c>
      <c r="AP25" s="308">
        <f t="shared" ca="1" si="38"/>
        <v>0</v>
      </c>
      <c r="AQ25" s="309">
        <f t="shared" ca="1" si="7"/>
        <v>0</v>
      </c>
      <c r="AR25" s="310">
        <f t="shared" ca="1" si="39"/>
        <v>0</v>
      </c>
      <c r="AS25" s="308">
        <f t="shared" ca="1" si="40"/>
        <v>0</v>
      </c>
      <c r="AT25" s="309">
        <f t="shared" ca="1" si="8"/>
        <v>0</v>
      </c>
      <c r="AU25" s="310">
        <f t="shared" ca="1" si="9"/>
        <v>0</v>
      </c>
      <c r="AV25" s="309">
        <f t="shared" ca="1" si="10"/>
        <v>0</v>
      </c>
      <c r="AW25" s="311">
        <f t="shared" ca="1" si="11"/>
        <v>0</v>
      </c>
      <c r="AX25" s="286"/>
      <c r="AY25" s="307">
        <f t="shared" ca="1" si="41"/>
        <v>0</v>
      </c>
      <c r="AZ25" s="308">
        <f t="shared" ca="1" si="42"/>
        <v>0</v>
      </c>
      <c r="BA25" s="309">
        <f t="shared" ca="1" si="43"/>
        <v>0</v>
      </c>
      <c r="BB25" s="310">
        <f t="shared" ca="1" si="44"/>
        <v>0</v>
      </c>
      <c r="BC25" s="308">
        <f t="shared" ca="1" si="45"/>
        <v>0</v>
      </c>
      <c r="BD25" s="309">
        <f t="shared" ca="1" si="12"/>
        <v>0</v>
      </c>
      <c r="BE25" s="310">
        <f t="shared" ca="1" si="46"/>
        <v>0</v>
      </c>
      <c r="BF25" s="308">
        <f t="shared" ca="1" si="47"/>
        <v>0</v>
      </c>
      <c r="BG25" s="309">
        <f t="shared" ca="1" si="13"/>
        <v>0</v>
      </c>
      <c r="BH25" s="310">
        <f t="shared" ca="1" si="48"/>
        <v>0</v>
      </c>
      <c r="BI25" s="309">
        <f t="shared" ca="1" si="49"/>
        <v>0</v>
      </c>
      <c r="BJ25" s="311">
        <f t="shared" ca="1" si="14"/>
        <v>0</v>
      </c>
      <c r="BK25" s="286"/>
      <c r="BL25" s="307">
        <f t="shared" ca="1" si="50"/>
        <v>0</v>
      </c>
      <c r="BM25" s="308">
        <f t="shared" ca="1" si="51"/>
        <v>0</v>
      </c>
      <c r="BN25" s="309">
        <f t="shared" ca="1" si="15"/>
        <v>0</v>
      </c>
      <c r="BO25" s="310">
        <f t="shared" ca="1" si="52"/>
        <v>0</v>
      </c>
      <c r="BP25" s="308">
        <f t="shared" ca="1" si="53"/>
        <v>0</v>
      </c>
      <c r="BQ25" s="309">
        <f t="shared" ca="1" si="16"/>
        <v>0</v>
      </c>
      <c r="BR25" s="310">
        <f t="shared" ca="1" si="54"/>
        <v>0</v>
      </c>
      <c r="BS25" s="308">
        <f t="shared" ca="1" si="55"/>
        <v>0</v>
      </c>
      <c r="BT25" s="309">
        <f t="shared" ca="1" si="17"/>
        <v>0</v>
      </c>
      <c r="BU25" s="310">
        <f t="shared" ca="1" si="18"/>
        <v>0</v>
      </c>
      <c r="BV25" s="309">
        <f t="shared" ca="1" si="19"/>
        <v>0</v>
      </c>
      <c r="BW25" s="311">
        <f t="shared" ca="1" si="20"/>
        <v>0</v>
      </c>
      <c r="BX25" s="286"/>
      <c r="BY25" s="300">
        <f t="shared" ca="1" si="59"/>
        <v>0.43224999999999969</v>
      </c>
      <c r="BZ25" s="301">
        <f t="shared" ca="1" si="60"/>
        <v>0</v>
      </c>
      <c r="CA25" s="301">
        <f t="shared" ca="1" si="61"/>
        <v>7.4940054162198066E-16</v>
      </c>
      <c r="CB25" s="312">
        <f t="shared" ca="1" si="56"/>
        <v>0.43225000000000047</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1.6</v>
      </c>
      <c r="D26" s="683" t="str">
        <f t="shared" ca="1" si="4"/>
        <v>FEHLER</v>
      </c>
      <c r="E26" s="683"/>
      <c r="F26" s="683"/>
      <c r="G26" s="684"/>
      <c r="H26" s="33"/>
      <c r="I26" s="246" t="s">
        <v>143</v>
      </c>
      <c r="J26" s="250" t="str">
        <f t="shared" ca="1" si="0"/>
        <v>Kfz-Besetzungsgrad Kunden</v>
      </c>
      <c r="K26" s="687" t="str">
        <f t="shared" ca="1" si="1"/>
        <v>1,2 - 1,6 Kunde(n) / Kfz</v>
      </c>
      <c r="L26" s="687"/>
      <c r="M26" s="251">
        <v>1.1000000000000001</v>
      </c>
      <c r="N26" s="23"/>
      <c r="O26" s="358" t="s">
        <v>27</v>
      </c>
      <c r="P26" s="247"/>
      <c r="Q26" s="362">
        <f t="shared" ca="1" si="21"/>
        <v>0.13</v>
      </c>
      <c r="R26" s="248">
        <f t="shared" ca="1" si="57"/>
        <v>0</v>
      </c>
      <c r="S26" s="363">
        <f t="shared" ca="1" si="22"/>
        <v>0.13</v>
      </c>
      <c r="T26" s="247"/>
      <c r="U26" s="362">
        <f t="shared" ca="1" si="23"/>
        <v>0.1235</v>
      </c>
      <c r="V26" s="248">
        <f t="shared" ca="1" si="24"/>
        <v>0</v>
      </c>
      <c r="W26" s="363">
        <f t="shared" ca="1" si="25"/>
        <v>0.1235</v>
      </c>
      <c r="X26" s="247"/>
      <c r="Y26" s="362">
        <f t="shared" ca="1" si="26"/>
        <v>0.11700000000000001</v>
      </c>
      <c r="Z26" s="248">
        <f t="shared" ca="1" si="27"/>
        <v>0</v>
      </c>
      <c r="AA26" s="363">
        <f t="shared" ca="1" si="28"/>
        <v>0.11700000000000001</v>
      </c>
      <c r="AB26" s="58" t="str">
        <f t="shared" ca="1" si="29"/>
        <v/>
      </c>
      <c r="AC26" s="495" t="s">
        <v>27</v>
      </c>
      <c r="AD26" s="275"/>
      <c r="AE26" s="303">
        <f ca="1">INDIRECT(ADDRESS(ROW()-$G$6,$F$6,,,$B$6))</f>
        <v>-0.4</v>
      </c>
      <c r="AF26" s="304">
        <f t="shared" ca="1" si="58"/>
        <v>0</v>
      </c>
      <c r="AG26" s="305">
        <f t="shared" ca="1" si="31"/>
        <v>0</v>
      </c>
      <c r="AH26" s="304">
        <f t="shared" ca="1" si="32"/>
        <v>0</v>
      </c>
      <c r="AI26" s="305">
        <f t="shared" ca="1" si="33"/>
        <v>0</v>
      </c>
      <c r="AJ26" s="306">
        <f t="shared" ca="1" si="34"/>
        <v>0</v>
      </c>
      <c r="AK26" s="280"/>
      <c r="AL26" s="307">
        <f t="shared" ca="1" si="35"/>
        <v>0.13</v>
      </c>
      <c r="AM26" s="308">
        <f t="shared" ca="1" si="36"/>
        <v>0</v>
      </c>
      <c r="AN26" s="309">
        <f t="shared" ca="1" si="6"/>
        <v>0.13</v>
      </c>
      <c r="AO26" s="310">
        <f t="shared" ca="1" si="37"/>
        <v>0</v>
      </c>
      <c r="AP26" s="308">
        <f t="shared" ca="1" si="38"/>
        <v>0</v>
      </c>
      <c r="AQ26" s="309">
        <f t="shared" ca="1" si="7"/>
        <v>0</v>
      </c>
      <c r="AR26" s="310">
        <f t="shared" ca="1" si="39"/>
        <v>0</v>
      </c>
      <c r="AS26" s="308">
        <f t="shared" ca="1" si="40"/>
        <v>0</v>
      </c>
      <c r="AT26" s="309">
        <f t="shared" ca="1" si="8"/>
        <v>0</v>
      </c>
      <c r="AU26" s="310">
        <f t="shared" ca="1" si="9"/>
        <v>0.13</v>
      </c>
      <c r="AV26" s="309">
        <f t="shared" ca="1" si="10"/>
        <v>0</v>
      </c>
      <c r="AW26" s="311">
        <f t="shared" ca="1" si="11"/>
        <v>0.13</v>
      </c>
      <c r="AX26" s="286"/>
      <c r="AY26" s="307">
        <f t="shared" ca="1" si="41"/>
        <v>0.1235</v>
      </c>
      <c r="AZ26" s="308">
        <f t="shared" ca="1" si="42"/>
        <v>0</v>
      </c>
      <c r="BA26" s="309">
        <f t="shared" ca="1" si="43"/>
        <v>0.1235</v>
      </c>
      <c r="BB26" s="310">
        <f t="shared" ca="1" si="44"/>
        <v>0</v>
      </c>
      <c r="BC26" s="308">
        <f t="shared" ca="1" si="45"/>
        <v>0</v>
      </c>
      <c r="BD26" s="309">
        <f t="shared" ca="1" si="12"/>
        <v>0</v>
      </c>
      <c r="BE26" s="310">
        <f t="shared" ca="1" si="46"/>
        <v>0</v>
      </c>
      <c r="BF26" s="308">
        <f t="shared" ca="1" si="47"/>
        <v>0</v>
      </c>
      <c r="BG26" s="309">
        <f t="shared" ca="1" si="13"/>
        <v>0</v>
      </c>
      <c r="BH26" s="310">
        <f t="shared" ca="1" si="48"/>
        <v>0.1235</v>
      </c>
      <c r="BI26" s="309">
        <f t="shared" ca="1" si="49"/>
        <v>0</v>
      </c>
      <c r="BJ26" s="311">
        <f t="shared" ca="1" si="14"/>
        <v>0.1235</v>
      </c>
      <c r="BK26" s="286"/>
      <c r="BL26" s="307">
        <f t="shared" ca="1" si="50"/>
        <v>0.11700000000000001</v>
      </c>
      <c r="BM26" s="308">
        <f t="shared" ca="1" si="51"/>
        <v>0</v>
      </c>
      <c r="BN26" s="309">
        <f t="shared" ca="1" si="15"/>
        <v>0.11700000000000001</v>
      </c>
      <c r="BO26" s="310">
        <f t="shared" ca="1" si="52"/>
        <v>0</v>
      </c>
      <c r="BP26" s="308">
        <f t="shared" ca="1" si="53"/>
        <v>0</v>
      </c>
      <c r="BQ26" s="309">
        <f t="shared" ca="1" si="16"/>
        <v>0</v>
      </c>
      <c r="BR26" s="310">
        <f t="shared" ca="1" si="54"/>
        <v>0</v>
      </c>
      <c r="BS26" s="308">
        <f t="shared" ca="1" si="55"/>
        <v>0</v>
      </c>
      <c r="BT26" s="309">
        <f t="shared" ca="1" si="17"/>
        <v>0</v>
      </c>
      <c r="BU26" s="310">
        <f t="shared" ca="1" si="18"/>
        <v>0.11700000000000001</v>
      </c>
      <c r="BV26" s="309">
        <f t="shared" ca="1" si="19"/>
        <v>0</v>
      </c>
      <c r="BW26" s="311">
        <f t="shared" ca="1" si="20"/>
        <v>0.11700000000000001</v>
      </c>
      <c r="BX26" s="286"/>
      <c r="BY26" s="300">
        <f t="shared" ca="1" si="59"/>
        <v>0.30874999999999969</v>
      </c>
      <c r="BZ26" s="301">
        <f t="shared" ca="1" si="60"/>
        <v>0</v>
      </c>
      <c r="CA26" s="301">
        <f t="shared" ca="1" si="61"/>
        <v>7.4940054162198066E-16</v>
      </c>
      <c r="CB26" s="312">
        <f t="shared" ca="1" si="56"/>
        <v>0.30875000000000041</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0.8</v>
      </c>
      <c r="D27" s="683" t="str">
        <f t="shared" ca="1" si="4"/>
        <v>FEHLER</v>
      </c>
      <c r="E27" s="683"/>
      <c r="F27" s="683"/>
      <c r="G27" s="684"/>
      <c r="H27" s="33"/>
      <c r="I27" s="258" t="s">
        <v>144</v>
      </c>
      <c r="J27" s="265" t="str">
        <f t="shared" ca="1" si="0"/>
        <v>Wirtschaftsfahrten je GF</v>
      </c>
      <c r="K27" s="733" t="str">
        <f t="shared" ca="1" si="1"/>
        <v>0,4 - 0,8 Fahrten / 100 m² GF</v>
      </c>
      <c r="L27" s="733"/>
      <c r="M27" s="266">
        <v>0.3</v>
      </c>
      <c r="N27" s="23"/>
      <c r="O27" s="358" t="s">
        <v>28</v>
      </c>
      <c r="P27" s="247"/>
      <c r="Q27" s="362">
        <f t="shared" ca="1" si="21"/>
        <v>8.1250000000000003E-2</v>
      </c>
      <c r="R27" s="248">
        <f t="shared" ca="1" si="57"/>
        <v>1.5650000000000002</v>
      </c>
      <c r="S27" s="363">
        <f t="shared" ca="1" si="22"/>
        <v>1.6462500000000002</v>
      </c>
      <c r="T27" s="247"/>
      <c r="U27" s="362">
        <f t="shared" ca="1" si="23"/>
        <v>7.7187500000000006E-2</v>
      </c>
      <c r="V27" s="248">
        <f t="shared" ca="1" si="24"/>
        <v>1.5650000000000002</v>
      </c>
      <c r="W27" s="363">
        <f t="shared" ca="1" si="25"/>
        <v>1.6421875000000001</v>
      </c>
      <c r="X27" s="247"/>
      <c r="Y27" s="362">
        <f t="shared" ca="1" si="26"/>
        <v>7.3124999999999996E-2</v>
      </c>
      <c r="Z27" s="248">
        <f t="shared" ca="1" si="27"/>
        <v>1.5650000000000002</v>
      </c>
      <c r="AA27" s="363">
        <f t="shared" ca="1" si="28"/>
        <v>1.6381250000000001</v>
      </c>
      <c r="AB27" s="58" t="str">
        <f t="shared" ca="1" si="29"/>
        <v/>
      </c>
      <c r="AC27" s="495" t="s">
        <v>28</v>
      </c>
      <c r="AD27" s="275"/>
      <c r="AE27" s="303">
        <f t="shared" ca="1" si="30"/>
        <v>-0.25</v>
      </c>
      <c r="AF27" s="304">
        <f t="shared" ca="1" si="58"/>
        <v>0</v>
      </c>
      <c r="AG27" s="305">
        <f t="shared" ca="1" si="31"/>
        <v>0</v>
      </c>
      <c r="AH27" s="304">
        <f t="shared" ca="1" si="32"/>
        <v>1</v>
      </c>
      <c r="AI27" s="305">
        <f t="shared" ca="1" si="33"/>
        <v>0</v>
      </c>
      <c r="AJ27" s="306">
        <f t="shared" ca="1" si="34"/>
        <v>0.25</v>
      </c>
      <c r="AK27" s="280"/>
      <c r="AL27" s="307">
        <f t="shared" ca="1" si="35"/>
        <v>8.1250000000000003E-2</v>
      </c>
      <c r="AM27" s="308">
        <f t="shared" ca="1" si="36"/>
        <v>0</v>
      </c>
      <c r="AN27" s="309">
        <f t="shared" ca="1" si="6"/>
        <v>8.1250000000000003E-2</v>
      </c>
      <c r="AO27" s="310">
        <f t="shared" ca="1" si="37"/>
        <v>0</v>
      </c>
      <c r="AP27" s="308">
        <f t="shared" ca="1" si="38"/>
        <v>1.4750000000000001</v>
      </c>
      <c r="AQ27" s="309">
        <f t="shared" ca="1" si="7"/>
        <v>1.4750000000000001</v>
      </c>
      <c r="AR27" s="310">
        <f t="shared" ca="1" si="39"/>
        <v>0</v>
      </c>
      <c r="AS27" s="308">
        <f t="shared" ca="1" si="40"/>
        <v>0.09</v>
      </c>
      <c r="AT27" s="309">
        <f t="shared" ca="1" si="8"/>
        <v>0.09</v>
      </c>
      <c r="AU27" s="310">
        <f t="shared" ca="1" si="9"/>
        <v>8.1250000000000003E-2</v>
      </c>
      <c r="AV27" s="309">
        <f t="shared" ca="1" si="10"/>
        <v>1.5650000000000002</v>
      </c>
      <c r="AW27" s="311">
        <f t="shared" ca="1" si="11"/>
        <v>1.6462500000000002</v>
      </c>
      <c r="AX27" s="286"/>
      <c r="AY27" s="307">
        <f t="shared" ca="1" si="41"/>
        <v>7.7187500000000006E-2</v>
      </c>
      <c r="AZ27" s="308">
        <f t="shared" ca="1" si="42"/>
        <v>0</v>
      </c>
      <c r="BA27" s="309">
        <f t="shared" ca="1" si="43"/>
        <v>7.7187500000000006E-2</v>
      </c>
      <c r="BB27" s="310">
        <f t="shared" ca="1" si="44"/>
        <v>0</v>
      </c>
      <c r="BC27" s="308">
        <f t="shared" ca="1" si="45"/>
        <v>1.4750000000000001</v>
      </c>
      <c r="BD27" s="309">
        <f t="shared" ca="1" si="12"/>
        <v>1.4750000000000001</v>
      </c>
      <c r="BE27" s="310">
        <f t="shared" ca="1" si="46"/>
        <v>0</v>
      </c>
      <c r="BF27" s="308">
        <f t="shared" ca="1" si="47"/>
        <v>0.09</v>
      </c>
      <c r="BG27" s="309">
        <f t="shared" ca="1" si="13"/>
        <v>0.09</v>
      </c>
      <c r="BH27" s="310">
        <f t="shared" ca="1" si="48"/>
        <v>7.7187500000000006E-2</v>
      </c>
      <c r="BI27" s="309">
        <f t="shared" ca="1" si="49"/>
        <v>1.5650000000000002</v>
      </c>
      <c r="BJ27" s="311">
        <f t="shared" ca="1" si="14"/>
        <v>1.6421875000000001</v>
      </c>
      <c r="BK27" s="286"/>
      <c r="BL27" s="307">
        <f t="shared" ca="1" si="50"/>
        <v>7.3124999999999996E-2</v>
      </c>
      <c r="BM27" s="308">
        <f t="shared" ca="1" si="51"/>
        <v>0</v>
      </c>
      <c r="BN27" s="309">
        <f t="shared" ca="1" si="15"/>
        <v>7.3124999999999996E-2</v>
      </c>
      <c r="BO27" s="310">
        <f t="shared" ca="1" si="52"/>
        <v>0</v>
      </c>
      <c r="BP27" s="308">
        <f t="shared" ca="1" si="53"/>
        <v>1.4750000000000001</v>
      </c>
      <c r="BQ27" s="309">
        <f t="shared" ca="1" si="16"/>
        <v>1.4750000000000001</v>
      </c>
      <c r="BR27" s="310">
        <f t="shared" ca="1" si="54"/>
        <v>0</v>
      </c>
      <c r="BS27" s="308">
        <f t="shared" ca="1" si="55"/>
        <v>0.09</v>
      </c>
      <c r="BT27" s="309">
        <f t="shared" ca="1" si="17"/>
        <v>0.09</v>
      </c>
      <c r="BU27" s="310">
        <f t="shared" ca="1" si="18"/>
        <v>7.3124999999999996E-2</v>
      </c>
      <c r="BV27" s="309">
        <f t="shared" ca="1" si="19"/>
        <v>1.5650000000000002</v>
      </c>
      <c r="BW27" s="311">
        <f t="shared" ca="1" si="20"/>
        <v>1.6381250000000001</v>
      </c>
      <c r="BX27" s="286"/>
      <c r="BY27" s="300">
        <f t="shared" ca="1" si="59"/>
        <v>0.23156249999999967</v>
      </c>
      <c r="BZ27" s="301">
        <f t="shared" ca="1" si="60"/>
        <v>1.4750000000000001</v>
      </c>
      <c r="CA27" s="301">
        <f t="shared" ca="1" si="61"/>
        <v>9.0000000000000746E-2</v>
      </c>
      <c r="CB27" s="312">
        <f t="shared" ca="1" si="56"/>
        <v>1.7965625000000005</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1"/>
        <v>1.835</v>
      </c>
      <c r="R28" s="248">
        <f t="shared" ca="1" si="57"/>
        <v>10.49625</v>
      </c>
      <c r="S28" s="363">
        <f t="shared" ca="1" si="22"/>
        <v>12.331250000000001</v>
      </c>
      <c r="T28" s="247"/>
      <c r="U28" s="362">
        <f t="shared" ca="1" si="23"/>
        <v>1.835</v>
      </c>
      <c r="V28" s="248">
        <f t="shared" ca="1" si="24"/>
        <v>10.49625</v>
      </c>
      <c r="W28" s="363">
        <f t="shared" ca="1" si="25"/>
        <v>12.331250000000001</v>
      </c>
      <c r="X28" s="247"/>
      <c r="Y28" s="362">
        <f t="shared" ca="1" si="26"/>
        <v>1.835</v>
      </c>
      <c r="Z28" s="248">
        <f t="shared" ca="1" si="27"/>
        <v>10.49625</v>
      </c>
      <c r="AA28" s="363">
        <f t="shared" ca="1" si="28"/>
        <v>12.331250000000001</v>
      </c>
      <c r="AB28" s="58" t="str">
        <f t="shared" ca="1" si="29"/>
        <v/>
      </c>
      <c r="AC28" s="495" t="s">
        <v>29</v>
      </c>
      <c r="AD28" s="275"/>
      <c r="AE28" s="303">
        <f t="shared" ca="1" si="30"/>
        <v>0</v>
      </c>
      <c r="AF28" s="304">
        <f t="shared" ca="1" si="58"/>
        <v>0</v>
      </c>
      <c r="AG28" s="305">
        <f t="shared" ca="1" si="31"/>
        <v>-1</v>
      </c>
      <c r="AH28" s="304">
        <f t="shared" ca="1" si="32"/>
        <v>6.75</v>
      </c>
      <c r="AI28" s="305">
        <f t="shared" ca="1" si="33"/>
        <v>-1</v>
      </c>
      <c r="AJ28" s="306">
        <f t="shared" ca="1" si="34"/>
        <v>1.5</v>
      </c>
      <c r="AK28" s="280"/>
      <c r="AL28" s="307">
        <f t="shared" ca="1" si="35"/>
        <v>0</v>
      </c>
      <c r="AM28" s="308">
        <f t="shared" ca="1" si="36"/>
        <v>0</v>
      </c>
      <c r="AN28" s="309">
        <f t="shared" ca="1" si="6"/>
        <v>0</v>
      </c>
      <c r="AO28" s="310">
        <f t="shared" ca="1" si="37"/>
        <v>1.4750000000000001</v>
      </c>
      <c r="AP28" s="308">
        <f t="shared" ca="1" si="38"/>
        <v>9.9562500000000007</v>
      </c>
      <c r="AQ28" s="309">
        <f t="shared" ca="1" si="7"/>
        <v>11.43125</v>
      </c>
      <c r="AR28" s="310">
        <f t="shared" ca="1" si="39"/>
        <v>0.36</v>
      </c>
      <c r="AS28" s="308">
        <f t="shared" ca="1" si="40"/>
        <v>0.54</v>
      </c>
      <c r="AT28" s="309">
        <f t="shared" ca="1" si="8"/>
        <v>0.9</v>
      </c>
      <c r="AU28" s="310">
        <f t="shared" ca="1" si="9"/>
        <v>1.835</v>
      </c>
      <c r="AV28" s="309">
        <f t="shared" ca="1" si="10"/>
        <v>10.49625</v>
      </c>
      <c r="AW28" s="311">
        <f t="shared" ca="1" si="11"/>
        <v>12.331250000000001</v>
      </c>
      <c r="AX28" s="286"/>
      <c r="AY28" s="307">
        <f t="shared" ca="1" si="41"/>
        <v>0</v>
      </c>
      <c r="AZ28" s="308">
        <f t="shared" ca="1" si="42"/>
        <v>0</v>
      </c>
      <c r="BA28" s="309">
        <f t="shared" ca="1" si="43"/>
        <v>0</v>
      </c>
      <c r="BB28" s="310">
        <f t="shared" ca="1" si="44"/>
        <v>1.4750000000000001</v>
      </c>
      <c r="BC28" s="308">
        <f t="shared" ca="1" si="45"/>
        <v>9.9562500000000007</v>
      </c>
      <c r="BD28" s="309">
        <f t="shared" ca="1" si="12"/>
        <v>11.43125</v>
      </c>
      <c r="BE28" s="310">
        <f t="shared" ca="1" si="46"/>
        <v>0.36</v>
      </c>
      <c r="BF28" s="308">
        <f t="shared" ca="1" si="47"/>
        <v>0.54</v>
      </c>
      <c r="BG28" s="309">
        <f t="shared" ca="1" si="13"/>
        <v>0.9</v>
      </c>
      <c r="BH28" s="310">
        <f t="shared" ca="1" si="48"/>
        <v>1.835</v>
      </c>
      <c r="BI28" s="309">
        <f t="shared" ca="1" si="49"/>
        <v>10.49625</v>
      </c>
      <c r="BJ28" s="311">
        <f t="shared" ca="1" si="14"/>
        <v>12.331250000000001</v>
      </c>
      <c r="BK28" s="286"/>
      <c r="BL28" s="307">
        <f t="shared" ca="1" si="50"/>
        <v>0</v>
      </c>
      <c r="BM28" s="308">
        <f t="shared" ca="1" si="51"/>
        <v>0</v>
      </c>
      <c r="BN28" s="309">
        <f t="shared" ca="1" si="15"/>
        <v>0</v>
      </c>
      <c r="BO28" s="310">
        <f t="shared" ca="1" si="52"/>
        <v>1.4750000000000001</v>
      </c>
      <c r="BP28" s="308">
        <f t="shared" ca="1" si="53"/>
        <v>9.9562500000000007</v>
      </c>
      <c r="BQ28" s="309">
        <f t="shared" ca="1" si="16"/>
        <v>11.43125</v>
      </c>
      <c r="BR28" s="310">
        <f t="shared" ca="1" si="54"/>
        <v>0.36</v>
      </c>
      <c r="BS28" s="308">
        <f t="shared" ca="1" si="55"/>
        <v>0.54</v>
      </c>
      <c r="BT28" s="309">
        <f t="shared" ca="1" si="17"/>
        <v>0.9</v>
      </c>
      <c r="BU28" s="310">
        <f t="shared" ca="1" si="18"/>
        <v>1.835</v>
      </c>
      <c r="BV28" s="309">
        <f t="shared" ca="1" si="19"/>
        <v>10.49625</v>
      </c>
      <c r="BW28" s="311">
        <f t="shared" ca="1" si="20"/>
        <v>12.331250000000001</v>
      </c>
      <c r="BX28" s="286"/>
      <c r="BY28" s="300">
        <f t="shared" ca="1" si="59"/>
        <v>0.23156249999999967</v>
      </c>
      <c r="BZ28" s="301">
        <f t="shared" ca="1" si="60"/>
        <v>9.9562500000000007</v>
      </c>
      <c r="CA28" s="301">
        <f t="shared" ca="1" si="61"/>
        <v>0.27000000000000079</v>
      </c>
      <c r="CB28" s="312">
        <f t="shared" ca="1" si="56"/>
        <v>10.457812500000001</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295</v>
      </c>
      <c r="N29" s="24"/>
      <c r="O29" s="358" t="s">
        <v>30</v>
      </c>
      <c r="P29" s="247"/>
      <c r="Q29" s="362">
        <f t="shared" ca="1" si="21"/>
        <v>4.2300000000000004</v>
      </c>
      <c r="R29" s="248">
        <f t="shared" ca="1" si="57"/>
        <v>34.799999999999997</v>
      </c>
      <c r="S29" s="363">
        <f t="shared" ca="1" si="22"/>
        <v>39.03</v>
      </c>
      <c r="T29" s="247"/>
      <c r="U29" s="362">
        <f t="shared" ca="1" si="23"/>
        <v>4.1975000000000007</v>
      </c>
      <c r="V29" s="248">
        <f t="shared" ca="1" si="24"/>
        <v>34.751249999999999</v>
      </c>
      <c r="W29" s="363">
        <f t="shared" ca="1" si="25"/>
        <v>38.948749999999997</v>
      </c>
      <c r="X29" s="247"/>
      <c r="Y29" s="362">
        <f t="shared" ca="1" si="26"/>
        <v>4.165</v>
      </c>
      <c r="Z29" s="248">
        <f t="shared" ca="1" si="27"/>
        <v>34.702499999999993</v>
      </c>
      <c r="AA29" s="363">
        <f t="shared" ca="1" si="28"/>
        <v>38.867499999999993</v>
      </c>
      <c r="AB29" s="58" t="str">
        <f t="shared" ca="1" si="29"/>
        <v/>
      </c>
      <c r="AC29" s="495" t="s">
        <v>30</v>
      </c>
      <c r="AD29" s="275"/>
      <c r="AE29" s="303">
        <f t="shared" ca="1" si="30"/>
        <v>-2</v>
      </c>
      <c r="AF29" s="304">
        <f t="shared" ca="1" si="58"/>
        <v>3</v>
      </c>
      <c r="AG29" s="305">
        <f t="shared" ca="1" si="31"/>
        <v>-2</v>
      </c>
      <c r="AH29" s="304">
        <f t="shared" ca="1" si="32"/>
        <v>22.2</v>
      </c>
      <c r="AI29" s="305">
        <f t="shared" ca="1" si="33"/>
        <v>-1.75</v>
      </c>
      <c r="AJ29" s="306">
        <f t="shared" ca="1" si="34"/>
        <v>3</v>
      </c>
      <c r="AK29" s="280"/>
      <c r="AL29" s="307">
        <f t="shared" ca="1" si="35"/>
        <v>0.65</v>
      </c>
      <c r="AM29" s="308">
        <f t="shared" ca="1" si="36"/>
        <v>0.97499999999999998</v>
      </c>
      <c r="AN29" s="309">
        <f t="shared" ca="1" si="6"/>
        <v>1.625</v>
      </c>
      <c r="AO29" s="310">
        <f t="shared" ca="1" si="37"/>
        <v>2.95</v>
      </c>
      <c r="AP29" s="308">
        <f t="shared" ca="1" si="38"/>
        <v>32.744999999999997</v>
      </c>
      <c r="AQ29" s="309">
        <f t="shared" ca="1" si="7"/>
        <v>35.695</v>
      </c>
      <c r="AR29" s="310">
        <f t="shared" ca="1" si="39"/>
        <v>0.63</v>
      </c>
      <c r="AS29" s="308">
        <f t="shared" ca="1" si="40"/>
        <v>1.08</v>
      </c>
      <c r="AT29" s="309">
        <f t="shared" ca="1" si="8"/>
        <v>1.71</v>
      </c>
      <c r="AU29" s="310">
        <f t="shared" ca="1" si="9"/>
        <v>4.2300000000000004</v>
      </c>
      <c r="AV29" s="309">
        <f t="shared" ca="1" si="10"/>
        <v>34.799999999999997</v>
      </c>
      <c r="AW29" s="311">
        <f t="shared" ca="1" si="11"/>
        <v>39.03</v>
      </c>
      <c r="AX29" s="286"/>
      <c r="AY29" s="307">
        <f t="shared" ca="1" si="41"/>
        <v>0.61750000000000005</v>
      </c>
      <c r="AZ29" s="308">
        <f t="shared" ca="1" si="42"/>
        <v>0.92625000000000002</v>
      </c>
      <c r="BA29" s="309">
        <f t="shared" ca="1" si="43"/>
        <v>1.5437500000000002</v>
      </c>
      <c r="BB29" s="310">
        <f t="shared" ca="1" si="44"/>
        <v>2.95</v>
      </c>
      <c r="BC29" s="308">
        <f t="shared" ca="1" si="45"/>
        <v>32.744999999999997</v>
      </c>
      <c r="BD29" s="309">
        <f t="shared" ca="1" si="12"/>
        <v>35.695</v>
      </c>
      <c r="BE29" s="310">
        <f t="shared" ca="1" si="46"/>
        <v>0.63</v>
      </c>
      <c r="BF29" s="308">
        <f t="shared" ca="1" si="47"/>
        <v>1.08</v>
      </c>
      <c r="BG29" s="309">
        <f t="shared" ca="1" si="13"/>
        <v>1.71</v>
      </c>
      <c r="BH29" s="310">
        <f t="shared" ca="1" si="48"/>
        <v>4.1975000000000007</v>
      </c>
      <c r="BI29" s="309">
        <f t="shared" ca="1" si="49"/>
        <v>34.751249999999999</v>
      </c>
      <c r="BJ29" s="311">
        <f t="shared" ca="1" si="14"/>
        <v>38.948749999999997</v>
      </c>
      <c r="BK29" s="286"/>
      <c r="BL29" s="307">
        <f t="shared" ca="1" si="50"/>
        <v>0.58499999999999996</v>
      </c>
      <c r="BM29" s="308">
        <f t="shared" ca="1" si="51"/>
        <v>0.87749999999999995</v>
      </c>
      <c r="BN29" s="309">
        <f t="shared" ca="1" si="15"/>
        <v>1.4624999999999999</v>
      </c>
      <c r="BO29" s="310">
        <f t="shared" ca="1" si="52"/>
        <v>2.95</v>
      </c>
      <c r="BP29" s="308">
        <f t="shared" ca="1" si="53"/>
        <v>32.744999999999997</v>
      </c>
      <c r="BQ29" s="309">
        <f t="shared" ca="1" si="16"/>
        <v>35.695</v>
      </c>
      <c r="BR29" s="310">
        <f t="shared" ca="1" si="54"/>
        <v>0.63</v>
      </c>
      <c r="BS29" s="308">
        <f t="shared" ca="1" si="55"/>
        <v>1.08</v>
      </c>
      <c r="BT29" s="309">
        <f t="shared" ca="1" si="17"/>
        <v>1.71</v>
      </c>
      <c r="BU29" s="310">
        <f t="shared" ca="1" si="18"/>
        <v>4.165</v>
      </c>
      <c r="BV29" s="309">
        <f t="shared" ca="1" si="19"/>
        <v>34.702499999999993</v>
      </c>
      <c r="BW29" s="311">
        <f t="shared" ca="1" si="20"/>
        <v>38.867499999999993</v>
      </c>
      <c r="BX29" s="286"/>
      <c r="BY29" s="300">
        <f t="shared" ca="1" si="59"/>
        <v>0.54031249999999964</v>
      </c>
      <c r="BZ29" s="301">
        <f t="shared" ca="1" si="60"/>
        <v>39.751249999999999</v>
      </c>
      <c r="CA29" s="301">
        <f t="shared" ca="1" si="61"/>
        <v>0.72000000000000086</v>
      </c>
      <c r="CB29" s="312">
        <f t="shared" ca="1" si="56"/>
        <v>41.011562499999997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65</v>
      </c>
      <c r="N30" s="25"/>
      <c r="O30" s="358" t="s">
        <v>31</v>
      </c>
      <c r="P30" s="247"/>
      <c r="Q30" s="362">
        <f t="shared" ca="1" si="21"/>
        <v>9.3224999999999998</v>
      </c>
      <c r="R30" s="248">
        <f t="shared" ca="1" si="57"/>
        <v>46.268750000000004</v>
      </c>
      <c r="S30" s="363">
        <f t="shared" ca="1" si="22"/>
        <v>55.591250000000002</v>
      </c>
      <c r="T30" s="247"/>
      <c r="U30" s="362">
        <f t="shared" ca="1" si="23"/>
        <v>9.2737499999999997</v>
      </c>
      <c r="V30" s="248">
        <f t="shared" ca="1" si="24"/>
        <v>46.215937500000003</v>
      </c>
      <c r="W30" s="363">
        <f t="shared" ca="1" si="25"/>
        <v>55.489687500000002</v>
      </c>
      <c r="X30" s="247"/>
      <c r="Y30" s="362">
        <f t="shared" ca="1" si="26"/>
        <v>9.2250000000000014</v>
      </c>
      <c r="Z30" s="248">
        <f t="shared" ca="1" si="27"/>
        <v>46.163125000000008</v>
      </c>
      <c r="AA30" s="363">
        <f t="shared" ca="1" si="28"/>
        <v>55.388125000000009</v>
      </c>
      <c r="AB30" s="58" t="str">
        <f t="shared" ca="1" si="29"/>
        <v>morgendliche
Spitzenstunde</v>
      </c>
      <c r="AC30" s="495" t="s">
        <v>31</v>
      </c>
      <c r="AD30" s="275"/>
      <c r="AE30" s="303">
        <f t="shared" ca="1" si="30"/>
        <v>-3</v>
      </c>
      <c r="AF30" s="304">
        <f t="shared" ca="1" si="58"/>
        <v>3.25</v>
      </c>
      <c r="AG30" s="305">
        <f t="shared" ca="1" si="31"/>
        <v>-4.5</v>
      </c>
      <c r="AH30" s="304">
        <f t="shared" ca="1" si="32"/>
        <v>28.7</v>
      </c>
      <c r="AI30" s="305">
        <f t="shared" ca="1" si="33"/>
        <v>-4.75</v>
      </c>
      <c r="AJ30" s="306">
        <f t="shared" ca="1" si="34"/>
        <v>8</v>
      </c>
      <c r="AK30" s="280"/>
      <c r="AL30" s="307">
        <f t="shared" ca="1" si="35"/>
        <v>0.97499999999999998</v>
      </c>
      <c r="AM30" s="308">
        <f t="shared" ca="1" si="36"/>
        <v>1.0562499999999999</v>
      </c>
      <c r="AN30" s="309">
        <f t="shared" ca="1" si="6"/>
        <v>2.03125</v>
      </c>
      <c r="AO30" s="310">
        <f t="shared" ca="1" si="37"/>
        <v>6.6375000000000002</v>
      </c>
      <c r="AP30" s="308">
        <f t="shared" ca="1" si="38"/>
        <v>42.332500000000003</v>
      </c>
      <c r="AQ30" s="309">
        <f t="shared" ca="1" si="7"/>
        <v>48.970000000000006</v>
      </c>
      <c r="AR30" s="310">
        <f t="shared" ca="1" si="39"/>
        <v>1.71</v>
      </c>
      <c r="AS30" s="308">
        <f t="shared" ca="1" si="40"/>
        <v>2.88</v>
      </c>
      <c r="AT30" s="309">
        <f t="shared" ca="1" si="8"/>
        <v>4.59</v>
      </c>
      <c r="AU30" s="310">
        <f t="shared" ca="1" si="9"/>
        <v>9.3224999999999998</v>
      </c>
      <c r="AV30" s="309">
        <f t="shared" ca="1" si="10"/>
        <v>46.268750000000004</v>
      </c>
      <c r="AW30" s="311">
        <f t="shared" ca="1" si="11"/>
        <v>55.591250000000002</v>
      </c>
      <c r="AX30" s="286"/>
      <c r="AY30" s="307">
        <f t="shared" ca="1" si="41"/>
        <v>0.92625000000000002</v>
      </c>
      <c r="AZ30" s="308">
        <f t="shared" ca="1" si="42"/>
        <v>1.0034374999999998</v>
      </c>
      <c r="BA30" s="309">
        <f t="shared" ca="1" si="43"/>
        <v>1.9296874999999998</v>
      </c>
      <c r="BB30" s="310">
        <f t="shared" ca="1" si="44"/>
        <v>6.6375000000000002</v>
      </c>
      <c r="BC30" s="308">
        <f t="shared" ca="1" si="45"/>
        <v>42.332500000000003</v>
      </c>
      <c r="BD30" s="309">
        <f t="shared" ca="1" si="12"/>
        <v>48.970000000000006</v>
      </c>
      <c r="BE30" s="310">
        <f t="shared" ca="1" si="46"/>
        <v>1.71</v>
      </c>
      <c r="BF30" s="308">
        <f t="shared" ca="1" si="47"/>
        <v>2.88</v>
      </c>
      <c r="BG30" s="309">
        <f t="shared" ca="1" si="13"/>
        <v>4.59</v>
      </c>
      <c r="BH30" s="310">
        <f t="shared" ca="1" si="48"/>
        <v>9.2737499999999997</v>
      </c>
      <c r="BI30" s="309">
        <f t="shared" ca="1" si="49"/>
        <v>46.215937500000003</v>
      </c>
      <c r="BJ30" s="311">
        <f t="shared" ca="1" si="14"/>
        <v>55.489687500000002</v>
      </c>
      <c r="BK30" s="286"/>
      <c r="BL30" s="307">
        <f t="shared" ca="1" si="50"/>
        <v>0.87749999999999995</v>
      </c>
      <c r="BM30" s="308">
        <f t="shared" ca="1" si="51"/>
        <v>0.95062499999999983</v>
      </c>
      <c r="BN30" s="309">
        <f t="shared" ca="1" si="15"/>
        <v>1.8281249999999998</v>
      </c>
      <c r="BO30" s="310">
        <f t="shared" ca="1" si="52"/>
        <v>6.6375000000000002</v>
      </c>
      <c r="BP30" s="308">
        <f t="shared" ca="1" si="53"/>
        <v>42.332500000000003</v>
      </c>
      <c r="BQ30" s="309">
        <f t="shared" ca="1" si="16"/>
        <v>48.970000000000006</v>
      </c>
      <c r="BR30" s="310">
        <f t="shared" ca="1" si="54"/>
        <v>1.71</v>
      </c>
      <c r="BS30" s="308">
        <f t="shared" ca="1" si="55"/>
        <v>2.88</v>
      </c>
      <c r="BT30" s="309">
        <f t="shared" ca="1" si="17"/>
        <v>4.59</v>
      </c>
      <c r="BU30" s="310">
        <f t="shared" ca="1" si="18"/>
        <v>9.2250000000000014</v>
      </c>
      <c r="BV30" s="309">
        <f t="shared" ca="1" si="19"/>
        <v>46.163125000000008</v>
      </c>
      <c r="BW30" s="311">
        <f t="shared" ca="1" si="20"/>
        <v>55.388125000000009</v>
      </c>
      <c r="BX30" s="286"/>
      <c r="BY30" s="300">
        <f t="shared" ca="1" si="59"/>
        <v>0.61749999999999938</v>
      </c>
      <c r="BZ30" s="301">
        <f t="shared" ca="1" si="60"/>
        <v>75.446249999999992</v>
      </c>
      <c r="CA30" s="301">
        <f t="shared" ca="1" si="61"/>
        <v>1.8900000000000008</v>
      </c>
      <c r="CB30" s="312">
        <f t="shared" ca="1" si="56"/>
        <v>77.953749999999985</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72</v>
      </c>
      <c r="N31" s="25"/>
      <c r="O31" s="358" t="s">
        <v>32</v>
      </c>
      <c r="P31" s="247"/>
      <c r="Q31" s="362">
        <f t="shared" ca="1" si="21"/>
        <v>11.22125</v>
      </c>
      <c r="R31" s="248">
        <f t="shared" ca="1" si="57"/>
        <v>17.13775</v>
      </c>
      <c r="S31" s="363">
        <f t="shared" ca="1" si="22"/>
        <v>28.359000000000002</v>
      </c>
      <c r="T31" s="247"/>
      <c r="U31" s="362">
        <f t="shared" ca="1" si="23"/>
        <v>11.164375</v>
      </c>
      <c r="V31" s="248">
        <f t="shared" ca="1" si="24"/>
        <v>17.113375000000001</v>
      </c>
      <c r="W31" s="363">
        <f t="shared" ca="1" si="25"/>
        <v>28.277750000000001</v>
      </c>
      <c r="X31" s="247"/>
      <c r="Y31" s="362">
        <f t="shared" ca="1" si="26"/>
        <v>11.1075</v>
      </c>
      <c r="Z31" s="248">
        <f t="shared" ca="1" si="27"/>
        <v>17.089000000000002</v>
      </c>
      <c r="AA31" s="363">
        <f t="shared" ca="1" si="28"/>
        <v>28.1965</v>
      </c>
      <c r="AB31" s="58" t="str">
        <f t="shared" ca="1" si="29"/>
        <v/>
      </c>
      <c r="AC31" s="495" t="s">
        <v>32</v>
      </c>
      <c r="AD31" s="275"/>
      <c r="AE31" s="303">
        <f t="shared" ca="1" si="30"/>
        <v>-3.5</v>
      </c>
      <c r="AF31" s="304">
        <f t="shared" ca="1" si="58"/>
        <v>1.5</v>
      </c>
      <c r="AG31" s="305">
        <f t="shared" ca="1" si="31"/>
        <v>-5.25</v>
      </c>
      <c r="AH31" s="304">
        <f t="shared" ca="1" si="32"/>
        <v>8.75</v>
      </c>
      <c r="AI31" s="305">
        <f t="shared" ca="1" si="33"/>
        <v>-6.5</v>
      </c>
      <c r="AJ31" s="306">
        <f t="shared" ca="1" si="34"/>
        <v>10.4</v>
      </c>
      <c r="AK31" s="280"/>
      <c r="AL31" s="307">
        <f t="shared" ca="1" si="35"/>
        <v>1.1375</v>
      </c>
      <c r="AM31" s="308">
        <f t="shared" ca="1" si="36"/>
        <v>0.48749999999999999</v>
      </c>
      <c r="AN31" s="309">
        <f t="shared" ca="1" si="6"/>
        <v>1.625</v>
      </c>
      <c r="AO31" s="310">
        <f t="shared" ca="1" si="37"/>
        <v>7.7437500000000004</v>
      </c>
      <c r="AP31" s="308">
        <f t="shared" ca="1" si="38"/>
        <v>12.90625</v>
      </c>
      <c r="AQ31" s="309">
        <f t="shared" ca="1" si="7"/>
        <v>20.65</v>
      </c>
      <c r="AR31" s="310">
        <f t="shared" ca="1" si="39"/>
        <v>2.34</v>
      </c>
      <c r="AS31" s="308">
        <f t="shared" ca="1" si="40"/>
        <v>3.7440000000000002</v>
      </c>
      <c r="AT31" s="309">
        <f t="shared" ca="1" si="8"/>
        <v>6.0839999999999996</v>
      </c>
      <c r="AU31" s="310">
        <f t="shared" ca="1" si="9"/>
        <v>11.22125</v>
      </c>
      <c r="AV31" s="309">
        <f t="shared" ca="1" si="10"/>
        <v>17.13775</v>
      </c>
      <c r="AW31" s="311">
        <f t="shared" ca="1" si="11"/>
        <v>28.359000000000002</v>
      </c>
      <c r="AX31" s="286"/>
      <c r="AY31" s="307">
        <f t="shared" ca="1" si="41"/>
        <v>1.0806249999999999</v>
      </c>
      <c r="AZ31" s="308">
        <f t="shared" ca="1" si="42"/>
        <v>0.46312500000000001</v>
      </c>
      <c r="BA31" s="309">
        <f t="shared" ca="1" si="43"/>
        <v>1.54375</v>
      </c>
      <c r="BB31" s="310">
        <f t="shared" ca="1" si="44"/>
        <v>7.7437500000000004</v>
      </c>
      <c r="BC31" s="308">
        <f t="shared" ca="1" si="45"/>
        <v>12.90625</v>
      </c>
      <c r="BD31" s="309">
        <f t="shared" ca="1" si="12"/>
        <v>20.65</v>
      </c>
      <c r="BE31" s="310">
        <f t="shared" ca="1" si="46"/>
        <v>2.34</v>
      </c>
      <c r="BF31" s="308">
        <f t="shared" ca="1" si="47"/>
        <v>3.7440000000000002</v>
      </c>
      <c r="BG31" s="309">
        <f t="shared" ca="1" si="13"/>
        <v>6.0839999999999996</v>
      </c>
      <c r="BH31" s="310">
        <f t="shared" ca="1" si="48"/>
        <v>11.164375</v>
      </c>
      <c r="BI31" s="309">
        <f t="shared" ca="1" si="49"/>
        <v>17.113375000000001</v>
      </c>
      <c r="BJ31" s="311">
        <f t="shared" ca="1" si="14"/>
        <v>28.277750000000001</v>
      </c>
      <c r="BK31" s="286"/>
      <c r="BL31" s="307">
        <f t="shared" ca="1" si="50"/>
        <v>1.0237499999999999</v>
      </c>
      <c r="BM31" s="308">
        <f t="shared" ca="1" si="51"/>
        <v>0.43874999999999997</v>
      </c>
      <c r="BN31" s="309">
        <f t="shared" ca="1" si="15"/>
        <v>1.4624999999999999</v>
      </c>
      <c r="BO31" s="310">
        <f t="shared" ca="1" si="52"/>
        <v>7.7437500000000004</v>
      </c>
      <c r="BP31" s="308">
        <f t="shared" ca="1" si="53"/>
        <v>12.90625</v>
      </c>
      <c r="BQ31" s="309">
        <f t="shared" ca="1" si="16"/>
        <v>20.65</v>
      </c>
      <c r="BR31" s="310">
        <f t="shared" ca="1" si="54"/>
        <v>2.34</v>
      </c>
      <c r="BS31" s="308">
        <f t="shared" ca="1" si="55"/>
        <v>3.7440000000000002</v>
      </c>
      <c r="BT31" s="309">
        <f t="shared" ca="1" si="17"/>
        <v>6.0839999999999996</v>
      </c>
      <c r="BU31" s="310">
        <f t="shared" ca="1" si="18"/>
        <v>11.1075</v>
      </c>
      <c r="BV31" s="309">
        <f t="shared" ca="1" si="19"/>
        <v>17.089000000000002</v>
      </c>
      <c r="BW31" s="311">
        <f t="shared" ca="1" si="20"/>
        <v>28.1965</v>
      </c>
      <c r="BX31" s="286"/>
      <c r="BY31" s="300">
        <f t="shared" ca="1" si="59"/>
        <v>0</v>
      </c>
      <c r="BZ31" s="301">
        <f t="shared" ca="1" si="60"/>
        <v>80.608749999999986</v>
      </c>
      <c r="CA31" s="301">
        <f t="shared" ca="1" si="61"/>
        <v>3.2940000000000014</v>
      </c>
      <c r="CB31" s="312">
        <f t="shared" ca="1" si="56"/>
        <v>83.902749999999983</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432</v>
      </c>
      <c r="N32" s="25"/>
      <c r="O32" s="358" t="s">
        <v>33</v>
      </c>
      <c r="P32" s="247"/>
      <c r="Q32" s="362">
        <f t="shared" ca="1" si="21"/>
        <v>8.7012499999999999</v>
      </c>
      <c r="R32" s="248">
        <f t="shared" ca="1" si="57"/>
        <v>6.3812499999999996</v>
      </c>
      <c r="S32" s="363">
        <f t="shared" ca="1" si="22"/>
        <v>15.0825</v>
      </c>
      <c r="T32" s="247"/>
      <c r="U32" s="362">
        <f t="shared" ca="1" si="23"/>
        <v>8.6728124999999991</v>
      </c>
      <c r="V32" s="248">
        <f t="shared" ca="1" si="24"/>
        <v>6.3487499999999999</v>
      </c>
      <c r="W32" s="363">
        <f t="shared" ca="1" si="25"/>
        <v>15.021562499999998</v>
      </c>
      <c r="X32" s="247"/>
      <c r="Y32" s="362">
        <f t="shared" ca="1" si="26"/>
        <v>8.6443750000000001</v>
      </c>
      <c r="Z32" s="248">
        <f t="shared" ca="1" si="27"/>
        <v>6.3162500000000001</v>
      </c>
      <c r="AA32" s="363">
        <f t="shared" ca="1" si="28"/>
        <v>14.960625</v>
      </c>
      <c r="AB32" s="58" t="str">
        <f t="shared" ca="1" si="29"/>
        <v/>
      </c>
      <c r="AC32" s="495" t="s">
        <v>33</v>
      </c>
      <c r="AD32" s="275"/>
      <c r="AE32" s="303">
        <f t="shared" ca="1" si="30"/>
        <v>-1.75</v>
      </c>
      <c r="AF32" s="304">
        <f t="shared" ca="1" si="58"/>
        <v>2</v>
      </c>
      <c r="AG32" s="305">
        <f t="shared" ca="1" si="31"/>
        <v>-3.5</v>
      </c>
      <c r="AH32" s="304">
        <f t="shared" ca="1" si="32"/>
        <v>1.75</v>
      </c>
      <c r="AI32" s="305">
        <f t="shared" ca="1" si="33"/>
        <v>-8.25</v>
      </c>
      <c r="AJ32" s="306">
        <f t="shared" ca="1" si="34"/>
        <v>8.75</v>
      </c>
      <c r="AK32" s="280"/>
      <c r="AL32" s="307">
        <f t="shared" ca="1" si="35"/>
        <v>0.56874999999999998</v>
      </c>
      <c r="AM32" s="308">
        <f t="shared" ca="1" si="36"/>
        <v>0.65</v>
      </c>
      <c r="AN32" s="309">
        <f t="shared" ca="1" si="6"/>
        <v>1.21875</v>
      </c>
      <c r="AO32" s="310">
        <f t="shared" ca="1" si="37"/>
        <v>5.1624999999999996</v>
      </c>
      <c r="AP32" s="308">
        <f t="shared" ca="1" si="38"/>
        <v>2.5812499999999998</v>
      </c>
      <c r="AQ32" s="309">
        <f t="shared" ca="1" si="7"/>
        <v>7.7437499999999995</v>
      </c>
      <c r="AR32" s="310">
        <f t="shared" ca="1" si="39"/>
        <v>2.97</v>
      </c>
      <c r="AS32" s="308">
        <f t="shared" ca="1" si="40"/>
        <v>3.15</v>
      </c>
      <c r="AT32" s="309">
        <f t="shared" ca="1" si="8"/>
        <v>6.12</v>
      </c>
      <c r="AU32" s="310">
        <f t="shared" ca="1" si="9"/>
        <v>8.7012499999999999</v>
      </c>
      <c r="AV32" s="309">
        <f t="shared" ca="1" si="10"/>
        <v>6.3812499999999996</v>
      </c>
      <c r="AW32" s="311">
        <f t="shared" ca="1" si="11"/>
        <v>15.0825</v>
      </c>
      <c r="AX32" s="286"/>
      <c r="AY32" s="307">
        <f t="shared" ca="1" si="41"/>
        <v>0.54031249999999997</v>
      </c>
      <c r="AZ32" s="308">
        <f t="shared" ca="1" si="42"/>
        <v>0.61750000000000005</v>
      </c>
      <c r="BA32" s="309">
        <f t="shared" ca="1" si="43"/>
        <v>1.1578124999999999</v>
      </c>
      <c r="BB32" s="310">
        <f t="shared" ca="1" si="44"/>
        <v>5.1624999999999996</v>
      </c>
      <c r="BC32" s="308">
        <f t="shared" ca="1" si="45"/>
        <v>2.5812499999999998</v>
      </c>
      <c r="BD32" s="309">
        <f t="shared" ca="1" si="12"/>
        <v>7.7437499999999995</v>
      </c>
      <c r="BE32" s="310">
        <f t="shared" ca="1" si="46"/>
        <v>2.97</v>
      </c>
      <c r="BF32" s="308">
        <f t="shared" ca="1" si="47"/>
        <v>3.15</v>
      </c>
      <c r="BG32" s="309">
        <f t="shared" ca="1" si="13"/>
        <v>6.12</v>
      </c>
      <c r="BH32" s="310">
        <f t="shared" ca="1" si="48"/>
        <v>8.6728124999999991</v>
      </c>
      <c r="BI32" s="309">
        <f t="shared" ca="1" si="49"/>
        <v>6.3487499999999999</v>
      </c>
      <c r="BJ32" s="311">
        <f t="shared" ca="1" si="14"/>
        <v>15.021562499999998</v>
      </c>
      <c r="BK32" s="286"/>
      <c r="BL32" s="307">
        <f t="shared" ca="1" si="50"/>
        <v>0.51187499999999997</v>
      </c>
      <c r="BM32" s="308">
        <f t="shared" ca="1" si="51"/>
        <v>0.58499999999999996</v>
      </c>
      <c r="BN32" s="309">
        <f t="shared" ca="1" si="15"/>
        <v>1.0968749999999998</v>
      </c>
      <c r="BO32" s="310">
        <f t="shared" ca="1" si="52"/>
        <v>5.1624999999999996</v>
      </c>
      <c r="BP32" s="308">
        <f t="shared" ca="1" si="53"/>
        <v>2.5812499999999998</v>
      </c>
      <c r="BQ32" s="309">
        <f t="shared" ca="1" si="16"/>
        <v>7.7437499999999995</v>
      </c>
      <c r="BR32" s="310">
        <f t="shared" ca="1" si="54"/>
        <v>2.97</v>
      </c>
      <c r="BS32" s="308">
        <f t="shared" ca="1" si="55"/>
        <v>3.15</v>
      </c>
      <c r="BT32" s="309">
        <f t="shared" ca="1" si="17"/>
        <v>6.12</v>
      </c>
      <c r="BU32" s="310">
        <f t="shared" ca="1" si="18"/>
        <v>8.6443750000000001</v>
      </c>
      <c r="BV32" s="309">
        <f t="shared" ca="1" si="19"/>
        <v>6.3162500000000001</v>
      </c>
      <c r="BW32" s="311">
        <f t="shared" ca="1" si="20"/>
        <v>14.960625</v>
      </c>
      <c r="BX32" s="286"/>
      <c r="BY32" s="300">
        <f t="shared" ca="1" si="59"/>
        <v>7.7187500000000075E-2</v>
      </c>
      <c r="BZ32" s="301">
        <f t="shared" ca="1" si="60"/>
        <v>78.027499999999989</v>
      </c>
      <c r="CA32" s="301">
        <f t="shared" ca="1" si="61"/>
        <v>3.4740000000000011</v>
      </c>
      <c r="CB32" s="312">
        <f t="shared" ca="1" si="56"/>
        <v>81.578687499999987</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8.4400000000000013</v>
      </c>
      <c r="R33" s="248">
        <f t="shared" ca="1" si="57"/>
        <v>5.8962500000000002</v>
      </c>
      <c r="S33" s="363">
        <f t="shared" ca="1" si="22"/>
        <v>14.336250000000001</v>
      </c>
      <c r="T33" s="247"/>
      <c r="U33" s="362">
        <f t="shared" ca="1" si="23"/>
        <v>8.4196875000000002</v>
      </c>
      <c r="V33" s="248">
        <f t="shared" ca="1" si="24"/>
        <v>5.8596874999999997</v>
      </c>
      <c r="W33" s="363">
        <f t="shared" ca="1" si="25"/>
        <v>14.279375</v>
      </c>
      <c r="X33" s="247"/>
      <c r="Y33" s="362">
        <f t="shared" ca="1" si="26"/>
        <v>8.3993749999999991</v>
      </c>
      <c r="Z33" s="248">
        <f t="shared" ca="1" si="27"/>
        <v>5.8231250000000001</v>
      </c>
      <c r="AA33" s="363">
        <f t="shared" ca="1" si="28"/>
        <v>14.2225</v>
      </c>
      <c r="AB33" s="58" t="str">
        <f t="shared" ca="1" si="29"/>
        <v/>
      </c>
      <c r="AC33" s="495" t="s">
        <v>34</v>
      </c>
      <c r="AD33" s="275"/>
      <c r="AE33" s="303">
        <f t="shared" ca="1" si="30"/>
        <v>-1.25</v>
      </c>
      <c r="AF33" s="304">
        <f t="shared" ca="1" si="58"/>
        <v>2.25</v>
      </c>
      <c r="AG33" s="305">
        <f t="shared" ca="1" si="31"/>
        <v>-3.25</v>
      </c>
      <c r="AH33" s="304">
        <f t="shared" ca="1" si="32"/>
        <v>1</v>
      </c>
      <c r="AI33" s="305">
        <f t="shared" ca="1" si="33"/>
        <v>-9</v>
      </c>
      <c r="AJ33" s="306">
        <f t="shared" ca="1" si="34"/>
        <v>10.25</v>
      </c>
      <c r="AK33" s="280"/>
      <c r="AL33" s="307">
        <f t="shared" ca="1" si="35"/>
        <v>0.40625</v>
      </c>
      <c r="AM33" s="308">
        <f t="shared" ca="1" si="36"/>
        <v>0.73124999999999996</v>
      </c>
      <c r="AN33" s="309">
        <f t="shared" ca="1" si="6"/>
        <v>1.1375</v>
      </c>
      <c r="AO33" s="310">
        <f t="shared" ca="1" si="37"/>
        <v>4.7937500000000002</v>
      </c>
      <c r="AP33" s="308">
        <f t="shared" ca="1" si="38"/>
        <v>1.4750000000000001</v>
      </c>
      <c r="AQ33" s="309">
        <f t="shared" ca="1" si="7"/>
        <v>6.2687500000000007</v>
      </c>
      <c r="AR33" s="310">
        <f t="shared" ca="1" si="39"/>
        <v>3.24</v>
      </c>
      <c r="AS33" s="308">
        <f t="shared" ca="1" si="40"/>
        <v>3.69</v>
      </c>
      <c r="AT33" s="309">
        <f t="shared" ca="1" si="8"/>
        <v>6.93</v>
      </c>
      <c r="AU33" s="310">
        <f t="shared" ca="1" si="9"/>
        <v>8.4400000000000013</v>
      </c>
      <c r="AV33" s="309">
        <f t="shared" ca="1" si="10"/>
        <v>5.8962500000000002</v>
      </c>
      <c r="AW33" s="311">
        <f t="shared" ca="1" si="11"/>
        <v>14.336250000000001</v>
      </c>
      <c r="AX33" s="286"/>
      <c r="AY33" s="307">
        <f t="shared" ca="1" si="41"/>
        <v>0.38593749999999999</v>
      </c>
      <c r="AZ33" s="308">
        <f t="shared" ca="1" si="42"/>
        <v>0.69468750000000001</v>
      </c>
      <c r="BA33" s="309">
        <f t="shared" ca="1" si="43"/>
        <v>1.0806249999999999</v>
      </c>
      <c r="BB33" s="310">
        <f t="shared" ca="1" si="44"/>
        <v>4.7937500000000002</v>
      </c>
      <c r="BC33" s="308">
        <f t="shared" ca="1" si="45"/>
        <v>1.4750000000000001</v>
      </c>
      <c r="BD33" s="309">
        <f t="shared" ca="1" si="12"/>
        <v>6.2687500000000007</v>
      </c>
      <c r="BE33" s="310">
        <f t="shared" ca="1" si="46"/>
        <v>3.24</v>
      </c>
      <c r="BF33" s="308">
        <f t="shared" ca="1" si="47"/>
        <v>3.69</v>
      </c>
      <c r="BG33" s="309">
        <f t="shared" ca="1" si="13"/>
        <v>6.93</v>
      </c>
      <c r="BH33" s="310">
        <f t="shared" ca="1" si="48"/>
        <v>8.4196875000000002</v>
      </c>
      <c r="BI33" s="309">
        <f t="shared" ca="1" si="49"/>
        <v>5.8596874999999997</v>
      </c>
      <c r="BJ33" s="311">
        <f t="shared" ca="1" si="14"/>
        <v>14.279375</v>
      </c>
      <c r="BK33" s="286"/>
      <c r="BL33" s="307">
        <f t="shared" ca="1" si="50"/>
        <v>0.36562499999999998</v>
      </c>
      <c r="BM33" s="308">
        <f t="shared" ca="1" si="51"/>
        <v>0.65812499999999996</v>
      </c>
      <c r="BN33" s="309">
        <f t="shared" ca="1" si="15"/>
        <v>1.0237499999999999</v>
      </c>
      <c r="BO33" s="310">
        <f t="shared" ca="1" si="52"/>
        <v>4.7937500000000002</v>
      </c>
      <c r="BP33" s="308">
        <f t="shared" ca="1" si="53"/>
        <v>1.4750000000000001</v>
      </c>
      <c r="BQ33" s="309">
        <f t="shared" ca="1" si="16"/>
        <v>6.2687500000000007</v>
      </c>
      <c r="BR33" s="310">
        <f t="shared" ca="1" si="54"/>
        <v>3.24</v>
      </c>
      <c r="BS33" s="308">
        <f t="shared" ca="1" si="55"/>
        <v>3.69</v>
      </c>
      <c r="BT33" s="309">
        <f t="shared" ca="1" si="17"/>
        <v>6.93</v>
      </c>
      <c r="BU33" s="310">
        <f t="shared" ca="1" si="18"/>
        <v>8.3993749999999991</v>
      </c>
      <c r="BV33" s="309">
        <f t="shared" ca="1" si="19"/>
        <v>5.8231250000000001</v>
      </c>
      <c r="BW33" s="311">
        <f t="shared" ca="1" si="20"/>
        <v>14.2225</v>
      </c>
      <c r="BX33" s="286"/>
      <c r="BY33" s="300">
        <f t="shared" ca="1" si="59"/>
        <v>0.3859375000000001</v>
      </c>
      <c r="BZ33" s="301">
        <f t="shared" ca="1" si="60"/>
        <v>74.708749999999995</v>
      </c>
      <c r="CA33" s="301">
        <f t="shared" ca="1" si="61"/>
        <v>3.9240000000000008</v>
      </c>
      <c r="CB33" s="312">
        <f t="shared" ca="1" si="56"/>
        <v>79.018687499999999</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berücksichtigte abmindernde Effekte beim Kundenverkehr</v>
      </c>
      <c r="J34" s="766"/>
      <c r="K34" s="766"/>
      <c r="L34" s="766"/>
      <c r="M34" s="766"/>
      <c r="N34" s="1"/>
      <c r="O34" s="358" t="s">
        <v>35</v>
      </c>
      <c r="P34" s="247"/>
      <c r="Q34" s="362">
        <f t="shared" ca="1" si="21"/>
        <v>8.5150000000000006</v>
      </c>
      <c r="R34" s="248">
        <f t="shared" ca="1" si="57"/>
        <v>5.6015000000000006</v>
      </c>
      <c r="S34" s="363">
        <f t="shared" ca="1" si="22"/>
        <v>14.116500000000002</v>
      </c>
      <c r="T34" s="247"/>
      <c r="U34" s="362">
        <f t="shared" ca="1" si="23"/>
        <v>8.458124999999999</v>
      </c>
      <c r="V34" s="248">
        <f t="shared" ca="1" si="24"/>
        <v>5.5365000000000002</v>
      </c>
      <c r="W34" s="363">
        <f t="shared" ca="1" si="25"/>
        <v>13.994624999999999</v>
      </c>
      <c r="X34" s="247"/>
      <c r="Y34" s="362">
        <f t="shared" ca="1" si="26"/>
        <v>8.4012499999999992</v>
      </c>
      <c r="Z34" s="248">
        <f t="shared" ca="1" si="27"/>
        <v>5.4715000000000007</v>
      </c>
      <c r="AA34" s="363">
        <f t="shared" ca="1" si="28"/>
        <v>13.87275</v>
      </c>
      <c r="AB34" s="58" t="str">
        <f t="shared" ca="1" si="29"/>
        <v/>
      </c>
      <c r="AC34" s="495" t="s">
        <v>35</v>
      </c>
      <c r="AD34" s="275"/>
      <c r="AE34" s="303">
        <f t="shared" ca="1" si="30"/>
        <v>-3.5</v>
      </c>
      <c r="AF34" s="304">
        <f t="shared" ca="1" si="58"/>
        <v>4</v>
      </c>
      <c r="AG34" s="305">
        <f t="shared" ca="1" si="31"/>
        <v>-2.5</v>
      </c>
      <c r="AH34" s="304">
        <f t="shared" ca="1" si="32"/>
        <v>0.5</v>
      </c>
      <c r="AI34" s="305">
        <f t="shared" ca="1" si="33"/>
        <v>-10.25</v>
      </c>
      <c r="AJ34" s="306">
        <f t="shared" ca="1" si="34"/>
        <v>9.9</v>
      </c>
      <c r="AK34" s="280"/>
      <c r="AL34" s="307">
        <f t="shared" ca="1" si="35"/>
        <v>1.1375</v>
      </c>
      <c r="AM34" s="308">
        <f t="shared" ca="1" si="36"/>
        <v>1.3</v>
      </c>
      <c r="AN34" s="309">
        <f t="shared" ca="1" si="6"/>
        <v>2.4375</v>
      </c>
      <c r="AO34" s="310">
        <f t="shared" ca="1" si="37"/>
        <v>3.6875</v>
      </c>
      <c r="AP34" s="308">
        <f t="shared" ca="1" si="38"/>
        <v>0.73750000000000004</v>
      </c>
      <c r="AQ34" s="309">
        <f t="shared" ca="1" si="7"/>
        <v>4.4249999999999998</v>
      </c>
      <c r="AR34" s="310">
        <f t="shared" ca="1" si="39"/>
        <v>3.69</v>
      </c>
      <c r="AS34" s="308">
        <f t="shared" ca="1" si="40"/>
        <v>3.5640000000000005</v>
      </c>
      <c r="AT34" s="309">
        <f t="shared" ca="1" si="8"/>
        <v>7.2540000000000004</v>
      </c>
      <c r="AU34" s="310">
        <f t="shared" ca="1" si="9"/>
        <v>8.5150000000000006</v>
      </c>
      <c r="AV34" s="309">
        <f t="shared" ca="1" si="10"/>
        <v>5.6015000000000006</v>
      </c>
      <c r="AW34" s="311">
        <f t="shared" ca="1" si="11"/>
        <v>14.116500000000002</v>
      </c>
      <c r="AX34" s="286"/>
      <c r="AY34" s="307">
        <f t="shared" ca="1" si="41"/>
        <v>1.0806249999999999</v>
      </c>
      <c r="AZ34" s="308">
        <f t="shared" ca="1" si="42"/>
        <v>1.2350000000000001</v>
      </c>
      <c r="BA34" s="309">
        <f t="shared" ca="1" si="43"/>
        <v>2.3156249999999998</v>
      </c>
      <c r="BB34" s="310">
        <f t="shared" ca="1" si="44"/>
        <v>3.6875</v>
      </c>
      <c r="BC34" s="308">
        <f t="shared" ca="1" si="45"/>
        <v>0.73750000000000004</v>
      </c>
      <c r="BD34" s="309">
        <f t="shared" ca="1" si="12"/>
        <v>4.4249999999999998</v>
      </c>
      <c r="BE34" s="310">
        <f t="shared" ca="1" si="46"/>
        <v>3.69</v>
      </c>
      <c r="BF34" s="308">
        <f t="shared" ca="1" si="47"/>
        <v>3.5640000000000005</v>
      </c>
      <c r="BG34" s="309">
        <f t="shared" ca="1" si="13"/>
        <v>7.2540000000000004</v>
      </c>
      <c r="BH34" s="310">
        <f t="shared" ca="1" si="48"/>
        <v>8.458124999999999</v>
      </c>
      <c r="BI34" s="309">
        <f t="shared" ca="1" si="49"/>
        <v>5.5365000000000002</v>
      </c>
      <c r="BJ34" s="311">
        <f t="shared" ca="1" si="14"/>
        <v>13.994624999999999</v>
      </c>
      <c r="BK34" s="286"/>
      <c r="BL34" s="307">
        <f t="shared" ca="1" si="50"/>
        <v>1.0237499999999999</v>
      </c>
      <c r="BM34" s="308">
        <f t="shared" ca="1" si="51"/>
        <v>1.17</v>
      </c>
      <c r="BN34" s="309">
        <f t="shared" ca="1" si="15"/>
        <v>2.1937499999999996</v>
      </c>
      <c r="BO34" s="310">
        <f t="shared" ca="1" si="52"/>
        <v>3.6875</v>
      </c>
      <c r="BP34" s="308">
        <f t="shared" ca="1" si="53"/>
        <v>0.73750000000000004</v>
      </c>
      <c r="BQ34" s="309">
        <f t="shared" ca="1" si="16"/>
        <v>4.4249999999999998</v>
      </c>
      <c r="BR34" s="310">
        <f t="shared" ca="1" si="54"/>
        <v>3.69</v>
      </c>
      <c r="BS34" s="308">
        <f t="shared" ca="1" si="55"/>
        <v>3.5640000000000005</v>
      </c>
      <c r="BT34" s="309">
        <f t="shared" ca="1" si="17"/>
        <v>7.2540000000000004</v>
      </c>
      <c r="BU34" s="310">
        <f t="shared" ca="1" si="18"/>
        <v>8.4012499999999992</v>
      </c>
      <c r="BV34" s="309">
        <f t="shared" ca="1" si="19"/>
        <v>5.4715000000000007</v>
      </c>
      <c r="BW34" s="311">
        <f t="shared" ca="1" si="20"/>
        <v>13.87275</v>
      </c>
      <c r="BX34" s="286"/>
      <c r="BY34" s="300">
        <f t="shared" ca="1" si="59"/>
        <v>0.5403125000000002</v>
      </c>
      <c r="BZ34" s="301">
        <f t="shared" ca="1" si="60"/>
        <v>71.758749999999992</v>
      </c>
      <c r="CA34" s="301">
        <f t="shared" ca="1" si="61"/>
        <v>3.7980000000000014</v>
      </c>
      <c r="CB34" s="312">
        <f t="shared" ca="1" si="56"/>
        <v>76.097062499999993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Zeile</v>
      </c>
      <c r="J35" s="274" t="str">
        <f ca="1">IF(OR(I36&lt;&gt;"",I37&lt;&gt;"",I38&lt;&gt;"")=TRUE,"Effekt(e)","")</f>
        <v>Effekt(e)</v>
      </c>
      <c r="K35" s="685" t="str">
        <f ca="1">IF(OR(I36&lt;&gt;"",I37&lt;&gt;"",I38&lt;&gt;"")=TRUE,"Einheit und Grenzbereiche","")</f>
        <v>Einheit und Grenzbereiche</v>
      </c>
      <c r="L35" s="685"/>
      <c r="M35" s="269" t="str">
        <f ca="1">IF(OR(I36&lt;&gt;"",I37&lt;&gt;"",I38&lt;&gt;"")=TRUE,"Eingabe","")</f>
        <v>Eingabe</v>
      </c>
      <c r="N35"/>
      <c r="O35" s="358" t="s">
        <v>36</v>
      </c>
      <c r="P35" s="247"/>
      <c r="Q35" s="362">
        <f t="shared" ca="1" si="21"/>
        <v>23.787499999999998</v>
      </c>
      <c r="R35" s="248">
        <f t="shared" ca="1" si="57"/>
        <v>11.782499999999999</v>
      </c>
      <c r="S35" s="363">
        <f t="shared" ca="1" si="22"/>
        <v>35.569999999999993</v>
      </c>
      <c r="T35" s="247"/>
      <c r="U35" s="362">
        <f t="shared" ca="1" si="23"/>
        <v>23.714375</v>
      </c>
      <c r="V35" s="248">
        <f t="shared" ca="1" si="24"/>
        <v>11.702874999999999</v>
      </c>
      <c r="W35" s="363">
        <f t="shared" ca="1" si="25"/>
        <v>35.417249999999996</v>
      </c>
      <c r="X35" s="247"/>
      <c r="Y35" s="362">
        <f t="shared" ca="1" si="26"/>
        <v>23.641249999999999</v>
      </c>
      <c r="Z35" s="248">
        <f t="shared" ca="1" si="27"/>
        <v>11.623249999999999</v>
      </c>
      <c r="AA35" s="363">
        <f t="shared" ca="1" si="28"/>
        <v>35.264499999999998</v>
      </c>
      <c r="AB35" s="58" t="str">
        <f t="shared" ref="AB35:AB46" ca="1" si="62">IF(AND(AA35=MAX($AA$35:$AA$46),AA35&gt;0)=TRUE,"nachmittägliche
Spitzenstunde","")</f>
        <v/>
      </c>
      <c r="AC35" s="495" t="s">
        <v>36</v>
      </c>
      <c r="AD35" s="275"/>
      <c r="AE35" s="303">
        <f t="shared" ca="1" si="30"/>
        <v>-4.5</v>
      </c>
      <c r="AF35" s="304">
        <f t="shared" ca="1" si="58"/>
        <v>4.9000000000000004</v>
      </c>
      <c r="AG35" s="305">
        <f t="shared" ca="1" si="31"/>
        <v>-13</v>
      </c>
      <c r="AH35" s="304">
        <f t="shared" ca="1" si="32"/>
        <v>5.2</v>
      </c>
      <c r="AI35" s="305">
        <f t="shared" ca="1" si="33"/>
        <v>-8.75</v>
      </c>
      <c r="AJ35" s="306">
        <f t="shared" ca="1" si="34"/>
        <v>7</v>
      </c>
      <c r="AK35" s="313"/>
      <c r="AL35" s="307">
        <f t="shared" ca="1" si="35"/>
        <v>1.4624999999999999</v>
      </c>
      <c r="AM35" s="308">
        <f t="shared" ca="1" si="36"/>
        <v>1.5925</v>
      </c>
      <c r="AN35" s="309">
        <f t="shared" ca="1" si="6"/>
        <v>3.0549999999999997</v>
      </c>
      <c r="AO35" s="310">
        <f t="shared" ca="1" si="37"/>
        <v>19.175000000000001</v>
      </c>
      <c r="AP35" s="308">
        <f t="shared" ca="1" si="38"/>
        <v>7.67</v>
      </c>
      <c r="AQ35" s="309">
        <f t="shared" ca="1" si="7"/>
        <v>26.844999999999999</v>
      </c>
      <c r="AR35" s="310">
        <f t="shared" ca="1" si="39"/>
        <v>3.15</v>
      </c>
      <c r="AS35" s="308">
        <f t="shared" ca="1" si="40"/>
        <v>2.52</v>
      </c>
      <c r="AT35" s="309">
        <f t="shared" ca="1" si="8"/>
        <v>5.67</v>
      </c>
      <c r="AU35" s="310">
        <f t="shared" ca="1" si="9"/>
        <v>23.787499999999998</v>
      </c>
      <c r="AV35" s="309">
        <f t="shared" ca="1" si="10"/>
        <v>11.782499999999999</v>
      </c>
      <c r="AW35" s="311">
        <f t="shared" ca="1" si="11"/>
        <v>35.569999999999993</v>
      </c>
      <c r="AX35" s="314"/>
      <c r="AY35" s="307">
        <f t="shared" ca="1" si="41"/>
        <v>1.389375</v>
      </c>
      <c r="AZ35" s="308">
        <f t="shared" ca="1" si="42"/>
        <v>1.512875</v>
      </c>
      <c r="BA35" s="309">
        <f t="shared" ca="1" si="43"/>
        <v>2.90225</v>
      </c>
      <c r="BB35" s="310">
        <f t="shared" ca="1" si="44"/>
        <v>19.175000000000001</v>
      </c>
      <c r="BC35" s="308">
        <f t="shared" ca="1" si="45"/>
        <v>7.67</v>
      </c>
      <c r="BD35" s="309">
        <f t="shared" ca="1" si="12"/>
        <v>26.844999999999999</v>
      </c>
      <c r="BE35" s="310">
        <f t="shared" ca="1" si="46"/>
        <v>3.15</v>
      </c>
      <c r="BF35" s="308">
        <f t="shared" ca="1" si="47"/>
        <v>2.52</v>
      </c>
      <c r="BG35" s="309">
        <f t="shared" ca="1" si="13"/>
        <v>5.67</v>
      </c>
      <c r="BH35" s="310">
        <f t="shared" ca="1" si="48"/>
        <v>23.714375</v>
      </c>
      <c r="BI35" s="309">
        <f t="shared" ca="1" si="49"/>
        <v>11.702874999999999</v>
      </c>
      <c r="BJ35" s="311">
        <f t="shared" ca="1" si="14"/>
        <v>35.417249999999996</v>
      </c>
      <c r="BK35" s="314"/>
      <c r="BL35" s="307">
        <f t="shared" ca="1" si="50"/>
        <v>1.3162499999999999</v>
      </c>
      <c r="BM35" s="308">
        <f t="shared" ca="1" si="51"/>
        <v>1.4332499999999999</v>
      </c>
      <c r="BN35" s="309">
        <f t="shared" ca="1" si="15"/>
        <v>2.7494999999999998</v>
      </c>
      <c r="BO35" s="310">
        <f t="shared" ca="1" si="52"/>
        <v>19.175000000000001</v>
      </c>
      <c r="BP35" s="308">
        <f t="shared" ca="1" si="53"/>
        <v>7.67</v>
      </c>
      <c r="BQ35" s="309">
        <f t="shared" ca="1" si="16"/>
        <v>26.844999999999999</v>
      </c>
      <c r="BR35" s="310">
        <f t="shared" ca="1" si="54"/>
        <v>3.15</v>
      </c>
      <c r="BS35" s="308">
        <f t="shared" ca="1" si="55"/>
        <v>2.52</v>
      </c>
      <c r="BT35" s="309">
        <f t="shared" ca="1" si="17"/>
        <v>5.67</v>
      </c>
      <c r="BU35" s="310">
        <f t="shared" ca="1" si="18"/>
        <v>23.641249999999999</v>
      </c>
      <c r="BV35" s="309">
        <f t="shared" ca="1" si="19"/>
        <v>11.623249999999999</v>
      </c>
      <c r="BW35" s="311">
        <f t="shared" ca="1" si="20"/>
        <v>35.264499999999998</v>
      </c>
      <c r="BX35" s="314"/>
      <c r="BY35" s="300">
        <f t="shared" ca="1" si="59"/>
        <v>0.66381250000000014</v>
      </c>
      <c r="BZ35" s="301">
        <f t="shared" ca="1" si="60"/>
        <v>60.253749999999989</v>
      </c>
      <c r="CA35" s="301">
        <f t="shared" ca="1" si="61"/>
        <v>3.1680000000000015</v>
      </c>
      <c r="CB35" s="312">
        <f t="shared" ca="1" si="56"/>
        <v>64.085562499999995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10</v>
      </c>
      <c r="C36" s="524">
        <f ca="1">IF($C$8=1,INDIRECT(ADDRESS($D$8,$F$4+2,,,$B$4)),IF(AND($C$8=0,$C$9=1)=TRUE,INDIRECT(ADDRESS($D$9,$F$4+2,,,$B$4)),IF(AND($C$8=0,$C$9=0,$C$10=1)=TRUE,INDIRECT(ADDRESS($D$10,$F$4+2,,,$B$4)),0)))</f>
        <v>30</v>
      </c>
      <c r="D36" s="678" t="str">
        <f ca="1">IF(OR(M36&lt;B36,M36&gt;C36)=TRUE,"FEHLER","")</f>
        <v>FEHLER</v>
      </c>
      <c r="E36" s="679"/>
      <c r="F36" s="679"/>
      <c r="G36" s="472">
        <f ca="1">IF(J36&lt;&gt;"",1,"")</f>
        <v>1</v>
      </c>
      <c r="I36" s="242" t="str">
        <f ca="1">IF(J36&lt;&gt;"","n","")</f>
        <v>n</v>
      </c>
      <c r="J36" s="270" t="str">
        <f ca="1">IF($C$8=1,INDIRECT(ADDRESS($D$8,$F$4-1,,,$B$4)),IF(AND($C$8=0,$C$9=1)=TRUE,INDIRECT(ADDRESS($D$9,$F$4-1,,,$B$4)),IF(AND($C$8=0,$C$9=0,$C$10=1)=TRUE,INDIRECT(ADDRESS($D$10,$F$4-1,,,$B$4)),"")))</f>
        <v>Verbundeffekt(e)</v>
      </c>
      <c r="K36" s="680" t="str">
        <f ca="1">IF($C$8=1,INDIRECT(ADDRESS($D$8,$F$4,,,$B$4)),IF(AND($C$8=0,$C$9=1)=TRUE,INDIRECT(ADDRESS($D$9,$F$4,,,$B$4)),IF(AND($C$8=0,$C$9=0,$C$10=1)=TRUE,INDIRECT(ADDRESS($D$10,$F$4,,,$B$4)),"")))</f>
        <v>10 - 30 %</v>
      </c>
      <c r="L36" s="680"/>
      <c r="M36" s="271">
        <v>5</v>
      </c>
      <c r="N36" s="5"/>
      <c r="O36" s="358" t="s">
        <v>37</v>
      </c>
      <c r="P36" s="247"/>
      <c r="Q36" s="362">
        <f t="shared" ca="1" si="21"/>
        <v>21.177499999999998</v>
      </c>
      <c r="R36" s="248">
        <f t="shared" ca="1" si="57"/>
        <v>23.2425</v>
      </c>
      <c r="S36" s="363">
        <f t="shared" ca="1" si="22"/>
        <v>44.42</v>
      </c>
      <c r="T36" s="247"/>
      <c r="U36" s="362">
        <f t="shared" ca="1" si="23"/>
        <v>21.1246875</v>
      </c>
      <c r="V36" s="248">
        <f t="shared" ca="1" si="24"/>
        <v>23.185625000000002</v>
      </c>
      <c r="W36" s="363">
        <f t="shared" ca="1" si="25"/>
        <v>44.310312500000002</v>
      </c>
      <c r="X36" s="247"/>
      <c r="Y36" s="362">
        <f t="shared" ca="1" si="26"/>
        <v>21.071874999999999</v>
      </c>
      <c r="Z36" s="248">
        <f t="shared" ca="1" si="27"/>
        <v>23.12875</v>
      </c>
      <c r="AA36" s="363">
        <f t="shared" ca="1" si="28"/>
        <v>44.200625000000002</v>
      </c>
      <c r="AB36" s="58" t="str">
        <f t="shared" ca="1" si="62"/>
        <v>nachmittägliche
Spitzenstunde</v>
      </c>
      <c r="AC36" s="495" t="s">
        <v>37</v>
      </c>
      <c r="AD36" s="275"/>
      <c r="AE36" s="303">
        <f t="shared" ca="1" si="30"/>
        <v>-3.25</v>
      </c>
      <c r="AF36" s="304">
        <f t="shared" ca="1" si="58"/>
        <v>3.5</v>
      </c>
      <c r="AG36" s="305">
        <f t="shared" ca="1" si="31"/>
        <v>-11.75</v>
      </c>
      <c r="AH36" s="304">
        <f t="shared" ca="1" si="32"/>
        <v>13.4</v>
      </c>
      <c r="AI36" s="305">
        <f t="shared" ca="1" si="33"/>
        <v>-7.75</v>
      </c>
      <c r="AJ36" s="306">
        <f t="shared" ca="1" si="34"/>
        <v>6.5</v>
      </c>
      <c r="AK36" s="280"/>
      <c r="AL36" s="307">
        <f t="shared" ca="1" si="35"/>
        <v>1.0562499999999999</v>
      </c>
      <c r="AM36" s="308">
        <f t="shared" ca="1" si="36"/>
        <v>1.1375</v>
      </c>
      <c r="AN36" s="309">
        <f t="shared" ca="1" si="6"/>
        <v>2.1937499999999996</v>
      </c>
      <c r="AO36" s="310">
        <f t="shared" ca="1" si="37"/>
        <v>17.331250000000001</v>
      </c>
      <c r="AP36" s="308">
        <f t="shared" ca="1" si="38"/>
        <v>19.765000000000001</v>
      </c>
      <c r="AQ36" s="309">
        <f t="shared" ca="1" si="7"/>
        <v>37.096249999999998</v>
      </c>
      <c r="AR36" s="310">
        <f t="shared" ca="1" si="39"/>
        <v>2.79</v>
      </c>
      <c r="AS36" s="308">
        <f t="shared" ca="1" si="40"/>
        <v>2.34</v>
      </c>
      <c r="AT36" s="309">
        <f t="shared" ca="1" si="8"/>
        <v>5.13</v>
      </c>
      <c r="AU36" s="310">
        <f t="shared" ca="1" si="9"/>
        <v>21.177499999999998</v>
      </c>
      <c r="AV36" s="309">
        <f t="shared" ca="1" si="10"/>
        <v>23.2425</v>
      </c>
      <c r="AW36" s="311">
        <f t="shared" ca="1" si="11"/>
        <v>44.42</v>
      </c>
      <c r="AX36" s="286"/>
      <c r="AY36" s="307">
        <f t="shared" ca="1" si="41"/>
        <v>1.0034374999999998</v>
      </c>
      <c r="AZ36" s="308">
        <f t="shared" ca="1" si="42"/>
        <v>1.0806249999999999</v>
      </c>
      <c r="BA36" s="309">
        <f t="shared" ca="1" si="43"/>
        <v>2.0840624999999999</v>
      </c>
      <c r="BB36" s="310">
        <f t="shared" ca="1" si="44"/>
        <v>17.331250000000001</v>
      </c>
      <c r="BC36" s="308">
        <f t="shared" ca="1" si="45"/>
        <v>19.765000000000001</v>
      </c>
      <c r="BD36" s="309">
        <f t="shared" ca="1" si="12"/>
        <v>37.096249999999998</v>
      </c>
      <c r="BE36" s="310">
        <f t="shared" ca="1" si="46"/>
        <v>2.79</v>
      </c>
      <c r="BF36" s="308">
        <f t="shared" ca="1" si="47"/>
        <v>2.34</v>
      </c>
      <c r="BG36" s="309">
        <f t="shared" ca="1" si="13"/>
        <v>5.13</v>
      </c>
      <c r="BH36" s="310">
        <f t="shared" ca="1" si="48"/>
        <v>21.1246875</v>
      </c>
      <c r="BI36" s="309">
        <f t="shared" ca="1" si="49"/>
        <v>23.185625000000002</v>
      </c>
      <c r="BJ36" s="311">
        <f t="shared" ca="1" si="14"/>
        <v>44.310312500000002</v>
      </c>
      <c r="BK36" s="286"/>
      <c r="BL36" s="307">
        <f t="shared" ca="1" si="50"/>
        <v>0.95062499999999983</v>
      </c>
      <c r="BM36" s="308">
        <f t="shared" ca="1" si="51"/>
        <v>1.0237499999999999</v>
      </c>
      <c r="BN36" s="309">
        <f t="shared" ca="1" si="15"/>
        <v>1.9743749999999998</v>
      </c>
      <c r="BO36" s="310">
        <f t="shared" ca="1" si="52"/>
        <v>17.331250000000001</v>
      </c>
      <c r="BP36" s="308">
        <f t="shared" ca="1" si="53"/>
        <v>19.765000000000001</v>
      </c>
      <c r="BQ36" s="309">
        <f t="shared" ca="1" si="16"/>
        <v>37.096249999999998</v>
      </c>
      <c r="BR36" s="310">
        <f t="shared" ca="1" si="54"/>
        <v>2.79</v>
      </c>
      <c r="BS36" s="308">
        <f t="shared" ca="1" si="55"/>
        <v>2.34</v>
      </c>
      <c r="BT36" s="309">
        <f t="shared" ca="1" si="17"/>
        <v>5.13</v>
      </c>
      <c r="BU36" s="310">
        <f t="shared" ca="1" si="18"/>
        <v>21.071874999999999</v>
      </c>
      <c r="BV36" s="309">
        <f t="shared" ca="1" si="19"/>
        <v>23.12875</v>
      </c>
      <c r="BW36" s="311">
        <f t="shared" ca="1" si="20"/>
        <v>44.200625000000002</v>
      </c>
      <c r="BX36" s="286"/>
      <c r="BY36" s="300">
        <f t="shared" ca="1" si="59"/>
        <v>0.74100000000000033</v>
      </c>
      <c r="BZ36" s="301">
        <f t="shared" ca="1" si="60"/>
        <v>62.687499999999986</v>
      </c>
      <c r="CA36" s="301">
        <f t="shared" ca="1" si="61"/>
        <v>2.7180000000000013</v>
      </c>
      <c r="CB36" s="312">
        <f t="shared" ca="1" si="56"/>
        <v>66.146499999999989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5</v>
      </c>
      <c r="C37" s="524">
        <f ca="1">IF(AND($C$8=1,$C$9=1)=TRUE,INDIRECT(ADDRESS($D$9,$F$4+2,,,$B$4)),IF(AND($C$8=1,$C$10=1)=TRUE,INDIRECT(ADDRESS($D$10,$F$4+2,,,$B$4)),IF(AND($C$9=1,$C$10=1)=TRUE,INDIRECT(ADDRESS($D$10,$F$4+2,,,$B$4)),0)))</f>
        <v>35</v>
      </c>
      <c r="D37" s="678" t="str">
        <f ca="1">IF(OR(M37&lt;B37,M37&gt;C37)=TRUE,"FEHLER","")</f>
        <v/>
      </c>
      <c r="E37" s="679"/>
      <c r="F37" s="679"/>
      <c r="G37" s="472">
        <f ca="1">IF(J37&lt;&gt;"",1,"")</f>
        <v>1</v>
      </c>
      <c r="I37" s="242" t="str">
        <f ca="1">IF(J37&lt;&gt;"","o","")</f>
        <v>o</v>
      </c>
      <c r="J37" s="270" t="str">
        <f ca="1">IF(AND($C$8=1,$C$9=1)=TRUE,INDIRECT(ADDRESS($D$9,$F$4-1,,,$B$4)),IF(AND($C$8=1,$C$10=1)=TRUE,INDIRECT(ADDRESS($D$10,$F$4-1,,,$B$4)),IF(AND($C$9=1,$C$10=1)=TRUE,INDIRECT(ADDRESS($D$10,$F$4-1,,,$B$4)),"")))</f>
        <v>Mitnahmeeffekt(e)</v>
      </c>
      <c r="K37" s="680" t="str">
        <f ca="1">IF(AND($C$8=1,$C$9=1)=TRUE,INDIRECT(ADDRESS($D$9,$F$4,,,$B$4)),IF(AND($C$8=1,$C$10=1)=TRUE,INDIRECT(ADDRESS($D$10,$F$4,,,$B$4)),IF(AND($C$9=1,$C$10=1)=TRUE,INDIRECT(ADDRESS($D$10,$F$4,,,$B$4)),"")))</f>
        <v>5 - 35 %</v>
      </c>
      <c r="L37" s="680"/>
      <c r="M37" s="271">
        <v>5</v>
      </c>
      <c r="N37" s="6"/>
      <c r="O37" s="358" t="s">
        <v>38</v>
      </c>
      <c r="P37" s="247"/>
      <c r="Q37" s="362">
        <f t="shared" ca="1" si="21"/>
        <v>12.3285</v>
      </c>
      <c r="R37" s="248">
        <f t="shared" ca="1" si="57"/>
        <v>11.75</v>
      </c>
      <c r="S37" s="363">
        <f t="shared" ca="1" si="22"/>
        <v>24.078499999999998</v>
      </c>
      <c r="T37" s="247"/>
      <c r="U37" s="362">
        <f t="shared" ca="1" si="23"/>
        <v>12.255374999999999</v>
      </c>
      <c r="V37" s="248">
        <f t="shared" ca="1" si="24"/>
        <v>11.668749999999999</v>
      </c>
      <c r="W37" s="363">
        <f t="shared" ca="1" si="25"/>
        <v>23.924124999999997</v>
      </c>
      <c r="X37" s="247"/>
      <c r="Y37" s="362">
        <f t="shared" ca="1" si="26"/>
        <v>12.18225</v>
      </c>
      <c r="Z37" s="248">
        <f t="shared" ca="1" si="27"/>
        <v>11.5875</v>
      </c>
      <c r="AA37" s="363">
        <f t="shared" ca="1" si="28"/>
        <v>23.769750000000002</v>
      </c>
      <c r="AB37" s="58" t="str">
        <f t="shared" ca="1" si="62"/>
        <v/>
      </c>
      <c r="AC37" s="495" t="s">
        <v>38</v>
      </c>
      <c r="AD37" s="275"/>
      <c r="AE37" s="303">
        <f t="shared" ca="1" si="30"/>
        <v>-4.5</v>
      </c>
      <c r="AF37" s="304">
        <f t="shared" ca="1" si="58"/>
        <v>5</v>
      </c>
      <c r="AG37" s="305">
        <f t="shared" ca="1" si="31"/>
        <v>-6</v>
      </c>
      <c r="AH37" s="304">
        <f t="shared" ca="1" si="32"/>
        <v>5.4</v>
      </c>
      <c r="AI37" s="305">
        <f t="shared" ca="1" si="33"/>
        <v>-5.6</v>
      </c>
      <c r="AJ37" s="306">
        <f t="shared" ca="1" si="34"/>
        <v>6</v>
      </c>
      <c r="AK37" s="280"/>
      <c r="AL37" s="307">
        <f t="shared" ca="1" si="35"/>
        <v>1.4624999999999999</v>
      </c>
      <c r="AM37" s="308">
        <f t="shared" ca="1" si="36"/>
        <v>1.625</v>
      </c>
      <c r="AN37" s="309">
        <f t="shared" ca="1" si="6"/>
        <v>3.0874999999999999</v>
      </c>
      <c r="AO37" s="310">
        <f t="shared" ca="1" si="37"/>
        <v>8.85</v>
      </c>
      <c r="AP37" s="308">
        <f t="shared" ca="1" si="38"/>
        <v>7.9649999999999999</v>
      </c>
      <c r="AQ37" s="309">
        <f t="shared" ca="1" si="7"/>
        <v>16.814999999999998</v>
      </c>
      <c r="AR37" s="310">
        <f t="shared" ca="1" si="39"/>
        <v>2.016</v>
      </c>
      <c r="AS37" s="308">
        <f t="shared" ca="1" si="40"/>
        <v>2.16</v>
      </c>
      <c r="AT37" s="309">
        <f t="shared" ca="1" si="8"/>
        <v>4.1760000000000002</v>
      </c>
      <c r="AU37" s="310">
        <f t="shared" ca="1" si="9"/>
        <v>12.3285</v>
      </c>
      <c r="AV37" s="309">
        <f t="shared" ca="1" si="10"/>
        <v>11.75</v>
      </c>
      <c r="AW37" s="311">
        <f t="shared" ca="1" si="11"/>
        <v>24.078499999999998</v>
      </c>
      <c r="AX37" s="286"/>
      <c r="AY37" s="307">
        <f t="shared" ca="1" si="41"/>
        <v>1.389375</v>
      </c>
      <c r="AZ37" s="308">
        <f t="shared" ca="1" si="42"/>
        <v>1.54375</v>
      </c>
      <c r="BA37" s="309">
        <f t="shared" ca="1" si="43"/>
        <v>2.933125</v>
      </c>
      <c r="BB37" s="310">
        <f t="shared" ca="1" si="44"/>
        <v>8.85</v>
      </c>
      <c r="BC37" s="308">
        <f t="shared" ca="1" si="45"/>
        <v>7.9649999999999999</v>
      </c>
      <c r="BD37" s="309">
        <f t="shared" ca="1" si="12"/>
        <v>16.814999999999998</v>
      </c>
      <c r="BE37" s="310">
        <f t="shared" ca="1" si="46"/>
        <v>2.016</v>
      </c>
      <c r="BF37" s="308">
        <f t="shared" ca="1" si="47"/>
        <v>2.16</v>
      </c>
      <c r="BG37" s="309">
        <f t="shared" ca="1" si="13"/>
        <v>4.1760000000000002</v>
      </c>
      <c r="BH37" s="310">
        <f t="shared" ca="1" si="48"/>
        <v>12.255374999999999</v>
      </c>
      <c r="BI37" s="309">
        <f t="shared" ca="1" si="49"/>
        <v>11.668749999999999</v>
      </c>
      <c r="BJ37" s="311">
        <f t="shared" ca="1" si="14"/>
        <v>23.924124999999997</v>
      </c>
      <c r="BK37" s="286"/>
      <c r="BL37" s="307">
        <f t="shared" ca="1" si="50"/>
        <v>1.3162499999999999</v>
      </c>
      <c r="BM37" s="308">
        <f t="shared" ca="1" si="51"/>
        <v>1.4624999999999999</v>
      </c>
      <c r="BN37" s="309">
        <f t="shared" ca="1" si="15"/>
        <v>2.7787499999999996</v>
      </c>
      <c r="BO37" s="310">
        <f t="shared" ca="1" si="52"/>
        <v>8.85</v>
      </c>
      <c r="BP37" s="308">
        <f t="shared" ca="1" si="53"/>
        <v>7.9649999999999999</v>
      </c>
      <c r="BQ37" s="309">
        <f t="shared" ca="1" si="16"/>
        <v>16.814999999999998</v>
      </c>
      <c r="BR37" s="310">
        <f t="shared" ca="1" si="54"/>
        <v>2.016</v>
      </c>
      <c r="BS37" s="308">
        <f t="shared" ca="1" si="55"/>
        <v>2.16</v>
      </c>
      <c r="BT37" s="309">
        <f t="shared" ca="1" si="17"/>
        <v>4.1760000000000002</v>
      </c>
      <c r="BU37" s="310">
        <f t="shared" ca="1" si="18"/>
        <v>12.18225</v>
      </c>
      <c r="BV37" s="309">
        <f t="shared" ca="1" si="19"/>
        <v>11.5875</v>
      </c>
      <c r="BW37" s="311">
        <f t="shared" ca="1" si="20"/>
        <v>23.769750000000002</v>
      </c>
      <c r="BX37" s="286"/>
      <c r="BY37" s="300">
        <f t="shared" ca="1" si="59"/>
        <v>0.89537500000000025</v>
      </c>
      <c r="BZ37" s="301">
        <f t="shared" ca="1" si="60"/>
        <v>61.802499999999988</v>
      </c>
      <c r="CA37" s="301">
        <f t="shared" ca="1" si="61"/>
        <v>2.8620000000000014</v>
      </c>
      <c r="CB37" s="312">
        <f t="shared" ca="1" si="56"/>
        <v>65.559874999999991</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13.95</v>
      </c>
      <c r="R38" s="248">
        <f t="shared" ca="1" si="57"/>
        <v>7.0774999999999997</v>
      </c>
      <c r="S38" s="363">
        <f t="shared" ca="1" si="22"/>
        <v>21.0275</v>
      </c>
      <c r="T38" s="247"/>
      <c r="U38" s="362">
        <f t="shared" ca="1" si="23"/>
        <v>13.894749999999998</v>
      </c>
      <c r="V38" s="248">
        <f t="shared" ca="1" si="24"/>
        <v>6.9921875</v>
      </c>
      <c r="W38" s="363">
        <f t="shared" ca="1" si="25"/>
        <v>20.886937499999998</v>
      </c>
      <c r="X38" s="247"/>
      <c r="Y38" s="362">
        <f t="shared" ca="1" si="26"/>
        <v>13.839499999999999</v>
      </c>
      <c r="Z38" s="248">
        <f t="shared" ca="1" si="27"/>
        <v>6.9068750000000003</v>
      </c>
      <c r="AA38" s="363">
        <f t="shared" ca="1" si="28"/>
        <v>20.746375</v>
      </c>
      <c r="AB38" s="58" t="str">
        <f t="shared" ca="1" si="62"/>
        <v/>
      </c>
      <c r="AC38" s="495" t="s">
        <v>39</v>
      </c>
      <c r="AD38" s="275"/>
      <c r="AE38" s="303">
        <f t="shared" ca="1" si="30"/>
        <v>-3.4</v>
      </c>
      <c r="AF38" s="304">
        <f t="shared" ca="1" si="58"/>
        <v>5.25</v>
      </c>
      <c r="AG38" s="305">
        <f t="shared" ca="1" si="31"/>
        <v>-7</v>
      </c>
      <c r="AH38" s="304">
        <f t="shared" ca="1" si="32"/>
        <v>1.75</v>
      </c>
      <c r="AI38" s="305">
        <f t="shared" ca="1" si="33"/>
        <v>-7</v>
      </c>
      <c r="AJ38" s="306">
        <f t="shared" ca="1" si="34"/>
        <v>7.75</v>
      </c>
      <c r="AK38" s="280"/>
      <c r="AL38" s="307">
        <f t="shared" ca="1" si="35"/>
        <v>1.105</v>
      </c>
      <c r="AM38" s="308">
        <f t="shared" ca="1" si="36"/>
        <v>1.70625</v>
      </c>
      <c r="AN38" s="309">
        <f t="shared" ca="1" si="6"/>
        <v>2.8112500000000002</v>
      </c>
      <c r="AO38" s="310">
        <f t="shared" ca="1" si="37"/>
        <v>10.324999999999999</v>
      </c>
      <c r="AP38" s="308">
        <f t="shared" ca="1" si="38"/>
        <v>2.5812499999999998</v>
      </c>
      <c r="AQ38" s="309">
        <f t="shared" ca="1" si="7"/>
        <v>12.90625</v>
      </c>
      <c r="AR38" s="310">
        <f t="shared" ca="1" si="39"/>
        <v>2.52</v>
      </c>
      <c r="AS38" s="308">
        <f t="shared" ca="1" si="40"/>
        <v>2.79</v>
      </c>
      <c r="AT38" s="309">
        <f t="shared" ca="1" si="8"/>
        <v>5.3100000000000005</v>
      </c>
      <c r="AU38" s="310">
        <f t="shared" ca="1" si="9"/>
        <v>13.95</v>
      </c>
      <c r="AV38" s="309">
        <f t="shared" ca="1" si="10"/>
        <v>7.0774999999999997</v>
      </c>
      <c r="AW38" s="311">
        <f t="shared" ca="1" si="11"/>
        <v>21.0275</v>
      </c>
      <c r="AX38" s="286"/>
      <c r="AY38" s="307">
        <f t="shared" ca="1" si="41"/>
        <v>1.04975</v>
      </c>
      <c r="AZ38" s="308">
        <f t="shared" ca="1" si="42"/>
        <v>1.6209374999999999</v>
      </c>
      <c r="BA38" s="309">
        <f t="shared" ca="1" si="43"/>
        <v>2.6706874999999997</v>
      </c>
      <c r="BB38" s="310">
        <f t="shared" ca="1" si="44"/>
        <v>10.324999999999999</v>
      </c>
      <c r="BC38" s="308">
        <f t="shared" ca="1" si="45"/>
        <v>2.5812499999999998</v>
      </c>
      <c r="BD38" s="309">
        <f t="shared" ca="1" si="12"/>
        <v>12.90625</v>
      </c>
      <c r="BE38" s="310">
        <f t="shared" ca="1" si="46"/>
        <v>2.52</v>
      </c>
      <c r="BF38" s="308">
        <f t="shared" ca="1" si="47"/>
        <v>2.79</v>
      </c>
      <c r="BG38" s="309">
        <f t="shared" ca="1" si="13"/>
        <v>5.3100000000000005</v>
      </c>
      <c r="BH38" s="310">
        <f t="shared" ca="1" si="48"/>
        <v>13.894749999999998</v>
      </c>
      <c r="BI38" s="309">
        <f t="shared" ca="1" si="49"/>
        <v>6.9921875</v>
      </c>
      <c r="BJ38" s="311">
        <f t="shared" ca="1" si="14"/>
        <v>20.886937499999998</v>
      </c>
      <c r="BK38" s="286"/>
      <c r="BL38" s="307">
        <f t="shared" ca="1" si="50"/>
        <v>0.99450000000000005</v>
      </c>
      <c r="BM38" s="308">
        <f t="shared" ca="1" si="51"/>
        <v>1.535625</v>
      </c>
      <c r="BN38" s="309">
        <f t="shared" ca="1" si="15"/>
        <v>2.530125</v>
      </c>
      <c r="BO38" s="310">
        <f t="shared" ca="1" si="52"/>
        <v>10.324999999999999</v>
      </c>
      <c r="BP38" s="308">
        <f t="shared" ca="1" si="53"/>
        <v>2.5812499999999998</v>
      </c>
      <c r="BQ38" s="309">
        <f t="shared" ca="1" si="16"/>
        <v>12.90625</v>
      </c>
      <c r="BR38" s="310">
        <f t="shared" ca="1" si="54"/>
        <v>2.52</v>
      </c>
      <c r="BS38" s="308">
        <f t="shared" ca="1" si="55"/>
        <v>2.79</v>
      </c>
      <c r="BT38" s="309">
        <f t="shared" ca="1" si="17"/>
        <v>5.3100000000000005</v>
      </c>
      <c r="BU38" s="310">
        <f t="shared" ca="1" si="18"/>
        <v>13.839499999999999</v>
      </c>
      <c r="BV38" s="309">
        <f t="shared" ca="1" si="19"/>
        <v>6.9068750000000003</v>
      </c>
      <c r="BW38" s="311">
        <f t="shared" ca="1" si="20"/>
        <v>20.746375</v>
      </c>
      <c r="BX38" s="286"/>
      <c r="BY38" s="300">
        <f t="shared" ca="1" si="59"/>
        <v>1.4665625000000002</v>
      </c>
      <c r="BZ38" s="301">
        <f t="shared" ca="1" si="60"/>
        <v>54.058749999999989</v>
      </c>
      <c r="CA38" s="301">
        <f t="shared" ca="1" si="61"/>
        <v>3.1320000000000014</v>
      </c>
      <c r="CB38" s="312">
        <f t="shared" ca="1" si="56"/>
        <v>58.657312499999989</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22.024999999999999</v>
      </c>
      <c r="R39" s="248">
        <f t="shared" ca="1" si="57"/>
        <v>6.2237500000000008</v>
      </c>
      <c r="S39" s="363">
        <f t="shared" ca="1" si="22"/>
        <v>28.248750000000001</v>
      </c>
      <c r="T39" s="247"/>
      <c r="U39" s="362">
        <f t="shared" ca="1" si="23"/>
        <v>21.947812499999998</v>
      </c>
      <c r="V39" s="248">
        <f t="shared" ca="1" si="24"/>
        <v>6.1262500000000006</v>
      </c>
      <c r="W39" s="363">
        <f t="shared" ca="1" si="25"/>
        <v>28.074062499999997</v>
      </c>
      <c r="X39" s="247"/>
      <c r="Y39" s="362">
        <f t="shared" ca="1" si="26"/>
        <v>21.870625</v>
      </c>
      <c r="Z39" s="248">
        <f t="shared" ca="1" si="27"/>
        <v>6.0287500000000005</v>
      </c>
      <c r="AA39" s="363">
        <f t="shared" ca="1" si="28"/>
        <v>27.899374999999999</v>
      </c>
      <c r="AB39" s="58" t="str">
        <f t="shared" ca="1" si="62"/>
        <v/>
      </c>
      <c r="AC39" s="495" t="s">
        <v>40</v>
      </c>
      <c r="AD39" s="275"/>
      <c r="AE39" s="303">
        <f t="shared" ca="1" si="30"/>
        <v>-4.75</v>
      </c>
      <c r="AF39" s="304">
        <f t="shared" ca="1" si="58"/>
        <v>6</v>
      </c>
      <c r="AG39" s="305">
        <f t="shared" ca="1" si="31"/>
        <v>-11.75</v>
      </c>
      <c r="AH39" s="304">
        <f t="shared" ca="1" si="32"/>
        <v>1.25</v>
      </c>
      <c r="AI39" s="305">
        <f t="shared" ca="1" si="33"/>
        <v>-8.75</v>
      </c>
      <c r="AJ39" s="306">
        <f t="shared" ca="1" si="34"/>
        <v>6.75</v>
      </c>
      <c r="AK39" s="280"/>
      <c r="AL39" s="307">
        <f t="shared" ca="1" si="35"/>
        <v>1.54375</v>
      </c>
      <c r="AM39" s="308">
        <f t="shared" ca="1" si="36"/>
        <v>1.95</v>
      </c>
      <c r="AN39" s="309">
        <f t="shared" ca="1" si="6"/>
        <v>3.4937499999999999</v>
      </c>
      <c r="AO39" s="310">
        <f t="shared" ca="1" si="37"/>
        <v>17.331250000000001</v>
      </c>
      <c r="AP39" s="308">
        <f t="shared" ca="1" si="38"/>
        <v>1.84375</v>
      </c>
      <c r="AQ39" s="309">
        <f t="shared" ca="1" si="7"/>
        <v>19.175000000000001</v>
      </c>
      <c r="AR39" s="310">
        <f t="shared" ca="1" si="39"/>
        <v>3.15</v>
      </c>
      <c r="AS39" s="308">
        <f t="shared" ca="1" si="40"/>
        <v>2.4300000000000002</v>
      </c>
      <c r="AT39" s="309">
        <f t="shared" ca="1" si="8"/>
        <v>5.58</v>
      </c>
      <c r="AU39" s="310">
        <f t="shared" ca="1" si="9"/>
        <v>22.024999999999999</v>
      </c>
      <c r="AV39" s="309">
        <f t="shared" ca="1" si="10"/>
        <v>6.2237500000000008</v>
      </c>
      <c r="AW39" s="311">
        <f t="shared" ca="1" si="11"/>
        <v>28.248750000000001</v>
      </c>
      <c r="AX39" s="286"/>
      <c r="AY39" s="307">
        <f t="shared" ca="1" si="41"/>
        <v>1.4665625</v>
      </c>
      <c r="AZ39" s="308">
        <f t="shared" ca="1" si="42"/>
        <v>1.8525</v>
      </c>
      <c r="BA39" s="309">
        <f t="shared" ca="1" si="43"/>
        <v>3.3190625000000002</v>
      </c>
      <c r="BB39" s="310">
        <f t="shared" ca="1" si="44"/>
        <v>17.331250000000001</v>
      </c>
      <c r="BC39" s="308">
        <f t="shared" ca="1" si="45"/>
        <v>1.84375</v>
      </c>
      <c r="BD39" s="309">
        <f t="shared" ca="1" si="12"/>
        <v>19.175000000000001</v>
      </c>
      <c r="BE39" s="310">
        <f t="shared" ca="1" si="46"/>
        <v>3.15</v>
      </c>
      <c r="BF39" s="308">
        <f t="shared" ca="1" si="47"/>
        <v>2.4300000000000002</v>
      </c>
      <c r="BG39" s="309">
        <f t="shared" ca="1" si="13"/>
        <v>5.58</v>
      </c>
      <c r="BH39" s="310">
        <f t="shared" ca="1" si="48"/>
        <v>21.947812499999998</v>
      </c>
      <c r="BI39" s="309">
        <f t="shared" ca="1" si="49"/>
        <v>6.1262500000000006</v>
      </c>
      <c r="BJ39" s="311">
        <f t="shared" ca="1" si="14"/>
        <v>28.074062499999997</v>
      </c>
      <c r="BK39" s="286"/>
      <c r="BL39" s="307">
        <f t="shared" ca="1" si="50"/>
        <v>1.389375</v>
      </c>
      <c r="BM39" s="308">
        <f t="shared" ca="1" si="51"/>
        <v>1.7549999999999999</v>
      </c>
      <c r="BN39" s="309">
        <f t="shared" ca="1" si="15"/>
        <v>3.1443750000000001</v>
      </c>
      <c r="BO39" s="310">
        <f t="shared" ca="1" si="52"/>
        <v>17.331250000000001</v>
      </c>
      <c r="BP39" s="308">
        <f t="shared" ca="1" si="53"/>
        <v>1.84375</v>
      </c>
      <c r="BQ39" s="309">
        <f t="shared" ca="1" si="16"/>
        <v>19.175000000000001</v>
      </c>
      <c r="BR39" s="310">
        <f t="shared" ca="1" si="54"/>
        <v>3.15</v>
      </c>
      <c r="BS39" s="308">
        <f t="shared" ca="1" si="55"/>
        <v>2.4300000000000002</v>
      </c>
      <c r="BT39" s="309">
        <f t="shared" ca="1" si="17"/>
        <v>5.58</v>
      </c>
      <c r="BU39" s="310">
        <f t="shared" ca="1" si="18"/>
        <v>21.870625</v>
      </c>
      <c r="BV39" s="309">
        <f t="shared" ca="1" si="19"/>
        <v>6.0287500000000005</v>
      </c>
      <c r="BW39" s="311">
        <f t="shared" ca="1" si="20"/>
        <v>27.899374999999999</v>
      </c>
      <c r="BX39" s="286"/>
      <c r="BY39" s="300">
        <f t="shared" ca="1" si="59"/>
        <v>1.8525000000000003</v>
      </c>
      <c r="BZ39" s="301">
        <f t="shared" ca="1" si="60"/>
        <v>38.571249999999992</v>
      </c>
      <c r="CA39" s="301">
        <f t="shared" ca="1" si="61"/>
        <v>2.4120000000000017</v>
      </c>
      <c r="CB39" s="312">
        <f t="shared" ca="1" si="56"/>
        <v>42.83574999999999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2</v>
      </c>
      <c r="I40" s="674" t="s">
        <v>152</v>
      </c>
      <c r="J40" s="675"/>
      <c r="K40" s="675"/>
      <c r="L40" s="672" t="s">
        <v>153</v>
      </c>
      <c r="M40" s="672" t="s">
        <v>154</v>
      </c>
      <c r="N40" s="1"/>
      <c r="O40" s="358" t="s">
        <v>41</v>
      </c>
      <c r="P40" s="247"/>
      <c r="Q40" s="362">
        <f t="shared" ca="1" si="21"/>
        <v>25.401250000000001</v>
      </c>
      <c r="R40" s="248">
        <f t="shared" ca="1" si="57"/>
        <v>7.1749999999999998</v>
      </c>
      <c r="S40" s="363">
        <f t="shared" ca="1" si="22"/>
        <v>32.576250000000002</v>
      </c>
      <c r="T40" s="247"/>
      <c r="U40" s="362">
        <f t="shared" ca="1" si="23"/>
        <v>25.271249999999998</v>
      </c>
      <c r="V40" s="248">
        <f t="shared" ca="1" si="24"/>
        <v>6.9799999999999995</v>
      </c>
      <c r="W40" s="363">
        <f t="shared" ca="1" si="25"/>
        <v>32.251249999999999</v>
      </c>
      <c r="X40" s="247"/>
      <c r="Y40" s="362">
        <f t="shared" ca="1" si="26"/>
        <v>25.141249999999999</v>
      </c>
      <c r="Z40" s="248">
        <f t="shared" ca="1" si="27"/>
        <v>6.7849999999999993</v>
      </c>
      <c r="AA40" s="363">
        <f t="shared" ca="1" si="28"/>
        <v>31.92625</v>
      </c>
      <c r="AB40" s="58" t="str">
        <f t="shared" ca="1" si="62"/>
        <v/>
      </c>
      <c r="AC40" s="495" t="s">
        <v>41</v>
      </c>
      <c r="AD40" s="275"/>
      <c r="AE40" s="303">
        <f t="shared" ca="1" si="30"/>
        <v>-8</v>
      </c>
      <c r="AF40" s="304">
        <f t="shared" ca="1" si="58"/>
        <v>12</v>
      </c>
      <c r="AG40" s="305">
        <f t="shared" ca="1" si="31"/>
        <v>-13.75</v>
      </c>
      <c r="AH40" s="304">
        <f t="shared" ca="1" si="32"/>
        <v>1</v>
      </c>
      <c r="AI40" s="305">
        <f t="shared" ca="1" si="33"/>
        <v>-7</v>
      </c>
      <c r="AJ40" s="306">
        <f t="shared" ca="1" si="34"/>
        <v>5</v>
      </c>
      <c r="AK40" s="280"/>
      <c r="AL40" s="307">
        <f t="shared" ca="1" si="35"/>
        <v>2.6</v>
      </c>
      <c r="AM40" s="308">
        <f t="shared" ca="1" si="36"/>
        <v>3.9</v>
      </c>
      <c r="AN40" s="309">
        <f t="shared" ca="1" si="6"/>
        <v>6.5</v>
      </c>
      <c r="AO40" s="310">
        <f t="shared" ca="1" si="37"/>
        <v>20.28125</v>
      </c>
      <c r="AP40" s="308">
        <f t="shared" ca="1" si="38"/>
        <v>1.4750000000000001</v>
      </c>
      <c r="AQ40" s="309">
        <f t="shared" ca="1" si="7"/>
        <v>21.756250000000001</v>
      </c>
      <c r="AR40" s="310">
        <f t="shared" ca="1" si="39"/>
        <v>2.52</v>
      </c>
      <c r="AS40" s="308">
        <f t="shared" ca="1" si="40"/>
        <v>1.8</v>
      </c>
      <c r="AT40" s="309">
        <f t="shared" ca="1" si="8"/>
        <v>4.32</v>
      </c>
      <c r="AU40" s="310">
        <f t="shared" ca="1" si="9"/>
        <v>25.401250000000001</v>
      </c>
      <c r="AV40" s="309">
        <f t="shared" ca="1" si="10"/>
        <v>7.1749999999999998</v>
      </c>
      <c r="AW40" s="311">
        <f t="shared" ca="1" si="11"/>
        <v>32.576250000000002</v>
      </c>
      <c r="AX40" s="286"/>
      <c r="AY40" s="307">
        <f t="shared" ca="1" si="41"/>
        <v>2.4700000000000002</v>
      </c>
      <c r="AZ40" s="308">
        <f t="shared" ca="1" si="42"/>
        <v>3.7050000000000001</v>
      </c>
      <c r="BA40" s="309">
        <f t="shared" ca="1" si="43"/>
        <v>6.1750000000000007</v>
      </c>
      <c r="BB40" s="310">
        <f t="shared" ca="1" si="44"/>
        <v>20.28125</v>
      </c>
      <c r="BC40" s="308">
        <f t="shared" ca="1" si="45"/>
        <v>1.4750000000000001</v>
      </c>
      <c r="BD40" s="309">
        <f t="shared" ca="1" si="12"/>
        <v>21.756250000000001</v>
      </c>
      <c r="BE40" s="310">
        <f t="shared" ca="1" si="46"/>
        <v>2.52</v>
      </c>
      <c r="BF40" s="308">
        <f t="shared" ca="1" si="47"/>
        <v>1.8</v>
      </c>
      <c r="BG40" s="309">
        <f t="shared" ca="1" si="13"/>
        <v>4.32</v>
      </c>
      <c r="BH40" s="310">
        <f t="shared" ca="1" si="48"/>
        <v>25.271249999999998</v>
      </c>
      <c r="BI40" s="309">
        <f t="shared" ca="1" si="49"/>
        <v>6.9799999999999995</v>
      </c>
      <c r="BJ40" s="311">
        <f t="shared" ca="1" si="14"/>
        <v>32.251249999999999</v>
      </c>
      <c r="BK40" s="286"/>
      <c r="BL40" s="307">
        <f t="shared" ca="1" si="50"/>
        <v>2.34</v>
      </c>
      <c r="BM40" s="308">
        <f t="shared" ca="1" si="51"/>
        <v>3.51</v>
      </c>
      <c r="BN40" s="309">
        <f t="shared" ca="1" si="15"/>
        <v>5.85</v>
      </c>
      <c r="BO40" s="310">
        <f t="shared" ca="1" si="52"/>
        <v>20.28125</v>
      </c>
      <c r="BP40" s="308">
        <f t="shared" ca="1" si="53"/>
        <v>1.4750000000000001</v>
      </c>
      <c r="BQ40" s="309">
        <f t="shared" ca="1" si="16"/>
        <v>21.756250000000001</v>
      </c>
      <c r="BR40" s="310">
        <f t="shared" ca="1" si="54"/>
        <v>2.52</v>
      </c>
      <c r="BS40" s="308">
        <f t="shared" ca="1" si="55"/>
        <v>1.8</v>
      </c>
      <c r="BT40" s="309">
        <f t="shared" ca="1" si="17"/>
        <v>4.32</v>
      </c>
      <c r="BU40" s="310">
        <f t="shared" ca="1" si="18"/>
        <v>25.141249999999999</v>
      </c>
      <c r="BV40" s="309">
        <f t="shared" ca="1" si="19"/>
        <v>6.7849999999999993</v>
      </c>
      <c r="BW40" s="311">
        <f t="shared" ca="1" si="20"/>
        <v>31.92625</v>
      </c>
      <c r="BX40" s="286"/>
      <c r="BY40" s="300">
        <f t="shared" ca="1" si="59"/>
        <v>3.0875000000000004</v>
      </c>
      <c r="BZ40" s="301">
        <f t="shared" ca="1" si="60"/>
        <v>19.764999999999993</v>
      </c>
      <c r="CA40" s="301">
        <f t="shared" ca="1" si="61"/>
        <v>1.6920000000000017</v>
      </c>
      <c r="CB40" s="312">
        <f t="shared" ca="1" si="56"/>
        <v>24.544499999999992</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15.952500000000001</v>
      </c>
      <c r="R41" s="248">
        <f t="shared" ca="1" si="57"/>
        <v>6.6587500000000013</v>
      </c>
      <c r="S41" s="363">
        <f t="shared" ca="1" si="22"/>
        <v>22.611250000000002</v>
      </c>
      <c r="T41" s="247"/>
      <c r="U41" s="362">
        <f t="shared" ca="1" si="23"/>
        <v>15.765625</v>
      </c>
      <c r="V41" s="248">
        <f t="shared" ca="1" si="24"/>
        <v>6.4117500000000014</v>
      </c>
      <c r="W41" s="363">
        <f t="shared" ca="1" si="25"/>
        <v>22.177375000000001</v>
      </c>
      <c r="X41" s="247"/>
      <c r="Y41" s="362">
        <f t="shared" ca="1" si="26"/>
        <v>15.578749999999999</v>
      </c>
      <c r="Z41" s="248">
        <f t="shared" ca="1" si="27"/>
        <v>6.1647500000000015</v>
      </c>
      <c r="AA41" s="363">
        <f t="shared" ca="1" si="28"/>
        <v>21.743500000000001</v>
      </c>
      <c r="AB41" s="58" t="str">
        <f t="shared" ca="1" si="62"/>
        <v/>
      </c>
      <c r="AC41" s="495" t="s">
        <v>42</v>
      </c>
      <c r="AD41" s="275"/>
      <c r="AE41" s="303">
        <f t="shared" ca="1" si="30"/>
        <v>-11.5</v>
      </c>
      <c r="AF41" s="304">
        <f t="shared" ca="1" si="58"/>
        <v>15.2</v>
      </c>
      <c r="AG41" s="305">
        <f t="shared" ca="1" si="31"/>
        <v>-7</v>
      </c>
      <c r="AH41" s="304">
        <f t="shared" ca="1" si="32"/>
        <v>0.25</v>
      </c>
      <c r="AI41" s="305">
        <f t="shared" ca="1" si="33"/>
        <v>-5.25</v>
      </c>
      <c r="AJ41" s="306">
        <f t="shared" ca="1" si="34"/>
        <v>3.75</v>
      </c>
      <c r="AK41" s="280"/>
      <c r="AL41" s="307">
        <f t="shared" ca="1" si="35"/>
        <v>3.7374999999999998</v>
      </c>
      <c r="AM41" s="308">
        <f t="shared" ca="1" si="36"/>
        <v>4.9400000000000004</v>
      </c>
      <c r="AN41" s="309">
        <f t="shared" ca="1" si="6"/>
        <v>8.6775000000000002</v>
      </c>
      <c r="AO41" s="310">
        <f t="shared" ca="1" si="37"/>
        <v>10.324999999999999</v>
      </c>
      <c r="AP41" s="308">
        <f t="shared" ca="1" si="38"/>
        <v>0.36875000000000002</v>
      </c>
      <c r="AQ41" s="309">
        <f t="shared" ca="1" si="7"/>
        <v>10.69375</v>
      </c>
      <c r="AR41" s="310">
        <f t="shared" ca="1" si="39"/>
        <v>1.89</v>
      </c>
      <c r="AS41" s="308">
        <f t="shared" ca="1" si="40"/>
        <v>1.35</v>
      </c>
      <c r="AT41" s="309">
        <f t="shared" ca="1" si="8"/>
        <v>3.24</v>
      </c>
      <c r="AU41" s="310">
        <f t="shared" ca="1" si="9"/>
        <v>15.952500000000001</v>
      </c>
      <c r="AV41" s="309">
        <f t="shared" ca="1" si="10"/>
        <v>6.6587500000000013</v>
      </c>
      <c r="AW41" s="311">
        <f t="shared" ca="1" si="11"/>
        <v>22.611250000000002</v>
      </c>
      <c r="AX41" s="286"/>
      <c r="AY41" s="307">
        <f t="shared" ca="1" si="41"/>
        <v>3.5506250000000001</v>
      </c>
      <c r="AZ41" s="308">
        <f t="shared" ca="1" si="42"/>
        <v>4.6930000000000005</v>
      </c>
      <c r="BA41" s="309">
        <f t="shared" ca="1" si="43"/>
        <v>8.2436250000000015</v>
      </c>
      <c r="BB41" s="310">
        <f t="shared" ca="1" si="44"/>
        <v>10.324999999999999</v>
      </c>
      <c r="BC41" s="308">
        <f t="shared" ca="1" si="45"/>
        <v>0.36875000000000002</v>
      </c>
      <c r="BD41" s="309">
        <f t="shared" ca="1" si="12"/>
        <v>10.69375</v>
      </c>
      <c r="BE41" s="310">
        <f t="shared" ca="1" si="46"/>
        <v>1.89</v>
      </c>
      <c r="BF41" s="308">
        <f t="shared" ca="1" si="47"/>
        <v>1.35</v>
      </c>
      <c r="BG41" s="309">
        <f t="shared" ca="1" si="13"/>
        <v>3.24</v>
      </c>
      <c r="BH41" s="310">
        <f t="shared" ca="1" si="48"/>
        <v>15.765625</v>
      </c>
      <c r="BI41" s="309">
        <f t="shared" ca="1" si="49"/>
        <v>6.4117500000000014</v>
      </c>
      <c r="BJ41" s="311">
        <f t="shared" ca="1" si="14"/>
        <v>22.177375000000001</v>
      </c>
      <c r="BK41" s="286"/>
      <c r="BL41" s="307">
        <f t="shared" ca="1" si="50"/>
        <v>3.36375</v>
      </c>
      <c r="BM41" s="308">
        <f t="shared" ca="1" si="51"/>
        <v>4.4460000000000006</v>
      </c>
      <c r="BN41" s="309">
        <f t="shared" ca="1" si="15"/>
        <v>7.8097500000000011</v>
      </c>
      <c r="BO41" s="310">
        <f t="shared" ca="1" si="52"/>
        <v>10.324999999999999</v>
      </c>
      <c r="BP41" s="308">
        <f t="shared" ca="1" si="53"/>
        <v>0.36875000000000002</v>
      </c>
      <c r="BQ41" s="309">
        <f t="shared" ca="1" si="16"/>
        <v>10.69375</v>
      </c>
      <c r="BR41" s="310">
        <f t="shared" ca="1" si="54"/>
        <v>1.89</v>
      </c>
      <c r="BS41" s="308">
        <f t="shared" ca="1" si="55"/>
        <v>1.35</v>
      </c>
      <c r="BT41" s="309">
        <f t="shared" ca="1" si="17"/>
        <v>3.24</v>
      </c>
      <c r="BU41" s="310">
        <f t="shared" ca="1" si="18"/>
        <v>15.578749999999999</v>
      </c>
      <c r="BV41" s="309">
        <f t="shared" ca="1" si="19"/>
        <v>6.1647500000000015</v>
      </c>
      <c r="BW41" s="311">
        <f t="shared" ca="1" si="20"/>
        <v>21.743500000000001</v>
      </c>
      <c r="BX41" s="286"/>
      <c r="BY41" s="300">
        <f t="shared" ca="1" si="59"/>
        <v>4.2298750000000007</v>
      </c>
      <c r="BZ41" s="301">
        <f t="shared" ca="1" si="60"/>
        <v>9.8087499999999945</v>
      </c>
      <c r="CA41" s="301">
        <f t="shared" ca="1" si="61"/>
        <v>1.1520000000000019</v>
      </c>
      <c r="CB41" s="312">
        <f t="shared" ca="1" si="56"/>
        <v>15.190624999999997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9.1650000000000009</v>
      </c>
      <c r="R42" s="248">
        <f t="shared" ca="1" si="57"/>
        <v>7.5287499999999996</v>
      </c>
      <c r="S42" s="363">
        <f t="shared" ca="1" si="22"/>
        <v>16.693750000000001</v>
      </c>
      <c r="T42" s="247"/>
      <c r="U42" s="362">
        <f t="shared" ca="1" si="23"/>
        <v>8.9586249999999996</v>
      </c>
      <c r="V42" s="248">
        <f t="shared" ca="1" si="24"/>
        <v>7.2403124999999999</v>
      </c>
      <c r="W42" s="363">
        <f t="shared" ca="1" si="25"/>
        <v>16.1989375</v>
      </c>
      <c r="X42" s="247"/>
      <c r="Y42" s="362">
        <f t="shared" ca="1" si="26"/>
        <v>8.7522500000000001</v>
      </c>
      <c r="Z42" s="248">
        <f t="shared" ca="1" si="27"/>
        <v>6.9518749999999994</v>
      </c>
      <c r="AA42" s="363">
        <f t="shared" ca="1" si="28"/>
        <v>15.704124999999999</v>
      </c>
      <c r="AB42" s="58" t="str">
        <f t="shared" ca="1" si="62"/>
        <v/>
      </c>
      <c r="AC42" s="495" t="s">
        <v>43</v>
      </c>
      <c r="AD42" s="275"/>
      <c r="AE42" s="303">
        <f t="shared" ca="1" si="30"/>
        <v>-12.7</v>
      </c>
      <c r="AF42" s="304">
        <f t="shared" ca="1" si="58"/>
        <v>17.75</v>
      </c>
      <c r="AG42" s="305">
        <f t="shared" ca="1" si="31"/>
        <v>-2.5</v>
      </c>
      <c r="AH42" s="304">
        <f t="shared" ca="1" si="32"/>
        <v>0.4</v>
      </c>
      <c r="AI42" s="305">
        <f t="shared" ca="1" si="33"/>
        <v>-3.75</v>
      </c>
      <c r="AJ42" s="306">
        <f t="shared" ca="1" si="34"/>
        <v>3.25</v>
      </c>
      <c r="AK42" s="280"/>
      <c r="AL42" s="307">
        <f t="shared" ca="1" si="35"/>
        <v>4.1275000000000004</v>
      </c>
      <c r="AM42" s="308">
        <f t="shared" ca="1" si="36"/>
        <v>5.7687499999999998</v>
      </c>
      <c r="AN42" s="309">
        <f t="shared" ca="1" si="6"/>
        <v>9.8962500000000002</v>
      </c>
      <c r="AO42" s="310">
        <f t="shared" ca="1" si="37"/>
        <v>3.6875</v>
      </c>
      <c r="AP42" s="308">
        <f t="shared" ca="1" si="38"/>
        <v>0.59</v>
      </c>
      <c r="AQ42" s="309">
        <f t="shared" ca="1" si="7"/>
        <v>4.2774999999999999</v>
      </c>
      <c r="AR42" s="310">
        <f t="shared" ca="1" si="39"/>
        <v>1.35</v>
      </c>
      <c r="AS42" s="308">
        <f t="shared" ca="1" si="40"/>
        <v>1.17</v>
      </c>
      <c r="AT42" s="309">
        <f t="shared" ca="1" si="8"/>
        <v>2.52</v>
      </c>
      <c r="AU42" s="310">
        <f t="shared" ca="1" si="9"/>
        <v>9.1650000000000009</v>
      </c>
      <c r="AV42" s="309">
        <f t="shared" ca="1" si="10"/>
        <v>7.5287499999999996</v>
      </c>
      <c r="AW42" s="311">
        <f t="shared" ca="1" si="11"/>
        <v>16.693750000000001</v>
      </c>
      <c r="AX42" s="286"/>
      <c r="AY42" s="307">
        <f t="shared" ca="1" si="41"/>
        <v>3.921125</v>
      </c>
      <c r="AZ42" s="308">
        <f t="shared" ca="1" si="42"/>
        <v>5.4803125000000001</v>
      </c>
      <c r="BA42" s="309">
        <f t="shared" ca="1" si="43"/>
        <v>9.4014375000000001</v>
      </c>
      <c r="BB42" s="310">
        <f t="shared" ca="1" si="44"/>
        <v>3.6875</v>
      </c>
      <c r="BC42" s="308">
        <f t="shared" ca="1" si="45"/>
        <v>0.59</v>
      </c>
      <c r="BD42" s="309">
        <f t="shared" ca="1" si="12"/>
        <v>4.2774999999999999</v>
      </c>
      <c r="BE42" s="310">
        <f t="shared" ca="1" si="46"/>
        <v>1.35</v>
      </c>
      <c r="BF42" s="308">
        <f t="shared" ca="1" si="47"/>
        <v>1.17</v>
      </c>
      <c r="BG42" s="309">
        <f t="shared" ca="1" si="13"/>
        <v>2.52</v>
      </c>
      <c r="BH42" s="310">
        <f t="shared" ca="1" si="48"/>
        <v>8.9586249999999996</v>
      </c>
      <c r="BI42" s="309">
        <f t="shared" ca="1" si="49"/>
        <v>7.2403124999999999</v>
      </c>
      <c r="BJ42" s="311">
        <f t="shared" ca="1" si="14"/>
        <v>16.1989375</v>
      </c>
      <c r="BK42" s="286"/>
      <c r="BL42" s="307">
        <f t="shared" ca="1" si="50"/>
        <v>3.7147500000000004</v>
      </c>
      <c r="BM42" s="308">
        <f t="shared" ca="1" si="51"/>
        <v>5.1918749999999996</v>
      </c>
      <c r="BN42" s="309">
        <f t="shared" ca="1" si="15"/>
        <v>8.906625</v>
      </c>
      <c r="BO42" s="310">
        <f t="shared" ca="1" si="52"/>
        <v>3.6875</v>
      </c>
      <c r="BP42" s="308">
        <f t="shared" ca="1" si="53"/>
        <v>0.59</v>
      </c>
      <c r="BQ42" s="309">
        <f t="shared" ca="1" si="16"/>
        <v>4.2774999999999999</v>
      </c>
      <c r="BR42" s="310">
        <f t="shared" ca="1" si="54"/>
        <v>1.35</v>
      </c>
      <c r="BS42" s="308">
        <f t="shared" ca="1" si="55"/>
        <v>1.17</v>
      </c>
      <c r="BT42" s="309">
        <f t="shared" ca="1" si="17"/>
        <v>2.52</v>
      </c>
      <c r="BU42" s="310">
        <f t="shared" ca="1" si="18"/>
        <v>8.7522500000000001</v>
      </c>
      <c r="BV42" s="309">
        <f t="shared" ca="1" si="19"/>
        <v>6.9518749999999994</v>
      </c>
      <c r="BW42" s="311">
        <f t="shared" ca="1" si="20"/>
        <v>15.704124999999999</v>
      </c>
      <c r="BX42" s="286"/>
      <c r="BY42" s="300">
        <f t="shared" ca="1" si="59"/>
        <v>5.7890625000000009</v>
      </c>
      <c r="BZ42" s="301">
        <f t="shared" ca="1" si="60"/>
        <v>6.7112499999999944</v>
      </c>
      <c r="CA42" s="301">
        <f t="shared" ca="1" si="61"/>
        <v>0.97200000000000175</v>
      </c>
      <c r="CB42" s="312">
        <f t="shared" ca="1" si="56"/>
        <v>13.472312499999997</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6.6674999999999995</v>
      </c>
      <c r="R43" s="248">
        <f t="shared" ca="1" si="57"/>
        <v>3.7394999999999996</v>
      </c>
      <c r="S43" s="363">
        <f t="shared" ca="1" si="22"/>
        <v>10.407</v>
      </c>
      <c r="T43" s="247"/>
      <c r="U43" s="362">
        <f t="shared" ca="1" si="23"/>
        <v>6.5131249999999996</v>
      </c>
      <c r="V43" s="248">
        <f t="shared" ca="1" si="24"/>
        <v>3.5786249999999993</v>
      </c>
      <c r="W43" s="363">
        <f t="shared" ca="1" si="25"/>
        <v>10.091749999999999</v>
      </c>
      <c r="X43" s="247"/>
      <c r="Y43" s="362">
        <f t="shared" ca="1" si="26"/>
        <v>6.3587499999999997</v>
      </c>
      <c r="Z43" s="248">
        <f t="shared" ca="1" si="27"/>
        <v>3.4177499999999998</v>
      </c>
      <c r="AA43" s="363">
        <f t="shared" ca="1" si="28"/>
        <v>9.7764999999999986</v>
      </c>
      <c r="AB43" s="58" t="str">
        <f t="shared" ca="1" si="62"/>
        <v/>
      </c>
      <c r="AC43" s="495" t="s">
        <v>44</v>
      </c>
      <c r="AD43" s="275"/>
      <c r="AE43" s="303">
        <f t="shared" ca="1" si="30"/>
        <v>-9.5</v>
      </c>
      <c r="AF43" s="304">
        <f t="shared" ca="1" si="58"/>
        <v>9.9</v>
      </c>
      <c r="AG43" s="305">
        <f t="shared" ca="1" si="31"/>
        <v>-2</v>
      </c>
      <c r="AH43" s="304">
        <f t="shared" ca="1" si="32"/>
        <v>0</v>
      </c>
      <c r="AI43" s="305">
        <f t="shared" ca="1" si="33"/>
        <v>-1.75</v>
      </c>
      <c r="AJ43" s="306">
        <f t="shared" ca="1" si="34"/>
        <v>1.45</v>
      </c>
      <c r="AK43" s="280"/>
      <c r="AL43" s="307">
        <f t="shared" ca="1" si="35"/>
        <v>3.0874999999999999</v>
      </c>
      <c r="AM43" s="308">
        <f t="shared" ca="1" si="36"/>
        <v>3.2174999999999998</v>
      </c>
      <c r="AN43" s="309">
        <f t="shared" ca="1" si="6"/>
        <v>6.3049999999999997</v>
      </c>
      <c r="AO43" s="310">
        <f t="shared" ca="1" si="37"/>
        <v>2.95</v>
      </c>
      <c r="AP43" s="308">
        <f t="shared" ca="1" si="38"/>
        <v>0</v>
      </c>
      <c r="AQ43" s="309">
        <f t="shared" ca="1" si="7"/>
        <v>2.95</v>
      </c>
      <c r="AR43" s="310">
        <f t="shared" ca="1" si="39"/>
        <v>0.63</v>
      </c>
      <c r="AS43" s="308">
        <f t="shared" ca="1" si="40"/>
        <v>0.52199999999999991</v>
      </c>
      <c r="AT43" s="309">
        <f t="shared" ca="1" si="8"/>
        <v>1.1519999999999999</v>
      </c>
      <c r="AU43" s="310">
        <f t="shared" ca="1" si="9"/>
        <v>6.6674999999999995</v>
      </c>
      <c r="AV43" s="309">
        <f t="shared" ca="1" si="10"/>
        <v>3.7394999999999996</v>
      </c>
      <c r="AW43" s="311">
        <f t="shared" ca="1" si="11"/>
        <v>10.407</v>
      </c>
      <c r="AX43" s="286"/>
      <c r="AY43" s="307">
        <f t="shared" ca="1" si="41"/>
        <v>2.933125</v>
      </c>
      <c r="AZ43" s="308">
        <f t="shared" ca="1" si="42"/>
        <v>3.0566249999999995</v>
      </c>
      <c r="BA43" s="309">
        <f t="shared" ca="1" si="43"/>
        <v>5.989749999999999</v>
      </c>
      <c r="BB43" s="310">
        <f t="shared" ca="1" si="44"/>
        <v>2.95</v>
      </c>
      <c r="BC43" s="308">
        <f t="shared" ca="1" si="45"/>
        <v>0</v>
      </c>
      <c r="BD43" s="309">
        <f t="shared" ca="1" si="12"/>
        <v>2.95</v>
      </c>
      <c r="BE43" s="310">
        <f t="shared" ca="1" si="46"/>
        <v>0.63</v>
      </c>
      <c r="BF43" s="308">
        <f t="shared" ca="1" si="47"/>
        <v>0.52199999999999991</v>
      </c>
      <c r="BG43" s="309">
        <f t="shared" ca="1" si="13"/>
        <v>1.1519999999999999</v>
      </c>
      <c r="BH43" s="310">
        <f t="shared" ca="1" si="48"/>
        <v>6.5131249999999996</v>
      </c>
      <c r="BI43" s="309">
        <f t="shared" ca="1" si="49"/>
        <v>3.5786249999999993</v>
      </c>
      <c r="BJ43" s="311">
        <f t="shared" ca="1" si="14"/>
        <v>10.091749999999999</v>
      </c>
      <c r="BK43" s="286"/>
      <c r="BL43" s="307">
        <f t="shared" ca="1" si="50"/>
        <v>2.7787500000000001</v>
      </c>
      <c r="BM43" s="308">
        <f t="shared" ca="1" si="51"/>
        <v>2.89575</v>
      </c>
      <c r="BN43" s="309">
        <f t="shared" ca="1" si="15"/>
        <v>5.6745000000000001</v>
      </c>
      <c r="BO43" s="310">
        <f t="shared" ca="1" si="52"/>
        <v>2.95</v>
      </c>
      <c r="BP43" s="308">
        <f t="shared" ca="1" si="53"/>
        <v>0</v>
      </c>
      <c r="BQ43" s="309">
        <f t="shared" ca="1" si="16"/>
        <v>2.95</v>
      </c>
      <c r="BR43" s="310">
        <f t="shared" ca="1" si="54"/>
        <v>0.63</v>
      </c>
      <c r="BS43" s="308">
        <f t="shared" ca="1" si="55"/>
        <v>0.52199999999999991</v>
      </c>
      <c r="BT43" s="309">
        <f t="shared" ca="1" si="17"/>
        <v>1.1519999999999999</v>
      </c>
      <c r="BU43" s="310">
        <f t="shared" ca="1" si="18"/>
        <v>6.3587499999999997</v>
      </c>
      <c r="BV43" s="309">
        <f t="shared" ca="1" si="19"/>
        <v>3.4177499999999998</v>
      </c>
      <c r="BW43" s="311">
        <f t="shared" ca="1" si="20"/>
        <v>9.7764999999999986</v>
      </c>
      <c r="BX43" s="286"/>
      <c r="BY43" s="300">
        <f t="shared" ca="1" si="59"/>
        <v>5.9125624999999999</v>
      </c>
      <c r="BZ43" s="301">
        <f t="shared" ca="1" si="60"/>
        <v>3.7612499999999942</v>
      </c>
      <c r="CA43" s="301">
        <f t="shared" ca="1" si="61"/>
        <v>0.86400000000000166</v>
      </c>
      <c r="CB43" s="312">
        <f t="shared" ca="1" si="56"/>
        <v>10.537812499999994</v>
      </c>
      <c r="CC43" s="372"/>
      <c r="CE43" s="27"/>
      <c r="CF43" s="27"/>
      <c r="CG43" s="27"/>
      <c r="CH43" s="27"/>
      <c r="CI43" s="27"/>
      <c r="CJ43" s="27"/>
      <c r="CK43" s="41">
        <f>'NF-Sets'!C48</f>
        <v>21</v>
      </c>
      <c r="CL43" s="42" t="str">
        <f ca="1">'NF-Sets'!B48</f>
        <v>Wohnen</v>
      </c>
      <c r="CM43" s="35"/>
    </row>
    <row r="44" spans="2:91" ht="18.899999999999999" customHeight="1">
      <c r="I44" s="246" t="str">
        <f ca="1">IF(I36="","n",IF(I37="","o",IF(I38="","p","q")))</f>
        <v>p</v>
      </c>
      <c r="J44" s="252" t="s">
        <v>155</v>
      </c>
      <c r="K44" s="253" t="s">
        <v>147</v>
      </c>
      <c r="L44" s="254">
        <f ca="1">BD47</f>
        <v>295.00000000000006</v>
      </c>
      <c r="M44" s="254">
        <f ca="1">BQ47</f>
        <v>295.00000000000006</v>
      </c>
      <c r="N44" s="25"/>
      <c r="O44" s="358" t="s">
        <v>45</v>
      </c>
      <c r="P44" s="247"/>
      <c r="Q44" s="362">
        <f t="shared" ca="1" si="21"/>
        <v>4.9662500000000005</v>
      </c>
      <c r="R44" s="248">
        <f t="shared" ca="1" si="57"/>
        <v>1.85375</v>
      </c>
      <c r="S44" s="363">
        <f t="shared" ca="1" si="22"/>
        <v>6.82</v>
      </c>
      <c r="T44" s="247"/>
      <c r="U44" s="362">
        <f t="shared" ca="1" si="23"/>
        <v>4.8281250000000009</v>
      </c>
      <c r="V44" s="248">
        <f t="shared" ca="1" si="24"/>
        <v>1.8171875</v>
      </c>
      <c r="W44" s="363">
        <f t="shared" ca="1" si="25"/>
        <v>6.6453125000000011</v>
      </c>
      <c r="X44" s="247"/>
      <c r="Y44" s="362">
        <f t="shared" ca="1" si="26"/>
        <v>4.6900000000000004</v>
      </c>
      <c r="Z44" s="248">
        <f t="shared" ca="1" si="27"/>
        <v>1.7806249999999999</v>
      </c>
      <c r="AA44" s="363">
        <f t="shared" ca="1" si="28"/>
        <v>6.4706250000000001</v>
      </c>
      <c r="AB44" s="58" t="str">
        <f t="shared" ca="1" si="62"/>
        <v/>
      </c>
      <c r="AC44" s="495" t="s">
        <v>45</v>
      </c>
      <c r="AD44" s="275"/>
      <c r="AE44" s="303">
        <f t="shared" ca="1" si="30"/>
        <v>-8.5</v>
      </c>
      <c r="AF44" s="304">
        <f t="shared" ca="1" si="58"/>
        <v>2.25</v>
      </c>
      <c r="AG44" s="305">
        <f t="shared" ca="1" si="31"/>
        <v>-1.25</v>
      </c>
      <c r="AH44" s="304">
        <f t="shared" ca="1" si="32"/>
        <v>0.7</v>
      </c>
      <c r="AI44" s="305">
        <f t="shared" ca="1" si="33"/>
        <v>-1</v>
      </c>
      <c r="AJ44" s="306">
        <f t="shared" ca="1" si="34"/>
        <v>0.25</v>
      </c>
      <c r="AK44" s="280"/>
      <c r="AL44" s="307">
        <f t="shared" ca="1" si="35"/>
        <v>2.7625000000000002</v>
      </c>
      <c r="AM44" s="308">
        <f t="shared" ca="1" si="36"/>
        <v>0.73124999999999996</v>
      </c>
      <c r="AN44" s="309">
        <f t="shared" ca="1" si="6"/>
        <v>3.4937500000000004</v>
      </c>
      <c r="AO44" s="310">
        <f t="shared" ca="1" si="37"/>
        <v>1.84375</v>
      </c>
      <c r="AP44" s="308">
        <f t="shared" ca="1" si="38"/>
        <v>1.0325</v>
      </c>
      <c r="AQ44" s="309">
        <f t="shared" ca="1" si="7"/>
        <v>2.8762499999999998</v>
      </c>
      <c r="AR44" s="310">
        <f t="shared" ca="1" si="39"/>
        <v>0.36</v>
      </c>
      <c r="AS44" s="308">
        <f t="shared" ca="1" si="40"/>
        <v>0.09</v>
      </c>
      <c r="AT44" s="309">
        <f t="shared" ca="1" si="8"/>
        <v>0.44999999999999996</v>
      </c>
      <c r="AU44" s="310">
        <f t="shared" ca="1" si="9"/>
        <v>4.9662500000000005</v>
      </c>
      <c r="AV44" s="309">
        <f t="shared" ca="1" si="10"/>
        <v>1.85375</v>
      </c>
      <c r="AW44" s="311">
        <f t="shared" ca="1" si="11"/>
        <v>6.82</v>
      </c>
      <c r="AX44" s="286"/>
      <c r="AY44" s="307">
        <f t="shared" ca="1" si="41"/>
        <v>2.6243750000000001</v>
      </c>
      <c r="AZ44" s="308">
        <f t="shared" ca="1" si="42"/>
        <v>0.69468750000000001</v>
      </c>
      <c r="BA44" s="309">
        <f t="shared" ca="1" si="43"/>
        <v>3.3190625000000002</v>
      </c>
      <c r="BB44" s="310">
        <f t="shared" ca="1" si="44"/>
        <v>1.84375</v>
      </c>
      <c r="BC44" s="308">
        <f t="shared" ca="1" si="45"/>
        <v>1.0325</v>
      </c>
      <c r="BD44" s="309">
        <f t="shared" ca="1" si="12"/>
        <v>2.8762499999999998</v>
      </c>
      <c r="BE44" s="310">
        <f t="shared" ca="1" si="46"/>
        <v>0.36</v>
      </c>
      <c r="BF44" s="308">
        <f t="shared" ca="1" si="47"/>
        <v>0.09</v>
      </c>
      <c r="BG44" s="309">
        <f t="shared" ca="1" si="13"/>
        <v>0.44999999999999996</v>
      </c>
      <c r="BH44" s="310">
        <f t="shared" ca="1" si="48"/>
        <v>4.8281250000000009</v>
      </c>
      <c r="BI44" s="309">
        <f t="shared" ca="1" si="49"/>
        <v>1.8171875</v>
      </c>
      <c r="BJ44" s="311">
        <f t="shared" ca="1" si="14"/>
        <v>6.6453125000000011</v>
      </c>
      <c r="BK44" s="286"/>
      <c r="BL44" s="307">
        <f t="shared" ca="1" si="50"/>
        <v>2.4862500000000001</v>
      </c>
      <c r="BM44" s="308">
        <f t="shared" ca="1" si="51"/>
        <v>0.65812499999999996</v>
      </c>
      <c r="BN44" s="309">
        <f t="shared" ca="1" si="15"/>
        <v>3.1443750000000001</v>
      </c>
      <c r="BO44" s="310">
        <f t="shared" ca="1" si="52"/>
        <v>1.84375</v>
      </c>
      <c r="BP44" s="308">
        <f t="shared" ca="1" si="53"/>
        <v>1.0325</v>
      </c>
      <c r="BQ44" s="309">
        <f t="shared" ca="1" si="16"/>
        <v>2.8762499999999998</v>
      </c>
      <c r="BR44" s="310">
        <f t="shared" ca="1" si="54"/>
        <v>0.36</v>
      </c>
      <c r="BS44" s="308">
        <f t="shared" ca="1" si="55"/>
        <v>0.09</v>
      </c>
      <c r="BT44" s="309">
        <f t="shared" ca="1" si="17"/>
        <v>0.44999999999999996</v>
      </c>
      <c r="BU44" s="310">
        <f t="shared" ca="1" si="18"/>
        <v>4.6900000000000004</v>
      </c>
      <c r="BV44" s="309">
        <f t="shared" ca="1" si="19"/>
        <v>1.7806249999999999</v>
      </c>
      <c r="BW44" s="311">
        <f t="shared" ca="1" si="20"/>
        <v>6.4706250000000001</v>
      </c>
      <c r="BX44" s="286"/>
      <c r="BY44" s="300">
        <f t="shared" ca="1" si="59"/>
        <v>3.9828749999999999</v>
      </c>
      <c r="BZ44" s="301">
        <f t="shared" ca="1" si="60"/>
        <v>2.949999999999994</v>
      </c>
      <c r="CA44" s="301">
        <f t="shared" ca="1" si="61"/>
        <v>0.59400000000000164</v>
      </c>
      <c r="CB44" s="312">
        <f t="shared" ca="1" si="56"/>
        <v>7.5268749999999951</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q</v>
      </c>
      <c r="J45" s="252" t="s">
        <v>156</v>
      </c>
      <c r="K45" s="253" t="s">
        <v>147</v>
      </c>
      <c r="L45" s="254">
        <f ca="1">BA47</f>
        <v>61.750000000000007</v>
      </c>
      <c r="M45" s="254">
        <f ca="1">BN47</f>
        <v>58.5</v>
      </c>
      <c r="N45" s="25"/>
      <c r="O45" s="358" t="s">
        <v>46</v>
      </c>
      <c r="P45" s="247"/>
      <c r="Q45" s="362">
        <f t="shared" ca="1" si="21"/>
        <v>5.2625000000000002</v>
      </c>
      <c r="R45" s="248">
        <f t="shared" ca="1" si="57"/>
        <v>0.49624999999999997</v>
      </c>
      <c r="S45" s="363">
        <f t="shared" ca="1" si="22"/>
        <v>5.75875</v>
      </c>
      <c r="T45" s="247"/>
      <c r="U45" s="362">
        <f t="shared" ca="1" si="23"/>
        <v>5.1325000000000003</v>
      </c>
      <c r="V45" s="248">
        <f t="shared" ca="1" si="24"/>
        <v>0.47593750000000001</v>
      </c>
      <c r="W45" s="363">
        <f t="shared" ca="1" si="25"/>
        <v>5.6084375</v>
      </c>
      <c r="X45" s="247"/>
      <c r="Y45" s="362">
        <f t="shared" ca="1" si="26"/>
        <v>5.0025000000000004</v>
      </c>
      <c r="Z45" s="248">
        <f t="shared" ca="1" si="27"/>
        <v>0.45562499999999995</v>
      </c>
      <c r="AA45" s="363">
        <f t="shared" ca="1" si="28"/>
        <v>5.4581250000000008</v>
      </c>
      <c r="AB45" s="58" t="str">
        <f t="shared" ca="1" si="62"/>
        <v/>
      </c>
      <c r="AC45" s="495" t="s">
        <v>46</v>
      </c>
      <c r="AD45" s="275"/>
      <c r="AE45" s="303">
        <f t="shared" ca="1" si="30"/>
        <v>-8</v>
      </c>
      <c r="AF45" s="304">
        <f t="shared" ca="1" si="58"/>
        <v>1.25</v>
      </c>
      <c r="AG45" s="305">
        <f t="shared" ca="1" si="31"/>
        <v>-1.5</v>
      </c>
      <c r="AH45" s="304">
        <f t="shared" ca="1" si="32"/>
        <v>0</v>
      </c>
      <c r="AI45" s="305">
        <f t="shared" ca="1" si="33"/>
        <v>-1.25</v>
      </c>
      <c r="AJ45" s="306">
        <f t="shared" ca="1" si="34"/>
        <v>0.25</v>
      </c>
      <c r="AK45" s="280"/>
      <c r="AL45" s="307">
        <f t="shared" ca="1" si="35"/>
        <v>2.6</v>
      </c>
      <c r="AM45" s="308">
        <f t="shared" ca="1" si="36"/>
        <v>0.40625</v>
      </c>
      <c r="AN45" s="309">
        <f t="shared" ca="1" si="6"/>
        <v>3.0062500000000001</v>
      </c>
      <c r="AO45" s="310">
        <f t="shared" ca="1" si="37"/>
        <v>2.2124999999999999</v>
      </c>
      <c r="AP45" s="308">
        <f t="shared" ca="1" si="38"/>
        <v>0</v>
      </c>
      <c r="AQ45" s="309">
        <f t="shared" ca="1" si="7"/>
        <v>2.2124999999999999</v>
      </c>
      <c r="AR45" s="310">
        <f t="shared" ca="1" si="39"/>
        <v>0.45</v>
      </c>
      <c r="AS45" s="308">
        <f t="shared" ca="1" si="40"/>
        <v>0.09</v>
      </c>
      <c r="AT45" s="309">
        <f t="shared" ca="1" si="8"/>
        <v>0.54</v>
      </c>
      <c r="AU45" s="310">
        <f t="shared" ca="1" si="9"/>
        <v>5.2625000000000002</v>
      </c>
      <c r="AV45" s="309">
        <f t="shared" ca="1" si="10"/>
        <v>0.49624999999999997</v>
      </c>
      <c r="AW45" s="311">
        <f t="shared" ca="1" si="11"/>
        <v>5.75875</v>
      </c>
      <c r="AX45" s="286"/>
      <c r="AY45" s="307">
        <f t="shared" ca="1" si="41"/>
        <v>2.4700000000000002</v>
      </c>
      <c r="AZ45" s="308">
        <f t="shared" ca="1" si="42"/>
        <v>0.38593749999999999</v>
      </c>
      <c r="BA45" s="309">
        <f t="shared" ca="1" si="43"/>
        <v>2.8559375</v>
      </c>
      <c r="BB45" s="310">
        <f t="shared" ca="1" si="44"/>
        <v>2.2124999999999999</v>
      </c>
      <c r="BC45" s="308">
        <f t="shared" ca="1" si="45"/>
        <v>0</v>
      </c>
      <c r="BD45" s="309">
        <f t="shared" ca="1" si="12"/>
        <v>2.2124999999999999</v>
      </c>
      <c r="BE45" s="310">
        <f t="shared" ca="1" si="46"/>
        <v>0.45</v>
      </c>
      <c r="BF45" s="308">
        <f t="shared" ca="1" si="47"/>
        <v>0.09</v>
      </c>
      <c r="BG45" s="309">
        <f t="shared" ca="1" si="13"/>
        <v>0.54</v>
      </c>
      <c r="BH45" s="310">
        <f t="shared" ca="1" si="48"/>
        <v>5.1325000000000003</v>
      </c>
      <c r="BI45" s="309">
        <f t="shared" ca="1" si="49"/>
        <v>0.47593750000000001</v>
      </c>
      <c r="BJ45" s="311">
        <f t="shared" ca="1" si="14"/>
        <v>5.6084375</v>
      </c>
      <c r="BK45" s="286"/>
      <c r="BL45" s="307">
        <f t="shared" ca="1" si="50"/>
        <v>2.34</v>
      </c>
      <c r="BM45" s="308">
        <f t="shared" ca="1" si="51"/>
        <v>0.36562499999999998</v>
      </c>
      <c r="BN45" s="309">
        <f t="shared" ca="1" si="15"/>
        <v>2.7056249999999999</v>
      </c>
      <c r="BO45" s="310">
        <f t="shared" ca="1" si="52"/>
        <v>2.2124999999999999</v>
      </c>
      <c r="BP45" s="308">
        <f t="shared" ca="1" si="53"/>
        <v>0</v>
      </c>
      <c r="BQ45" s="309">
        <f t="shared" ca="1" si="16"/>
        <v>2.2124999999999999</v>
      </c>
      <c r="BR45" s="310">
        <f t="shared" ca="1" si="54"/>
        <v>0.45</v>
      </c>
      <c r="BS45" s="308">
        <f t="shared" ca="1" si="55"/>
        <v>0.09</v>
      </c>
      <c r="BT45" s="309">
        <f t="shared" ca="1" si="17"/>
        <v>0.54</v>
      </c>
      <c r="BU45" s="310">
        <f t="shared" ca="1" si="18"/>
        <v>5.0025000000000004</v>
      </c>
      <c r="BV45" s="309">
        <f t="shared" ca="1" si="19"/>
        <v>0.45562499999999995</v>
      </c>
      <c r="BW45" s="311">
        <f t="shared" ca="1" si="20"/>
        <v>5.4581250000000008</v>
      </c>
      <c r="BX45" s="286"/>
      <c r="BY45" s="300">
        <f t="shared" ca="1" si="59"/>
        <v>1.8988124999999996</v>
      </c>
      <c r="BZ45" s="301">
        <f t="shared" ca="1" si="60"/>
        <v>0.73749999999999405</v>
      </c>
      <c r="CA45" s="301">
        <f t="shared" ca="1" si="61"/>
        <v>0.23400000000000165</v>
      </c>
      <c r="CB45" s="312">
        <f t="shared" ca="1" si="56"/>
        <v>2.8703124999999954</v>
      </c>
      <c r="CE45" s="27"/>
      <c r="CF45" s="27"/>
      <c r="CG45" s="27"/>
      <c r="CH45" s="27"/>
      <c r="CI45" s="27"/>
      <c r="CJ45" s="27"/>
      <c r="CK45" s="34"/>
      <c r="CL45" s="34"/>
      <c r="CM45" s="35"/>
    </row>
    <row r="46" spans="2:91" ht="18.899999999999999" customHeight="1" thickBot="1">
      <c r="I46" s="258" t="str">
        <f ca="1">IF(I45="o","p",IF(I45="p","q",IF(I45="q","r","s")))</f>
        <v>r</v>
      </c>
      <c r="J46" s="259" t="s">
        <v>150</v>
      </c>
      <c r="K46" s="260" t="s">
        <v>147</v>
      </c>
      <c r="L46" s="261">
        <f ca="1">BG47</f>
        <v>72</v>
      </c>
      <c r="M46" s="261">
        <f ca="1">BT47</f>
        <v>72</v>
      </c>
      <c r="N46" s="25"/>
      <c r="O46" s="359" t="s">
        <v>24</v>
      </c>
      <c r="P46" s="247"/>
      <c r="Q46" s="364">
        <f t="shared" ca="1" si="21"/>
        <v>2.6777500000000001</v>
      </c>
      <c r="R46" s="352">
        <f t="shared" ca="1" si="57"/>
        <v>0.32500000000000001</v>
      </c>
      <c r="S46" s="365">
        <f t="shared" ca="1" si="22"/>
        <v>3.0027500000000003</v>
      </c>
      <c r="T46" s="247"/>
      <c r="U46" s="364">
        <f t="shared" ca="1" si="23"/>
        <v>2.5924375</v>
      </c>
      <c r="V46" s="352">
        <f t="shared" ca="1" si="24"/>
        <v>0.30875000000000002</v>
      </c>
      <c r="W46" s="365">
        <f t="shared" ca="1" si="25"/>
        <v>2.9011874999999998</v>
      </c>
      <c r="X46" s="247"/>
      <c r="Y46" s="364">
        <f t="shared" ca="1" si="26"/>
        <v>2.5071250000000003</v>
      </c>
      <c r="Z46" s="352">
        <f t="shared" ca="1" si="27"/>
        <v>0.29249999999999998</v>
      </c>
      <c r="AA46" s="365">
        <f t="shared" ca="1" si="28"/>
        <v>2.7996250000000003</v>
      </c>
      <c r="AB46" s="58" t="str">
        <f t="shared" ca="1" si="62"/>
        <v/>
      </c>
      <c r="AC46" s="496" t="s">
        <v>24</v>
      </c>
      <c r="AD46" s="275"/>
      <c r="AE46" s="315">
        <f t="shared" ca="1" si="30"/>
        <v>-5.25</v>
      </c>
      <c r="AF46" s="316">
        <f t="shared" ca="1" si="58"/>
        <v>1</v>
      </c>
      <c r="AG46" s="317">
        <f t="shared" ca="1" si="31"/>
        <v>-0.5</v>
      </c>
      <c r="AH46" s="316">
        <f t="shared" ca="1" si="32"/>
        <v>0</v>
      </c>
      <c r="AI46" s="317">
        <f t="shared" ca="1" si="33"/>
        <v>-0.65</v>
      </c>
      <c r="AJ46" s="318">
        <f t="shared" ca="1" si="34"/>
        <v>0</v>
      </c>
      <c r="AK46" s="280"/>
      <c r="AL46" s="319">
        <f t="shared" ca="1" si="35"/>
        <v>1.70625</v>
      </c>
      <c r="AM46" s="320">
        <f t="shared" ca="1" si="36"/>
        <v>0.32500000000000001</v>
      </c>
      <c r="AN46" s="321">
        <f t="shared" ca="1" si="6"/>
        <v>2.03125</v>
      </c>
      <c r="AO46" s="322">
        <f t="shared" ca="1" si="37"/>
        <v>0.73750000000000004</v>
      </c>
      <c r="AP46" s="320">
        <f t="shared" ca="1" si="38"/>
        <v>0</v>
      </c>
      <c r="AQ46" s="321">
        <f t="shared" ca="1" si="7"/>
        <v>0.73750000000000004</v>
      </c>
      <c r="AR46" s="322">
        <f t="shared" ca="1" si="39"/>
        <v>0.23400000000000001</v>
      </c>
      <c r="AS46" s="320">
        <f t="shared" ca="1" si="40"/>
        <v>0</v>
      </c>
      <c r="AT46" s="321">
        <f t="shared" ca="1" si="8"/>
        <v>0.23400000000000001</v>
      </c>
      <c r="AU46" s="322">
        <f t="shared" ca="1" si="9"/>
        <v>2.6777500000000001</v>
      </c>
      <c r="AV46" s="321">
        <f t="shared" ca="1" si="10"/>
        <v>0.32500000000000001</v>
      </c>
      <c r="AW46" s="323">
        <f t="shared" ca="1" si="11"/>
        <v>3.0027500000000003</v>
      </c>
      <c r="AX46" s="286"/>
      <c r="AY46" s="319">
        <f t="shared" ca="1" si="41"/>
        <v>1.6209374999999999</v>
      </c>
      <c r="AZ46" s="320">
        <f t="shared" ca="1" si="42"/>
        <v>0.30875000000000002</v>
      </c>
      <c r="BA46" s="321">
        <f t="shared" ca="1" si="43"/>
        <v>1.9296875</v>
      </c>
      <c r="BB46" s="322">
        <f t="shared" ca="1" si="44"/>
        <v>0.73750000000000004</v>
      </c>
      <c r="BC46" s="320">
        <f t="shared" ca="1" si="45"/>
        <v>0</v>
      </c>
      <c r="BD46" s="321">
        <f t="shared" ca="1" si="12"/>
        <v>0.73750000000000004</v>
      </c>
      <c r="BE46" s="322">
        <f t="shared" ca="1" si="46"/>
        <v>0.23400000000000001</v>
      </c>
      <c r="BF46" s="320">
        <f t="shared" ca="1" si="47"/>
        <v>0</v>
      </c>
      <c r="BG46" s="321">
        <f t="shared" ca="1" si="13"/>
        <v>0.23400000000000001</v>
      </c>
      <c r="BH46" s="322">
        <f t="shared" ca="1" si="48"/>
        <v>2.5924375</v>
      </c>
      <c r="BI46" s="321">
        <f t="shared" ca="1" si="49"/>
        <v>0.30875000000000002</v>
      </c>
      <c r="BJ46" s="323">
        <f t="shared" ca="1" si="14"/>
        <v>2.9011874999999998</v>
      </c>
      <c r="BK46" s="286"/>
      <c r="BL46" s="319">
        <f t="shared" ca="1" si="50"/>
        <v>1.535625</v>
      </c>
      <c r="BM46" s="320">
        <f t="shared" ca="1" si="51"/>
        <v>0.29249999999999998</v>
      </c>
      <c r="BN46" s="321">
        <f t="shared" ca="1" si="15"/>
        <v>1.828125</v>
      </c>
      <c r="BO46" s="322">
        <f t="shared" ca="1" si="52"/>
        <v>0.73750000000000004</v>
      </c>
      <c r="BP46" s="320">
        <f t="shared" ca="1" si="53"/>
        <v>0</v>
      </c>
      <c r="BQ46" s="321">
        <f t="shared" ca="1" si="16"/>
        <v>0.73750000000000004</v>
      </c>
      <c r="BR46" s="322">
        <f t="shared" ca="1" si="54"/>
        <v>0.23400000000000001</v>
      </c>
      <c r="BS46" s="320">
        <f t="shared" ca="1" si="55"/>
        <v>0</v>
      </c>
      <c r="BT46" s="321">
        <f t="shared" ca="1" si="17"/>
        <v>0.23400000000000001</v>
      </c>
      <c r="BU46" s="322">
        <f t="shared" ca="1" si="18"/>
        <v>2.5071250000000003</v>
      </c>
      <c r="BV46" s="321">
        <f t="shared" ca="1" si="19"/>
        <v>0.29249999999999998</v>
      </c>
      <c r="BW46" s="323">
        <f t="shared" ca="1" si="20"/>
        <v>2.7996250000000003</v>
      </c>
      <c r="BX46" s="286"/>
      <c r="BY46" s="300">
        <f t="shared" ca="1" si="59"/>
        <v>0.58662499999999973</v>
      </c>
      <c r="BZ46" s="301">
        <f t="shared" ca="1" si="60"/>
        <v>0</v>
      </c>
      <c r="CA46" s="301">
        <f t="shared" ca="1" si="61"/>
        <v>1.6375789613221059E-15</v>
      </c>
      <c r="CB46" s="324">
        <f t="shared" ca="1" si="56"/>
        <v>0.5866250000000014</v>
      </c>
      <c r="CE46" s="27"/>
      <c r="CF46" s="27"/>
      <c r="CG46" s="27"/>
      <c r="CH46" s="27"/>
      <c r="CI46" s="27"/>
      <c r="CJ46" s="27"/>
      <c r="CK46" s="34"/>
      <c r="CL46" s="34"/>
      <c r="CM46" s="35"/>
    </row>
    <row r="47" spans="2:91" ht="18.899999999999999" customHeight="1" thickBot="1">
      <c r="I47" s="255"/>
      <c r="J47" s="256" t="s">
        <v>22</v>
      </c>
      <c r="K47" s="257" t="s">
        <v>147</v>
      </c>
      <c r="L47" s="249">
        <f ca="1">SUM(L44:L46)</f>
        <v>428.75000000000006</v>
      </c>
      <c r="M47" s="249">
        <f ca="1">SUM(M44:M46)</f>
        <v>425.50000000000006</v>
      </c>
      <c r="N47" s="26"/>
      <c r="O47" s="353" t="s">
        <v>47</v>
      </c>
      <c r="P47" s="247"/>
      <c r="Q47" s="354">
        <f ca="1">SUM(Q23:Q46)</f>
        <v>216</v>
      </c>
      <c r="R47" s="355">
        <f ca="1">SUM(R23:R46)</f>
        <v>215.99999999999994</v>
      </c>
      <c r="S47" s="356">
        <f ca="1">SUM(S23:S46)</f>
        <v>432.00000000000006</v>
      </c>
      <c r="T47" s="247"/>
      <c r="U47" s="354">
        <f ca="1">SUM(U23:U46)</f>
        <v>214.375</v>
      </c>
      <c r="V47" s="355">
        <f ca="1">SUM(V23:V46)</f>
        <v>214.37499999999991</v>
      </c>
      <c r="W47" s="356">
        <f ca="1">SUM(W23:W46)</f>
        <v>428.74999999999989</v>
      </c>
      <c r="X47" s="247"/>
      <c r="Y47" s="354">
        <f ca="1">SUM(Y23:Y46)</f>
        <v>212.74999999999997</v>
      </c>
      <c r="Z47" s="355">
        <f ca="1">SUM(Z23:Z46)</f>
        <v>212.75</v>
      </c>
      <c r="AA47" s="356">
        <f ca="1">SUM(AA23:AA46)</f>
        <v>425.49999999999989</v>
      </c>
      <c r="AC47" s="325" t="s">
        <v>47</v>
      </c>
      <c r="AD47" s="90"/>
      <c r="AE47" s="326">
        <f t="shared" ref="AE47:AJ47" ca="1" si="63">SUM(AE23:AE46)</f>
        <v>-100</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32.5</v>
      </c>
      <c r="AM47" s="331">
        <f t="shared" ca="1" si="64"/>
        <v>32.5</v>
      </c>
      <c r="AN47" s="327">
        <f t="shared" ca="1" si="64"/>
        <v>65</v>
      </c>
      <c r="AO47" s="328">
        <f t="shared" ca="1" si="64"/>
        <v>147.5</v>
      </c>
      <c r="AP47" s="331">
        <f t="shared" ca="1" si="64"/>
        <v>147.5</v>
      </c>
      <c r="AQ47" s="327">
        <f t="shared" ca="1" si="64"/>
        <v>295.00000000000006</v>
      </c>
      <c r="AR47" s="328">
        <f t="shared" ca="1" si="64"/>
        <v>36.000000000000007</v>
      </c>
      <c r="AS47" s="331">
        <f t="shared" ca="1" si="64"/>
        <v>36.000000000000007</v>
      </c>
      <c r="AT47" s="327">
        <f t="shared" ca="1" si="64"/>
        <v>72</v>
      </c>
      <c r="AU47" s="328">
        <f t="shared" ca="1" si="64"/>
        <v>216</v>
      </c>
      <c r="AV47" s="327">
        <f t="shared" ca="1" si="64"/>
        <v>215.99999999999994</v>
      </c>
      <c r="AW47" s="329">
        <f t="shared" ca="1" si="64"/>
        <v>432.00000000000006</v>
      </c>
      <c r="AX47" s="332"/>
      <c r="AY47" s="326">
        <f t="shared" ref="AY47:BJ47" ca="1" si="65">SUM(AY23:AY46)</f>
        <v>30.875</v>
      </c>
      <c r="AZ47" s="331">
        <f t="shared" ca="1" si="65"/>
        <v>30.875000000000004</v>
      </c>
      <c r="BA47" s="327">
        <f t="shared" ca="1" si="65"/>
        <v>61.750000000000007</v>
      </c>
      <c r="BB47" s="328">
        <f t="shared" ca="1" si="65"/>
        <v>147.5</v>
      </c>
      <c r="BC47" s="331">
        <f t="shared" ca="1" si="65"/>
        <v>147.5</v>
      </c>
      <c r="BD47" s="327">
        <f t="shared" ca="1" si="65"/>
        <v>295.00000000000006</v>
      </c>
      <c r="BE47" s="328">
        <f t="shared" ca="1" si="65"/>
        <v>36.000000000000007</v>
      </c>
      <c r="BF47" s="331">
        <f t="shared" ca="1" si="65"/>
        <v>36.000000000000007</v>
      </c>
      <c r="BG47" s="327">
        <f t="shared" ca="1" si="65"/>
        <v>72</v>
      </c>
      <c r="BH47" s="328">
        <f t="shared" ca="1" si="65"/>
        <v>214.375</v>
      </c>
      <c r="BI47" s="327">
        <f t="shared" ca="1" si="65"/>
        <v>214.37499999999991</v>
      </c>
      <c r="BJ47" s="329">
        <f t="shared" ca="1" si="65"/>
        <v>428.74999999999989</v>
      </c>
      <c r="BK47" s="332"/>
      <c r="BL47" s="326">
        <f t="shared" ref="BL47:BW47" ca="1" si="66">SUM(BL23:BL46)</f>
        <v>29.25</v>
      </c>
      <c r="BM47" s="331">
        <f t="shared" ca="1" si="66"/>
        <v>29.249999999999996</v>
      </c>
      <c r="BN47" s="327">
        <f t="shared" ca="1" si="66"/>
        <v>58.5</v>
      </c>
      <c r="BO47" s="328">
        <f t="shared" ca="1" si="66"/>
        <v>147.5</v>
      </c>
      <c r="BP47" s="331">
        <f t="shared" ca="1" si="66"/>
        <v>147.5</v>
      </c>
      <c r="BQ47" s="327">
        <f t="shared" ca="1" si="66"/>
        <v>295.00000000000006</v>
      </c>
      <c r="BR47" s="328">
        <f t="shared" ca="1" si="66"/>
        <v>36.000000000000007</v>
      </c>
      <c r="BS47" s="331">
        <f t="shared" ca="1" si="66"/>
        <v>36.000000000000007</v>
      </c>
      <c r="BT47" s="327">
        <f t="shared" ca="1" si="66"/>
        <v>72</v>
      </c>
      <c r="BU47" s="328">
        <f t="shared" ca="1" si="66"/>
        <v>212.74999999999997</v>
      </c>
      <c r="BV47" s="327">
        <f t="shared" ca="1" si="66"/>
        <v>212.75</v>
      </c>
      <c r="BW47" s="329">
        <f t="shared" ca="1" si="66"/>
        <v>425.49999999999989</v>
      </c>
      <c r="BX47" s="332"/>
      <c r="BY47" s="333">
        <f ca="1">MAX(BY23:BY46)</f>
        <v>5.9125624999999999</v>
      </c>
      <c r="BZ47" s="334">
        <f ca="1">MAX(BZ23:BZ46)</f>
        <v>80.608749999999986</v>
      </c>
      <c r="CA47" s="334">
        <f ca="1">MAX(CA23:CA46)</f>
        <v>3.9240000000000008</v>
      </c>
      <c r="CB47" s="335">
        <f ca="1">MAX(CB23:CB46)</f>
        <v>83.902749999999983</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großfl. Einzelhandel BT A</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großfl. Einzelhandel BT A</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0.43225000000000047</v>
      </c>
      <c r="X102" s="244"/>
      <c r="Y102" s="499">
        <f t="shared" ref="Y102:Y125" ca="1" si="68">BY23</f>
        <v>0.43224999999999969</v>
      </c>
      <c r="Z102" s="500">
        <f t="shared" ref="Z102:Z125" ca="1" si="69">BZ23</f>
        <v>0</v>
      </c>
      <c r="AA102" s="501">
        <f t="shared" ref="AA102:AA125" ca="1" si="70">CA23</f>
        <v>7.4940054162198066E-16</v>
      </c>
    </row>
    <row r="103" spans="9:27" ht="15.9" customHeight="1">
      <c r="I103" s="670"/>
      <c r="J103" s="52"/>
      <c r="K103" s="52"/>
      <c r="L103" s="52"/>
      <c r="M103" s="52"/>
      <c r="N103" s="52"/>
      <c r="O103" s="52"/>
      <c r="P103" s="52"/>
      <c r="Q103" s="52"/>
      <c r="R103" s="52"/>
      <c r="S103" s="52"/>
      <c r="T103" s="52"/>
      <c r="U103" s="664" t="s">
        <v>161</v>
      </c>
      <c r="V103" s="665"/>
      <c r="W103" s="466">
        <f t="shared" ca="1" si="67"/>
        <v>0.43225000000000047</v>
      </c>
      <c r="X103" s="244"/>
      <c r="Y103" s="502">
        <f t="shared" ca="1" si="68"/>
        <v>0.43224999999999969</v>
      </c>
      <c r="Z103" s="503">
        <f t="shared" ca="1" si="69"/>
        <v>0</v>
      </c>
      <c r="AA103" s="504">
        <f t="shared" ca="1" si="70"/>
        <v>7.4940054162198066E-16</v>
      </c>
    </row>
    <row r="104" spans="9:27" ht="15.9" customHeight="1">
      <c r="I104" s="670"/>
      <c r="J104" s="52"/>
      <c r="K104" s="52"/>
      <c r="L104" s="52"/>
      <c r="M104" s="52"/>
      <c r="N104" s="52"/>
      <c r="O104" s="52"/>
      <c r="P104" s="52"/>
      <c r="Q104" s="52"/>
      <c r="R104" s="52"/>
      <c r="S104" s="52"/>
      <c r="T104" s="52"/>
      <c r="U104" s="664" t="s">
        <v>26</v>
      </c>
      <c r="V104" s="665"/>
      <c r="W104" s="466">
        <f t="shared" ca="1" si="67"/>
        <v>0.43225000000000047</v>
      </c>
      <c r="X104" s="244"/>
      <c r="Y104" s="502">
        <f t="shared" ca="1" si="68"/>
        <v>0.43224999999999969</v>
      </c>
      <c r="Z104" s="503">
        <f t="shared" ca="1" si="69"/>
        <v>0</v>
      </c>
      <c r="AA104" s="504">
        <f t="shared" ca="1" si="70"/>
        <v>7.4940054162198066E-16</v>
      </c>
    </row>
    <row r="105" spans="9:27" ht="15.9" customHeight="1">
      <c r="I105" s="670"/>
      <c r="J105" s="52"/>
      <c r="K105" s="52"/>
      <c r="L105" s="52"/>
      <c r="M105" s="52"/>
      <c r="N105" s="52"/>
      <c r="O105" s="52"/>
      <c r="P105" s="52"/>
      <c r="Q105" s="52"/>
      <c r="R105" s="52"/>
      <c r="S105" s="52"/>
      <c r="T105" s="52"/>
      <c r="U105" s="664" t="s">
        <v>27</v>
      </c>
      <c r="V105" s="665"/>
      <c r="W105" s="466">
        <f t="shared" ca="1" si="67"/>
        <v>0.30875000000000041</v>
      </c>
      <c r="X105" s="244"/>
      <c r="Y105" s="502">
        <f t="shared" ca="1" si="68"/>
        <v>0.30874999999999969</v>
      </c>
      <c r="Z105" s="503">
        <f t="shared" ca="1" si="69"/>
        <v>0</v>
      </c>
      <c r="AA105" s="504">
        <f t="shared" ca="1" si="70"/>
        <v>7.4940054162198066E-16</v>
      </c>
    </row>
    <row r="106" spans="9:27" ht="15.9" customHeight="1">
      <c r="I106" s="670"/>
      <c r="J106" s="52"/>
      <c r="K106" s="52"/>
      <c r="L106" s="52"/>
      <c r="M106" s="52"/>
      <c r="N106" s="52"/>
      <c r="O106" s="52"/>
      <c r="P106" s="52"/>
      <c r="Q106" s="52"/>
      <c r="R106" s="52"/>
      <c r="S106" s="52"/>
      <c r="T106" s="52"/>
      <c r="U106" s="664" t="s">
        <v>28</v>
      </c>
      <c r="V106" s="665"/>
      <c r="W106" s="466">
        <f t="shared" ca="1" si="67"/>
        <v>1.7965625000000005</v>
      </c>
      <c r="X106" s="244"/>
      <c r="Y106" s="502">
        <f t="shared" ca="1" si="68"/>
        <v>0.23156249999999967</v>
      </c>
      <c r="Z106" s="503">
        <f t="shared" ca="1" si="69"/>
        <v>1.4750000000000001</v>
      </c>
      <c r="AA106" s="504">
        <f t="shared" ca="1" si="70"/>
        <v>9.0000000000000746E-2</v>
      </c>
    </row>
    <row r="107" spans="9:27" ht="15.9" customHeight="1">
      <c r="I107" s="670"/>
      <c r="J107" s="52"/>
      <c r="K107" s="52"/>
      <c r="L107" s="52"/>
      <c r="M107" s="52"/>
      <c r="N107" s="52"/>
      <c r="O107" s="52"/>
      <c r="P107" s="52"/>
      <c r="Q107" s="52"/>
      <c r="R107" s="52"/>
      <c r="S107" s="52"/>
      <c r="T107" s="52"/>
      <c r="U107" s="664" t="s">
        <v>29</v>
      </c>
      <c r="V107" s="665"/>
      <c r="W107" s="466">
        <f t="shared" ca="1" si="67"/>
        <v>10.457812500000001</v>
      </c>
      <c r="X107" s="244"/>
      <c r="Y107" s="502">
        <f t="shared" ca="1" si="68"/>
        <v>0.23156249999999967</v>
      </c>
      <c r="Z107" s="503">
        <f t="shared" ca="1" si="69"/>
        <v>9.9562500000000007</v>
      </c>
      <c r="AA107" s="504">
        <f t="shared" ca="1" si="70"/>
        <v>0.27000000000000079</v>
      </c>
    </row>
    <row r="108" spans="9:27" ht="15.9" customHeight="1">
      <c r="I108" s="670"/>
      <c r="J108" s="52"/>
      <c r="K108" s="52"/>
      <c r="L108" s="52"/>
      <c r="M108" s="52"/>
      <c r="N108" s="52"/>
      <c r="O108" s="52"/>
      <c r="P108" s="52"/>
      <c r="Q108" s="52"/>
      <c r="R108" s="52"/>
      <c r="S108" s="52"/>
      <c r="T108" s="52"/>
      <c r="U108" s="664" t="s">
        <v>30</v>
      </c>
      <c r="V108" s="665"/>
      <c r="W108" s="466">
        <f t="shared" ca="1" si="67"/>
        <v>41.011562499999997</v>
      </c>
      <c r="X108" s="244"/>
      <c r="Y108" s="502">
        <f t="shared" ca="1" si="68"/>
        <v>0.54031249999999964</v>
      </c>
      <c r="Z108" s="503">
        <f t="shared" ca="1" si="69"/>
        <v>39.751249999999999</v>
      </c>
      <c r="AA108" s="504">
        <f t="shared" ca="1" si="70"/>
        <v>0.72000000000000086</v>
      </c>
    </row>
    <row r="109" spans="9:27" ht="15.9" customHeight="1">
      <c r="I109" s="670"/>
      <c r="J109" s="52"/>
      <c r="K109" s="52"/>
      <c r="L109" s="52"/>
      <c r="M109" s="52"/>
      <c r="N109" s="52"/>
      <c r="O109" s="52"/>
      <c r="P109" s="52"/>
      <c r="Q109" s="52"/>
      <c r="R109" s="52"/>
      <c r="S109" s="52"/>
      <c r="T109" s="52"/>
      <c r="U109" s="664" t="s">
        <v>31</v>
      </c>
      <c r="V109" s="665"/>
      <c r="W109" s="466">
        <f t="shared" ca="1" si="67"/>
        <v>77.953749999999985</v>
      </c>
      <c r="X109" s="244"/>
      <c r="Y109" s="502">
        <f t="shared" ca="1" si="68"/>
        <v>0.61749999999999938</v>
      </c>
      <c r="Z109" s="503">
        <f t="shared" ca="1" si="69"/>
        <v>75.446249999999992</v>
      </c>
      <c r="AA109" s="504">
        <f t="shared" ca="1" si="70"/>
        <v>1.8900000000000008</v>
      </c>
    </row>
    <row r="110" spans="9:27" ht="15.9" customHeight="1">
      <c r="I110" s="670"/>
      <c r="J110" s="52"/>
      <c r="K110" s="52"/>
      <c r="L110" s="52"/>
      <c r="M110" s="52"/>
      <c r="N110" s="52"/>
      <c r="O110" s="52"/>
      <c r="P110" s="52"/>
      <c r="Q110" s="52"/>
      <c r="R110" s="52"/>
      <c r="S110" s="52"/>
      <c r="T110" s="52"/>
      <c r="U110" s="664" t="s">
        <v>32</v>
      </c>
      <c r="V110" s="665"/>
      <c r="W110" s="466">
        <f t="shared" ca="1" si="67"/>
        <v>83.902749999999983</v>
      </c>
      <c r="X110" s="244"/>
      <c r="Y110" s="502">
        <f t="shared" ca="1" si="68"/>
        <v>0</v>
      </c>
      <c r="Z110" s="503">
        <f t="shared" ca="1" si="69"/>
        <v>80.608749999999986</v>
      </c>
      <c r="AA110" s="504">
        <f t="shared" ca="1" si="70"/>
        <v>3.2940000000000014</v>
      </c>
    </row>
    <row r="111" spans="9:27" ht="15.9" customHeight="1">
      <c r="I111" s="670"/>
      <c r="J111" s="52"/>
      <c r="K111" s="52"/>
      <c r="L111" s="52"/>
      <c r="M111" s="52"/>
      <c r="N111" s="52"/>
      <c r="O111" s="52"/>
      <c r="P111" s="52"/>
      <c r="Q111" s="52"/>
      <c r="R111" s="52"/>
      <c r="S111" s="52"/>
      <c r="T111" s="52"/>
      <c r="U111" s="664" t="s">
        <v>33</v>
      </c>
      <c r="V111" s="665"/>
      <c r="W111" s="466">
        <f t="shared" ca="1" si="67"/>
        <v>81.578687499999987</v>
      </c>
      <c r="X111" s="244"/>
      <c r="Y111" s="502">
        <f t="shared" ca="1" si="68"/>
        <v>7.7187500000000075E-2</v>
      </c>
      <c r="Z111" s="503">
        <f t="shared" ca="1" si="69"/>
        <v>78.027499999999989</v>
      </c>
      <c r="AA111" s="504">
        <f t="shared" ca="1" si="70"/>
        <v>3.4740000000000011</v>
      </c>
    </row>
    <row r="112" spans="9:27" ht="15.9" customHeight="1">
      <c r="I112" s="670"/>
      <c r="J112" s="52"/>
      <c r="K112" s="52"/>
      <c r="L112" s="52"/>
      <c r="M112" s="52"/>
      <c r="N112" s="52"/>
      <c r="O112" s="52"/>
      <c r="P112" s="52"/>
      <c r="Q112" s="52"/>
      <c r="R112" s="52"/>
      <c r="S112" s="52"/>
      <c r="T112" s="52"/>
      <c r="U112" s="664" t="s">
        <v>34</v>
      </c>
      <c r="V112" s="665"/>
      <c r="W112" s="466">
        <f t="shared" ca="1" si="67"/>
        <v>79.018687499999999</v>
      </c>
      <c r="X112" s="244"/>
      <c r="Y112" s="502">
        <f t="shared" ca="1" si="68"/>
        <v>0.3859375000000001</v>
      </c>
      <c r="Z112" s="503">
        <f t="shared" ca="1" si="69"/>
        <v>74.708749999999995</v>
      </c>
      <c r="AA112" s="504">
        <f t="shared" ca="1" si="70"/>
        <v>3.9240000000000008</v>
      </c>
    </row>
    <row r="113" spans="9:27" ht="15.9" customHeight="1">
      <c r="I113" s="670"/>
      <c r="J113" s="52"/>
      <c r="K113" s="52"/>
      <c r="L113" s="52"/>
      <c r="M113" s="52"/>
      <c r="N113" s="52"/>
      <c r="O113" s="52"/>
      <c r="P113" s="52"/>
      <c r="Q113" s="52"/>
      <c r="R113" s="52"/>
      <c r="S113" s="52"/>
      <c r="T113" s="52"/>
      <c r="U113" s="664" t="s">
        <v>35</v>
      </c>
      <c r="V113" s="665"/>
      <c r="W113" s="466">
        <f t="shared" ca="1" si="67"/>
        <v>76.097062499999993</v>
      </c>
      <c r="X113" s="244"/>
      <c r="Y113" s="502">
        <f t="shared" ca="1" si="68"/>
        <v>0.5403125000000002</v>
      </c>
      <c r="Z113" s="503">
        <f t="shared" ca="1" si="69"/>
        <v>71.758749999999992</v>
      </c>
      <c r="AA113" s="504">
        <f t="shared" ca="1" si="70"/>
        <v>3.7980000000000014</v>
      </c>
    </row>
    <row r="114" spans="9:27" ht="15.9" customHeight="1">
      <c r="I114" s="670"/>
      <c r="J114" s="52"/>
      <c r="K114" s="52"/>
      <c r="L114" s="52"/>
      <c r="M114" s="52"/>
      <c r="N114" s="52"/>
      <c r="O114" s="52"/>
      <c r="P114" s="52"/>
      <c r="Q114" s="52"/>
      <c r="R114" s="52"/>
      <c r="S114" s="52"/>
      <c r="T114" s="52"/>
      <c r="U114" s="664" t="s">
        <v>36</v>
      </c>
      <c r="V114" s="665"/>
      <c r="W114" s="466">
        <f t="shared" ca="1" si="67"/>
        <v>64.085562499999995</v>
      </c>
      <c r="X114" s="244"/>
      <c r="Y114" s="502">
        <f t="shared" ca="1" si="68"/>
        <v>0.66381250000000014</v>
      </c>
      <c r="Z114" s="503">
        <f t="shared" ca="1" si="69"/>
        <v>60.253749999999989</v>
      </c>
      <c r="AA114" s="504">
        <f t="shared" ca="1" si="70"/>
        <v>3.1680000000000015</v>
      </c>
    </row>
    <row r="115" spans="9:27" ht="15.9" customHeight="1">
      <c r="I115" s="670"/>
      <c r="J115" s="52"/>
      <c r="K115" s="52"/>
      <c r="L115" s="52"/>
      <c r="M115" s="52"/>
      <c r="N115" s="52"/>
      <c r="O115" s="52"/>
      <c r="P115" s="52"/>
      <c r="Q115" s="52"/>
      <c r="R115" s="52"/>
      <c r="S115" s="52"/>
      <c r="T115" s="52"/>
      <c r="U115" s="664" t="s">
        <v>37</v>
      </c>
      <c r="V115" s="665"/>
      <c r="W115" s="466">
        <f t="shared" ca="1" si="67"/>
        <v>66.146499999999989</v>
      </c>
      <c r="X115" s="244"/>
      <c r="Y115" s="502">
        <f t="shared" ca="1" si="68"/>
        <v>0.74100000000000033</v>
      </c>
      <c r="Z115" s="503">
        <f t="shared" ca="1" si="69"/>
        <v>62.687499999999986</v>
      </c>
      <c r="AA115" s="504">
        <f t="shared" ca="1" si="70"/>
        <v>2.7180000000000013</v>
      </c>
    </row>
    <row r="116" spans="9:27" ht="15.9" customHeight="1">
      <c r="I116" s="670"/>
      <c r="J116" s="52"/>
      <c r="K116" s="52"/>
      <c r="L116" s="52"/>
      <c r="M116" s="52"/>
      <c r="N116" s="52"/>
      <c r="O116" s="52"/>
      <c r="P116" s="52"/>
      <c r="Q116" s="52"/>
      <c r="R116" s="52"/>
      <c r="S116" s="52"/>
      <c r="T116" s="52"/>
      <c r="U116" s="664" t="s">
        <v>38</v>
      </c>
      <c r="V116" s="665"/>
      <c r="W116" s="466">
        <f t="shared" ca="1" si="67"/>
        <v>65.559874999999991</v>
      </c>
      <c r="X116" s="244"/>
      <c r="Y116" s="502">
        <f t="shared" ca="1" si="68"/>
        <v>0.89537500000000025</v>
      </c>
      <c r="Z116" s="503">
        <f t="shared" ca="1" si="69"/>
        <v>61.802499999999988</v>
      </c>
      <c r="AA116" s="504">
        <f t="shared" ca="1" si="70"/>
        <v>2.8620000000000014</v>
      </c>
    </row>
    <row r="117" spans="9:27" ht="15.9" customHeight="1">
      <c r="I117" s="670"/>
      <c r="J117" s="52"/>
      <c r="K117" s="52"/>
      <c r="L117" s="52"/>
      <c r="M117" s="52"/>
      <c r="N117" s="52"/>
      <c r="O117" s="52"/>
      <c r="P117" s="52"/>
      <c r="Q117" s="52"/>
      <c r="R117" s="52"/>
      <c r="S117" s="52"/>
      <c r="T117" s="52"/>
      <c r="U117" s="664" t="s">
        <v>39</v>
      </c>
      <c r="V117" s="665"/>
      <c r="W117" s="466">
        <f t="shared" ca="1" si="67"/>
        <v>58.657312499999989</v>
      </c>
      <c r="X117" s="244"/>
      <c r="Y117" s="502">
        <f t="shared" ca="1" si="68"/>
        <v>1.4665625000000002</v>
      </c>
      <c r="Z117" s="503">
        <f t="shared" ca="1" si="69"/>
        <v>54.058749999999989</v>
      </c>
      <c r="AA117" s="504">
        <f t="shared" ca="1" si="70"/>
        <v>3.1320000000000014</v>
      </c>
    </row>
    <row r="118" spans="9:27" ht="15.9" customHeight="1">
      <c r="I118" s="670"/>
      <c r="J118" s="52"/>
      <c r="K118" s="52"/>
      <c r="L118" s="52"/>
      <c r="M118" s="52"/>
      <c r="N118" s="52"/>
      <c r="O118" s="52"/>
      <c r="P118" s="52"/>
      <c r="Q118" s="52"/>
      <c r="R118" s="52"/>
      <c r="S118" s="52"/>
      <c r="T118" s="52"/>
      <c r="U118" s="664" t="s">
        <v>40</v>
      </c>
      <c r="V118" s="665"/>
      <c r="W118" s="466">
        <f t="shared" ca="1" si="67"/>
        <v>42.83574999999999</v>
      </c>
      <c r="X118" s="244"/>
      <c r="Y118" s="502">
        <f t="shared" ca="1" si="68"/>
        <v>1.8525000000000003</v>
      </c>
      <c r="Z118" s="503">
        <f t="shared" ca="1" si="69"/>
        <v>38.571249999999992</v>
      </c>
      <c r="AA118" s="504">
        <f t="shared" ca="1" si="70"/>
        <v>2.4120000000000017</v>
      </c>
    </row>
    <row r="119" spans="9:27" ht="15.9" customHeight="1">
      <c r="I119" s="670"/>
      <c r="J119" s="52"/>
      <c r="K119" s="52"/>
      <c r="L119" s="52"/>
      <c r="M119" s="52"/>
      <c r="N119" s="52"/>
      <c r="O119" s="52"/>
      <c r="P119" s="52"/>
      <c r="Q119" s="52"/>
      <c r="R119" s="52"/>
      <c r="S119" s="52"/>
      <c r="T119" s="52"/>
      <c r="U119" s="664" t="s">
        <v>41</v>
      </c>
      <c r="V119" s="665"/>
      <c r="W119" s="466">
        <f t="shared" ca="1" si="67"/>
        <v>24.544499999999992</v>
      </c>
      <c r="X119" s="244"/>
      <c r="Y119" s="502">
        <f t="shared" ca="1" si="68"/>
        <v>3.0875000000000004</v>
      </c>
      <c r="Z119" s="503">
        <f t="shared" ca="1" si="69"/>
        <v>19.764999999999993</v>
      </c>
      <c r="AA119" s="504">
        <f t="shared" ca="1" si="70"/>
        <v>1.6920000000000017</v>
      </c>
    </row>
    <row r="120" spans="9:27" ht="15.9" customHeight="1">
      <c r="I120" s="670"/>
      <c r="J120" s="52"/>
      <c r="K120" s="52"/>
      <c r="L120" s="52"/>
      <c r="M120" s="52"/>
      <c r="N120" s="52"/>
      <c r="O120" s="52"/>
      <c r="P120" s="52"/>
      <c r="Q120" s="52"/>
      <c r="R120" s="52"/>
      <c r="S120" s="52"/>
      <c r="T120" s="52"/>
      <c r="U120" s="664" t="s">
        <v>42</v>
      </c>
      <c r="V120" s="665"/>
      <c r="W120" s="466">
        <f t="shared" ca="1" si="67"/>
        <v>15.190624999999997</v>
      </c>
      <c r="X120" s="244"/>
      <c r="Y120" s="502">
        <f t="shared" ca="1" si="68"/>
        <v>4.2298750000000007</v>
      </c>
      <c r="Z120" s="503">
        <f t="shared" ca="1" si="69"/>
        <v>9.8087499999999945</v>
      </c>
      <c r="AA120" s="504">
        <f t="shared" ca="1" si="70"/>
        <v>1.1520000000000019</v>
      </c>
    </row>
    <row r="121" spans="9:27" ht="15.9" customHeight="1">
      <c r="I121" s="670"/>
      <c r="J121" s="52"/>
      <c r="K121" s="52"/>
      <c r="L121" s="52"/>
      <c r="M121" s="52"/>
      <c r="N121" s="52"/>
      <c r="O121" s="52"/>
      <c r="P121" s="52"/>
      <c r="Q121" s="52"/>
      <c r="R121" s="52"/>
      <c r="S121" s="52"/>
      <c r="T121" s="52"/>
      <c r="U121" s="664" t="s">
        <v>43</v>
      </c>
      <c r="V121" s="665"/>
      <c r="W121" s="466">
        <f t="shared" ca="1" si="67"/>
        <v>13.472312499999997</v>
      </c>
      <c r="X121" s="244"/>
      <c r="Y121" s="502">
        <f t="shared" ca="1" si="68"/>
        <v>5.7890625000000009</v>
      </c>
      <c r="Z121" s="503">
        <f t="shared" ca="1" si="69"/>
        <v>6.7112499999999944</v>
      </c>
      <c r="AA121" s="504">
        <f t="shared" ca="1" si="70"/>
        <v>0.97200000000000175</v>
      </c>
    </row>
    <row r="122" spans="9:27" ht="15.9" customHeight="1">
      <c r="I122" s="670"/>
      <c r="J122" s="52"/>
      <c r="K122" s="52"/>
      <c r="L122" s="52"/>
      <c r="M122" s="52"/>
      <c r="N122" s="52"/>
      <c r="O122" s="52"/>
      <c r="P122" s="52"/>
      <c r="Q122" s="52"/>
      <c r="R122" s="52"/>
      <c r="S122" s="52"/>
      <c r="T122" s="52"/>
      <c r="U122" s="664" t="s">
        <v>44</v>
      </c>
      <c r="V122" s="665"/>
      <c r="W122" s="466">
        <f t="shared" ca="1" si="67"/>
        <v>10.537812499999994</v>
      </c>
      <c r="X122" s="244"/>
      <c r="Y122" s="502">
        <f t="shared" ca="1" si="68"/>
        <v>5.9125624999999999</v>
      </c>
      <c r="Z122" s="503">
        <f t="shared" ca="1" si="69"/>
        <v>3.7612499999999942</v>
      </c>
      <c r="AA122" s="504">
        <f t="shared" ca="1" si="70"/>
        <v>0.86400000000000166</v>
      </c>
    </row>
    <row r="123" spans="9:27" ht="15.9" customHeight="1">
      <c r="I123" s="670"/>
      <c r="J123" s="52"/>
      <c r="K123" s="52"/>
      <c r="L123" s="52"/>
      <c r="M123" s="52"/>
      <c r="N123" s="52"/>
      <c r="O123" s="52"/>
      <c r="P123" s="52"/>
      <c r="Q123" s="52"/>
      <c r="R123" s="52"/>
      <c r="S123" s="52"/>
      <c r="T123" s="52"/>
      <c r="U123" s="664" t="s">
        <v>45</v>
      </c>
      <c r="V123" s="665"/>
      <c r="W123" s="466">
        <f t="shared" ca="1" si="67"/>
        <v>7.5268749999999951</v>
      </c>
      <c r="X123" s="244"/>
      <c r="Y123" s="502">
        <f t="shared" ca="1" si="68"/>
        <v>3.9828749999999999</v>
      </c>
      <c r="Z123" s="503">
        <f t="shared" ca="1" si="69"/>
        <v>2.949999999999994</v>
      </c>
      <c r="AA123" s="504">
        <f t="shared" ca="1" si="70"/>
        <v>0.59400000000000164</v>
      </c>
    </row>
    <row r="124" spans="9:27" ht="15.9" customHeight="1">
      <c r="I124" s="670"/>
      <c r="J124" s="52"/>
      <c r="K124" s="52"/>
      <c r="L124" s="52"/>
      <c r="M124" s="52"/>
      <c r="N124" s="52"/>
      <c r="O124" s="52"/>
      <c r="P124" s="52"/>
      <c r="Q124" s="52"/>
      <c r="R124" s="52"/>
      <c r="S124" s="52"/>
      <c r="T124" s="52"/>
      <c r="U124" s="664" t="s">
        <v>46</v>
      </c>
      <c r="V124" s="665"/>
      <c r="W124" s="466">
        <f t="shared" ca="1" si="67"/>
        <v>2.8703124999999954</v>
      </c>
      <c r="X124" s="244"/>
      <c r="Y124" s="502">
        <f t="shared" ca="1" si="68"/>
        <v>1.8988124999999996</v>
      </c>
      <c r="Z124" s="503">
        <f t="shared" ca="1" si="69"/>
        <v>0.73749999999999405</v>
      </c>
      <c r="AA124" s="504">
        <f t="shared" ca="1" si="70"/>
        <v>0.23400000000000165</v>
      </c>
    </row>
    <row r="125" spans="9:27" ht="15.9" customHeight="1" thickBot="1">
      <c r="I125" s="670"/>
      <c r="J125" s="52"/>
      <c r="K125" s="52"/>
      <c r="L125" s="52"/>
      <c r="M125" s="52"/>
      <c r="N125" s="52"/>
      <c r="O125" s="52"/>
      <c r="P125" s="52"/>
      <c r="Q125" s="52"/>
      <c r="R125" s="52"/>
      <c r="S125" s="52"/>
      <c r="T125" s="52"/>
      <c r="U125" s="666" t="s">
        <v>24</v>
      </c>
      <c r="V125" s="667"/>
      <c r="W125" s="466">
        <f t="shared" ca="1" si="67"/>
        <v>0.5866250000000014</v>
      </c>
      <c r="X125" s="244"/>
      <c r="Y125" s="505">
        <f t="shared" ca="1" si="68"/>
        <v>0.58662499999999973</v>
      </c>
      <c r="Z125" s="506">
        <f t="shared" ca="1" si="69"/>
        <v>0</v>
      </c>
      <c r="AA125" s="507">
        <f t="shared" ca="1" si="70"/>
        <v>1.6375789613221059E-15</v>
      </c>
    </row>
    <row r="126" spans="9:27" ht="15.9" customHeight="1">
      <c r="I126" s="670"/>
      <c r="J126" s="52"/>
      <c r="K126" s="52"/>
      <c r="L126" s="52"/>
      <c r="M126" s="52"/>
      <c r="N126" s="52"/>
      <c r="O126" s="52"/>
      <c r="P126" s="52"/>
      <c r="Q126" s="52"/>
      <c r="R126" s="52"/>
      <c r="S126" s="52"/>
      <c r="T126" s="52"/>
      <c r="U126" s="654" t="s">
        <v>48</v>
      </c>
      <c r="V126" s="655"/>
      <c r="W126" s="658">
        <f ca="1">MAX(W102:W125)</f>
        <v>83.902749999999983</v>
      </c>
      <c r="X126" s="245"/>
      <c r="Y126" s="660">
        <f ca="1">MAX(Y102:Y125)</f>
        <v>5.9125624999999999</v>
      </c>
      <c r="Z126" s="662">
        <f ca="1">MAX(Z102:Z125)</f>
        <v>80.608749999999986</v>
      </c>
      <c r="AA126" s="652">
        <f ca="1">MAX(AA102:AA125)</f>
        <v>3.9240000000000008</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85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22" priority="1" stopIfTrue="1">
      <formula>$I34&lt;&gt;""</formula>
    </cfRule>
  </conditionalFormatting>
  <dataValidations disablePrompts="1" count="4">
    <dataValidation type="list" allowBlank="1" showInputMessage="1" showErrorMessage="1" sqref="L8" xr:uid="{00000000-0002-0000-0300-000000000000}">
      <formula1>F9:F10</formula1>
    </dataValidation>
    <dataValidation type="list" allowBlank="1" showInputMessage="1" showErrorMessage="1" sqref="L9:L10" xr:uid="{00000000-0002-0000-0300-000001000000}">
      <formula1>$F$9:$F$10</formula1>
    </dataValidation>
    <dataValidation type="list" allowBlank="1" showInputMessage="1" showErrorMessage="1" sqref="K4:M4" xr:uid="{00000000-0002-0000-0300-000002000000}">
      <formula1>$CL$22:$CL$44</formula1>
    </dataValidation>
    <dataValidation type="list" allowBlank="1" showInputMessage="1" showErrorMessage="1" sqref="K6:M6" xr:uid="{00000000-0002-0000-03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33424"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33424" r:id="rId5"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9">
    <tabColor indexed="17"/>
  </sheetPr>
  <dimension ref="A1:CM134"/>
  <sheetViews>
    <sheetView showGridLines="0" zoomScaleSheetLayoutView="85" workbookViewId="0">
      <pane xSplit="7" ySplit="1" topLeftCell="H10" activePane="bottomRight" state="frozen"/>
      <selection pane="topRight" activeCell="K4" sqref="K4:M4"/>
      <selection pane="bottomLeft" activeCell="K4" sqref="K4:M4"/>
      <selection pane="bottomRight" activeCell="K21" sqref="K21:L21"/>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9</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38</v>
      </c>
      <c r="G4" s="520">
        <f>IF(AND(K4&lt;&gt;"keine Nutzung",K4&lt;&gt;0,K4&lt;&gt;"")=TRUE,ROW(I17)-(D4),0)</f>
        <v>14</v>
      </c>
      <c r="I4" s="517" t="s">
        <v>85</v>
      </c>
      <c r="K4" s="753" t="s">
        <v>164</v>
      </c>
      <c r="L4" s="754"/>
      <c r="M4" s="755"/>
      <c r="N4" s="27"/>
      <c r="O4" s="72" t="s">
        <v>87</v>
      </c>
      <c r="Q4" s="753" t="s">
        <v>165</v>
      </c>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"&amp;Q4,"06 - keine Nutzung")</f>
        <v>Logistikzentrum Bushof</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150</v>
      </c>
      <c r="C19" s="69">
        <f t="shared" ref="C19:C28" ca="1" si="3">INDIRECT(ADDRESS($D$4+ROW()-ROW($J$17)+1,$F$4+2,,,$B$4))</f>
        <v>200</v>
      </c>
      <c r="D19" s="683" t="str">
        <f t="shared" ref="D19:D27" ca="1" si="4">IF($K$4=$CL$22,"",IF(AND(ISNUMBER(M19)=FALSE,ISNUMBER(B19)=TRUE,ISNUMBER(C19)=TRUE)=TRUE,"FEHLER",IF(OR(M19&lt;B19,M19&gt;C19)=TRUE,"FEHLER","")))</f>
        <v>FEHLER</v>
      </c>
      <c r="E19" s="683"/>
      <c r="F19" s="683"/>
      <c r="G19" s="684"/>
      <c r="H19" s="33"/>
      <c r="I19" s="246" t="s">
        <v>116</v>
      </c>
      <c r="J19" s="250" t="str">
        <f t="shared" ca="1" si="0"/>
        <v xml:space="preserve">Beschäftigte je m² GF </v>
      </c>
      <c r="K19" s="687" t="str">
        <f t="shared" ca="1" si="1"/>
        <v>1 Beschäftigter / 150 - 200  m² GF</v>
      </c>
      <c r="L19" s="687"/>
      <c r="M19" s="251"/>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t="str">
        <f t="shared" ca="1" si="2"/>
        <v>-</v>
      </c>
      <c r="C20" s="69" t="str">
        <f t="shared" ca="1" si="3"/>
        <v>-</v>
      </c>
      <c r="D20" s="683" t="str">
        <f t="shared" ca="1" si="4"/>
        <v>FEHLER</v>
      </c>
      <c r="E20" s="683"/>
      <c r="F20" s="683"/>
      <c r="G20" s="684"/>
      <c r="H20" s="33"/>
      <c r="I20" s="246" t="s">
        <v>120</v>
      </c>
      <c r="J20" s="250" t="str">
        <f t="shared" ca="1" si="0"/>
        <v>Kunden je m² GF</v>
      </c>
      <c r="K20" s="687" t="str">
        <f t="shared" ca="1" si="1"/>
        <v>-</v>
      </c>
      <c r="L20" s="687"/>
      <c r="M20" s="251"/>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4"/>
        <v>FEHLER</v>
      </c>
      <c r="E21" s="683"/>
      <c r="F21" s="683"/>
      <c r="G21" s="684"/>
      <c r="H21" s="33"/>
      <c r="I21" s="246" t="s">
        <v>124</v>
      </c>
      <c r="J21" s="250" t="str">
        <f t="shared" ca="1" si="0"/>
        <v>Wegehäufigkeit je Beschäftigtem</v>
      </c>
      <c r="K21" s="687" t="str">
        <f t="shared" ca="1" si="1"/>
        <v>2 - 3 Wege / Beschäftigter</v>
      </c>
      <c r="L21" s="687"/>
      <c r="M21" s="251"/>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0.5</v>
      </c>
      <c r="C22" s="69">
        <f t="shared" ca="1" si="3"/>
        <v>0.5</v>
      </c>
      <c r="D22" s="683" t="str">
        <f t="shared" ca="1" si="4"/>
        <v>FEHLER</v>
      </c>
      <c r="E22" s="683"/>
      <c r="F22" s="683"/>
      <c r="G22" s="684"/>
      <c r="H22" s="33"/>
      <c r="I22" s="246" t="s">
        <v>134</v>
      </c>
      <c r="J22" s="250" t="str">
        <f t="shared" ca="1" si="0"/>
        <v>Wegehäufigkeit je Kunde</v>
      </c>
      <c r="K22" s="687" t="str">
        <f t="shared" ca="1" si="1"/>
        <v>0,5 Wege / Beschäftigter</v>
      </c>
      <c r="L22" s="687"/>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4"/>
        <v>FEHLER</v>
      </c>
      <c r="E23" s="683"/>
      <c r="F23" s="683"/>
      <c r="G23" s="684"/>
      <c r="H23" s="33"/>
      <c r="I23" s="246" t="s">
        <v>140</v>
      </c>
      <c r="J23" s="250" t="str">
        <f t="shared" ca="1" si="0"/>
        <v>MIV-Anteil bei den Beschäftigten</v>
      </c>
      <c r="K23" s="687" t="str">
        <f t="shared" ca="1" si="1"/>
        <v>0,3 - 0,9 MIV-Nutzer / Beschäftigter</v>
      </c>
      <c r="L23" s="687"/>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683" t="str">
        <f t="shared" ca="1" si="4"/>
        <v>FEHLER</v>
      </c>
      <c r="E24" s="683"/>
      <c r="F24" s="683"/>
      <c r="G24" s="684"/>
      <c r="H24" s="33"/>
      <c r="I24" s="246" t="s">
        <v>141</v>
      </c>
      <c r="J24" s="250" t="str">
        <f t="shared" ca="1" si="0"/>
        <v>MIV-Anteil  bei den Kunden</v>
      </c>
      <c r="K24" s="687" t="str">
        <f t="shared" ca="1" si="1"/>
        <v>0,3 - 0,9 MIV-Nutzer / Kunde</v>
      </c>
      <c r="L24" s="687"/>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4"/>
        <v>FEHLER</v>
      </c>
      <c r="E25" s="683"/>
      <c r="F25" s="683"/>
      <c r="G25" s="684"/>
      <c r="H25" s="33"/>
      <c r="I25" s="246" t="s">
        <v>142</v>
      </c>
      <c r="J25" s="250" t="str">
        <f t="shared" ca="1" si="0"/>
        <v>Kfz-Besetzungsgrad Beschäftigte</v>
      </c>
      <c r="K25" s="687" t="str">
        <f t="shared" ca="1" si="1"/>
        <v>1,1 Beschäftigte(r) / Kfz</v>
      </c>
      <c r="L25" s="687"/>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683" t="str">
        <f t="shared" ca="1" si="4"/>
        <v>FEHLER</v>
      </c>
      <c r="E26" s="683"/>
      <c r="F26" s="683"/>
      <c r="G26" s="684"/>
      <c r="H26" s="33"/>
      <c r="I26" s="246" t="s">
        <v>143</v>
      </c>
      <c r="J26" s="250" t="str">
        <f t="shared" ca="1" si="0"/>
        <v>Kfz-Besetzungsgrad Kunden</v>
      </c>
      <c r="K26" s="687" t="str">
        <f t="shared" ca="1" si="1"/>
        <v>1,1 Kunde(n) / Kfz</v>
      </c>
      <c r="L26" s="687"/>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0.15</v>
      </c>
      <c r="C27" s="69">
        <f t="shared" ca="1" si="3"/>
        <v>0.15</v>
      </c>
      <c r="D27" s="683" t="str">
        <f t="shared" ca="1" si="4"/>
        <v>FEHLER</v>
      </c>
      <c r="E27" s="683"/>
      <c r="F27" s="683"/>
      <c r="G27" s="684"/>
      <c r="H27" s="33"/>
      <c r="I27" s="258" t="s">
        <v>144</v>
      </c>
      <c r="J27" s="265" t="str">
        <f t="shared" ca="1" si="0"/>
        <v>Wirtschaftsfahrten je Beschäftigtem</v>
      </c>
      <c r="K27" s="733" t="str">
        <f t="shared" ca="1" si="1"/>
        <v>0,15 Fahrten / Beschäftigter</v>
      </c>
      <c r="L27" s="733"/>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Logistikzentrum Bushof</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Logistikzentrum Bushof</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21" priority="1" stopIfTrue="1">
      <formula>$I34&lt;&gt;""</formula>
    </cfRule>
  </conditionalFormatting>
  <dataValidations count="4">
    <dataValidation type="list" allowBlank="1" showInputMessage="1" showErrorMessage="1" sqref="L8" xr:uid="{00000000-0002-0000-0700-000000000000}">
      <formula1>F9:F10</formula1>
    </dataValidation>
    <dataValidation type="list" allowBlank="1" showInputMessage="1" showErrorMessage="1" sqref="L9:L10" xr:uid="{00000000-0002-0000-0700-000001000000}">
      <formula1>$F$9:$F$10</formula1>
    </dataValidation>
    <dataValidation type="list" allowBlank="1" showInputMessage="1" showErrorMessage="1" sqref="K4:M4" xr:uid="{00000000-0002-0000-0700-000002000000}">
      <formula1>$CL$22:$CL$44</formula1>
    </dataValidation>
    <dataValidation type="list" allowBlank="1" showInputMessage="1" showErrorMessage="1" sqref="K6:M6" xr:uid="{00000000-0002-0000-07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2095"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62095" r:id="rId5" name="Toggle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indexed="17"/>
  </sheetPr>
  <dimension ref="A1:CM134"/>
  <sheetViews>
    <sheetView showGridLines="0" zoomScaleSheetLayoutView="85" workbookViewId="0">
      <pane xSplit="7" ySplit="1" topLeftCell="I11" activePane="bottomRight" state="frozen"/>
      <selection pane="topRight" activeCell="K4" sqref="K4:M4"/>
      <selection pane="bottomLeft" activeCell="K4" sqref="K4:M4"/>
      <selection pane="bottomRight" activeCell="Z50" sqref="Z50:AA50"/>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32"/>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68</v>
      </c>
      <c r="G4" s="520">
        <f>IF(AND(K4&lt;&gt;"keine Nutzung",K4&lt;&gt;0,K4&lt;&gt;"")=TRUE,ROW(I17)-(D4),0)</f>
        <v>14</v>
      </c>
      <c r="I4" s="517" t="s">
        <v>85</v>
      </c>
      <c r="K4" s="753" t="s">
        <v>166</v>
      </c>
      <c r="L4" s="754"/>
      <c r="M4" s="755"/>
      <c r="N4" s="27"/>
      <c r="O4" s="72" t="s">
        <v>87</v>
      </c>
      <c r="Q4" s="753" t="s">
        <v>167</v>
      </c>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17</v>
      </c>
      <c r="G6" s="520">
        <f>IF(OR(K6="--- LEER ---",K6=0,K6="")=TRUE,0,ROW(AC23)-(D6+7))</f>
        <v>14</v>
      </c>
      <c r="I6" s="518" t="s">
        <v>89</v>
      </c>
      <c r="J6" s="39"/>
      <c r="K6" s="715" t="s">
        <v>90</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Ganglininenkennwerte sind den Hinweisen zur Schätzung des Verkehrsaufkommens von Gebietstypen entnommen worden | beim Kundenverkehr wurden die Ganglinien für großfl. Einzelhandel gewählt</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"&amp;Q4,"03 - keine Nutzung")</f>
        <v>Dienstleistungsbetrieb BT B</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v>27000</v>
      </c>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20</v>
      </c>
      <c r="C19" s="69">
        <f t="shared" ref="C19:C28" ca="1" si="3">INDIRECT(ADDRESS($D$4+ROW()-ROW($J$17)+1,$F$4+2,,,$B$4))</f>
        <v>60</v>
      </c>
      <c r="D19" s="683" t="str">
        <f t="shared" ref="D19:D27" ca="1" si="4">IF($K$4=$CL$22,"",IF(AND(ISNUMBER(M19)=FALSE,ISNUMBER(B19)=TRUE,ISNUMBER(C19)=TRUE)=TRUE,"FEHLER",IF(OR(M19&lt;B19,M19&gt;C19)=TRUE,"FEHLER","")))</f>
        <v/>
      </c>
      <c r="E19" s="683"/>
      <c r="F19" s="683"/>
      <c r="G19" s="684"/>
      <c r="H19" s="33"/>
      <c r="I19" s="246" t="s">
        <v>116</v>
      </c>
      <c r="J19" s="250" t="str">
        <f t="shared" ca="1" si="0"/>
        <v xml:space="preserve">Beschäftigte je m² GF </v>
      </c>
      <c r="K19" s="687" t="str">
        <f t="shared" ca="1" si="1"/>
        <v>1 Beschäftigter / 20 - 60  m² GF</v>
      </c>
      <c r="L19" s="687"/>
      <c r="M19" s="251">
        <v>60</v>
      </c>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t="str">
        <f t="shared" ca="1" si="2"/>
        <v>-</v>
      </c>
      <c r="C20" s="69" t="str">
        <f t="shared" ca="1" si="3"/>
        <v>-</v>
      </c>
      <c r="D20" s="683" t="str">
        <f t="shared" ca="1" si="4"/>
        <v/>
      </c>
      <c r="E20" s="683"/>
      <c r="F20" s="683"/>
      <c r="G20" s="684"/>
      <c r="H20" s="33"/>
      <c r="I20" s="246" t="s">
        <v>120</v>
      </c>
      <c r="J20" s="250" t="str">
        <f t="shared" ca="1" si="0"/>
        <v>Kunden je m² GF</v>
      </c>
      <c r="K20" s="687" t="str">
        <f t="shared" ca="1" si="1"/>
        <v>-</v>
      </c>
      <c r="L20" s="687"/>
      <c r="M20" s="251" t="s">
        <v>121</v>
      </c>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4"/>
        <v/>
      </c>
      <c r="E21" s="683"/>
      <c r="F21" s="683"/>
      <c r="G21" s="684"/>
      <c r="H21" s="33"/>
      <c r="I21" s="246" t="s">
        <v>124</v>
      </c>
      <c r="J21" s="250" t="str">
        <f t="shared" ca="1" si="0"/>
        <v>Wegehäufigkeit je Beschäftigtem</v>
      </c>
      <c r="K21" s="687" t="str">
        <f t="shared" ca="1" si="1"/>
        <v>2 - 3 Wege / Beschäftigter</v>
      </c>
      <c r="L21" s="687"/>
      <c r="M21" s="251">
        <v>2.25</v>
      </c>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0.5</v>
      </c>
      <c r="C22" s="69">
        <f t="shared" ca="1" si="3"/>
        <v>1</v>
      </c>
      <c r="D22" s="683" t="str">
        <f t="shared" ca="1" si="4"/>
        <v/>
      </c>
      <c r="E22" s="683"/>
      <c r="F22" s="683"/>
      <c r="G22" s="684"/>
      <c r="H22" s="33"/>
      <c r="I22" s="246" t="s">
        <v>134</v>
      </c>
      <c r="J22" s="250" t="str">
        <f t="shared" ca="1" si="0"/>
        <v>Wegehäufigkeit je Kunde</v>
      </c>
      <c r="K22" s="687" t="str">
        <f t="shared" ca="1" si="1"/>
        <v>0,5 - 1 Wege / Beschäftigter</v>
      </c>
      <c r="L22" s="687"/>
      <c r="M22" s="251">
        <v>0.75</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-0.5</v>
      </c>
      <c r="AH22" s="277">
        <f t="shared" ca="1" si="5"/>
        <v>0</v>
      </c>
      <c r="AI22" s="278">
        <f t="shared" ca="1" si="5"/>
        <v>-0.65</v>
      </c>
      <c r="AJ22" s="279">
        <f t="shared" ca="1" si="5"/>
        <v>0</v>
      </c>
      <c r="AK22" s="280"/>
      <c r="AL22" s="281">
        <f ca="1">AL46</f>
        <v>0</v>
      </c>
      <c r="AM22" s="282">
        <f ca="1">AM46</f>
        <v>0</v>
      </c>
      <c r="AN22" s="283">
        <f t="shared" ref="AN22:AN46" ca="1" si="6">AL22+AM22</f>
        <v>0</v>
      </c>
      <c r="AO22" s="284">
        <f ca="1">AO46</f>
        <v>0.69</v>
      </c>
      <c r="AP22" s="282">
        <f ca="1">AP46</f>
        <v>0</v>
      </c>
      <c r="AQ22" s="283">
        <f t="shared" ref="AQ22:AQ46" ca="1" si="7">AO22+AP22</f>
        <v>0.69</v>
      </c>
      <c r="AR22" s="284">
        <f ca="1">AR46</f>
        <v>0.43874999999999997</v>
      </c>
      <c r="AS22" s="282">
        <f ca="1">AS46</f>
        <v>0</v>
      </c>
      <c r="AT22" s="283">
        <f t="shared" ref="AT22:AT46" ca="1" si="8">AR22+AS22</f>
        <v>0.43874999999999997</v>
      </c>
      <c r="AU22" s="284">
        <f t="shared" ref="AU22:AU46" ca="1" si="9">AL22+AO22+AR22</f>
        <v>1.1287499999999999</v>
      </c>
      <c r="AV22" s="283">
        <f t="shared" ref="AV22:AV46" ca="1" si="10">AM22+AP22+AS22</f>
        <v>0</v>
      </c>
      <c r="AW22" s="285">
        <f t="shared" ref="AW22:AW46" ca="1" si="11">AU22+AV22</f>
        <v>1.1287499999999999</v>
      </c>
      <c r="AX22" s="286"/>
      <c r="AY22" s="281">
        <f ca="1">AY46</f>
        <v>0</v>
      </c>
      <c r="AZ22" s="282">
        <f ca="1">AZ46</f>
        <v>0</v>
      </c>
      <c r="BA22" s="283">
        <f ca="1">BA46</f>
        <v>0</v>
      </c>
      <c r="BB22" s="284">
        <f ca="1">BB46</f>
        <v>0.69</v>
      </c>
      <c r="BC22" s="282">
        <f ca="1">BC46</f>
        <v>0</v>
      </c>
      <c r="BD22" s="283">
        <f t="shared" ref="BD22:BD46" ca="1" si="12">BB22+BC22</f>
        <v>0.69</v>
      </c>
      <c r="BE22" s="284">
        <f ca="1">BE46</f>
        <v>0.43874999999999997</v>
      </c>
      <c r="BF22" s="282">
        <f ca="1">BF46</f>
        <v>0</v>
      </c>
      <c r="BG22" s="283">
        <f t="shared" ref="BG22:BG46" ca="1" si="13">BE22+BF22</f>
        <v>0.43874999999999997</v>
      </c>
      <c r="BH22" s="284">
        <f ca="1">BH46</f>
        <v>1.1287499999999999</v>
      </c>
      <c r="BI22" s="283">
        <f ca="1">BI46</f>
        <v>0</v>
      </c>
      <c r="BJ22" s="285">
        <f t="shared" ref="BJ22:BJ46" ca="1" si="14">BH22+BI22</f>
        <v>1.1287499999999999</v>
      </c>
      <c r="BK22" s="286"/>
      <c r="BL22" s="281">
        <f ca="1">BL46</f>
        <v>0</v>
      </c>
      <c r="BM22" s="282">
        <f ca="1">BM46</f>
        <v>0</v>
      </c>
      <c r="BN22" s="283">
        <f t="shared" ref="BN22:BN46" ca="1" si="15">BL22+BM22</f>
        <v>0</v>
      </c>
      <c r="BO22" s="284">
        <f ca="1">BO46</f>
        <v>0.69</v>
      </c>
      <c r="BP22" s="282">
        <f ca="1">BP46</f>
        <v>0</v>
      </c>
      <c r="BQ22" s="283">
        <f t="shared" ref="BQ22:BQ46" ca="1" si="16">BO22+BP22</f>
        <v>0.69</v>
      </c>
      <c r="BR22" s="284">
        <f ca="1">BR46</f>
        <v>0.43874999999999997</v>
      </c>
      <c r="BS22" s="282">
        <f ca="1">BS46</f>
        <v>0</v>
      </c>
      <c r="BT22" s="283">
        <f t="shared" ref="BT22:BT46" ca="1" si="17">BR22+BS22</f>
        <v>0.43874999999999997</v>
      </c>
      <c r="BU22" s="284">
        <f t="shared" ref="BU22:BU46" ca="1" si="18">BL22+BO22+BR22</f>
        <v>1.1287499999999999</v>
      </c>
      <c r="BV22" s="283">
        <f t="shared" ref="BV22:BV46" ca="1" si="19">BM22+BP22+BS22</f>
        <v>0</v>
      </c>
      <c r="BW22" s="285">
        <f t="shared" ref="BW22:BW46" ca="1" si="20">BU22+BV22</f>
        <v>1.1287499999999999</v>
      </c>
      <c r="BX22" s="286"/>
      <c r="BY22" s="287">
        <v>3.1086244689504383E-15</v>
      </c>
      <c r="BZ22" s="288">
        <v>0</v>
      </c>
      <c r="CA22" s="289">
        <v>2.2204460492503131E-16</v>
      </c>
      <c r="CB22" s="290">
        <f ca="1">CB46</f>
        <v>4.8849813083506888E-15</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4"/>
        <v/>
      </c>
      <c r="E23" s="683"/>
      <c r="F23" s="683"/>
      <c r="G23" s="684"/>
      <c r="H23" s="33"/>
      <c r="I23" s="246" t="s">
        <v>140</v>
      </c>
      <c r="J23" s="250" t="str">
        <f t="shared" ca="1" si="0"/>
        <v>MIV-Anteil bei den Beschäftigten</v>
      </c>
      <c r="K23" s="687" t="str">
        <f t="shared" ca="1" si="1"/>
        <v>0,3 - 0,9 MIV-Nutzer / Beschäftigter</v>
      </c>
      <c r="L23" s="687"/>
      <c r="M23" s="251">
        <v>0.3</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3.1086244689504383E-15</v>
      </c>
      <c r="BZ23" s="301">
        <f ca="1">IF((-BB23+BC23+BZ22)&gt;=0,-BB23+BC23+BZ22,0)</f>
        <v>0</v>
      </c>
      <c r="CA23" s="301">
        <f ca="1">IF((-BE23+BF23+CA22)&gt;=0,-BE23+BF23+CA22,0)</f>
        <v>2.2204460492503131E-16</v>
      </c>
      <c r="CB23" s="302">
        <f t="shared" ref="CB23:CB46" ca="1" si="58">SUM(BY23:CA23)</f>
        <v>3.3306690738754696E-15</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683" t="str">
        <f t="shared" ca="1" si="4"/>
        <v/>
      </c>
      <c r="E24" s="683"/>
      <c r="F24" s="683"/>
      <c r="G24" s="684"/>
      <c r="H24" s="33"/>
      <c r="I24" s="246" t="s">
        <v>141</v>
      </c>
      <c r="J24" s="250" t="str">
        <f t="shared" ca="1" si="0"/>
        <v>MIV-Anteil  bei den Kunden</v>
      </c>
      <c r="K24" s="687" t="str">
        <f t="shared" ca="1" si="1"/>
        <v>0,3 - 0,9 MIV-Nutzer / Kunde</v>
      </c>
      <c r="L24" s="687"/>
      <c r="M24" s="251">
        <v>0.3</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3.1086244689504383E-15</v>
      </c>
      <c r="BZ24" s="301">
        <f t="shared" ref="BZ24:BZ46" ca="1" si="60">IF((-BB24+BC24+BZ23)&gt;=0,-BB24+BC24+BZ23,0)</f>
        <v>0</v>
      </c>
      <c r="CA24" s="301">
        <f t="shared" ref="CA24:CA46" ca="1" si="61">IF((-BE24+BF24+CA23)&gt;=0,-BE24+BF24+CA23,0)</f>
        <v>2.2204460492503131E-16</v>
      </c>
      <c r="CB24" s="312">
        <f t="shared" ca="1" si="58"/>
        <v>3.3306690738754696E-15</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4"/>
        <v/>
      </c>
      <c r="E25" s="683"/>
      <c r="F25" s="683"/>
      <c r="G25" s="684"/>
      <c r="H25" s="33"/>
      <c r="I25" s="246" t="s">
        <v>142</v>
      </c>
      <c r="J25" s="250" t="str">
        <f t="shared" ca="1" si="0"/>
        <v>Kfz-Besetzungsgrad Beschäftigte</v>
      </c>
      <c r="K25" s="687" t="str">
        <f t="shared" ca="1" si="1"/>
        <v>1,1 Beschäftigte(r) / Kfz</v>
      </c>
      <c r="L25" s="687"/>
      <c r="M25" s="251">
        <v>1.1000000000000001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3.1086244689504383E-15</v>
      </c>
      <c r="BZ25" s="301">
        <f t="shared" ca="1" si="60"/>
        <v>0</v>
      </c>
      <c r="CA25" s="301">
        <f t="shared" ca="1" si="61"/>
        <v>2.2204460492503131E-16</v>
      </c>
      <c r="CB25" s="312">
        <f t="shared" ca="1" si="58"/>
        <v>3.3306690738754696E-15</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683" t="str">
        <f t="shared" ca="1" si="4"/>
        <v/>
      </c>
      <c r="E26" s="683"/>
      <c r="F26" s="683"/>
      <c r="G26" s="684"/>
      <c r="H26" s="33"/>
      <c r="I26" s="246" t="s">
        <v>143</v>
      </c>
      <c r="J26" s="250" t="str">
        <f t="shared" ca="1" si="0"/>
        <v>Kfz-Besetzungsgrad Kunden</v>
      </c>
      <c r="K26" s="687" t="str">
        <f t="shared" ca="1" si="1"/>
        <v>1,1 Kunde(n) / Kfz</v>
      </c>
      <c r="L26" s="687"/>
      <c r="M26" s="251">
        <v>1.1000000000000001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3.1086244689504383E-15</v>
      </c>
      <c r="BZ26" s="301">
        <f t="shared" ca="1" si="60"/>
        <v>0</v>
      </c>
      <c r="CA26" s="301">
        <f t="shared" ca="1" si="61"/>
        <v>2.2204460492503131E-16</v>
      </c>
      <c r="CB26" s="312">
        <f t="shared" ca="1" si="58"/>
        <v>3.3306690738754696E-15</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0.2</v>
      </c>
      <c r="C27" s="69">
        <f t="shared" ca="1" si="3"/>
        <v>0.5</v>
      </c>
      <c r="D27" s="683" t="str">
        <f t="shared" ca="1" si="4"/>
        <v/>
      </c>
      <c r="E27" s="683"/>
      <c r="F27" s="683"/>
      <c r="G27" s="684"/>
      <c r="H27" s="33"/>
      <c r="I27" s="258" t="s">
        <v>144</v>
      </c>
      <c r="J27" s="265" t="str">
        <f t="shared" ca="1" si="0"/>
        <v>Wirtschaftsfahrten je Beschäftigtem</v>
      </c>
      <c r="K27" s="733" t="str">
        <f t="shared" ca="1" si="1"/>
        <v>0,2 - 0,5 Fahrten / Beschäftigter</v>
      </c>
      <c r="L27" s="733"/>
      <c r="M27" s="266">
        <v>0.3</v>
      </c>
      <c r="N27" s="23"/>
      <c r="O27" s="358" t="s">
        <v>28</v>
      </c>
      <c r="P27" s="247"/>
      <c r="Q27" s="362">
        <f t="shared" ca="1" si="21"/>
        <v>0</v>
      </c>
      <c r="R27" s="248">
        <f t="shared" ca="1" si="22"/>
        <v>1.5487499999999998</v>
      </c>
      <c r="S27" s="363">
        <f t="shared" ca="1" si="23"/>
        <v>1.5487499999999998</v>
      </c>
      <c r="T27" s="247"/>
      <c r="U27" s="362">
        <f t="shared" ca="1" si="24"/>
        <v>0</v>
      </c>
      <c r="V27" s="248">
        <f t="shared" ca="1" si="25"/>
        <v>1.5487499999999998</v>
      </c>
      <c r="W27" s="363">
        <f t="shared" ca="1" si="26"/>
        <v>1.5487499999999998</v>
      </c>
      <c r="X27" s="247"/>
      <c r="Y27" s="362">
        <f t="shared" ca="1" si="27"/>
        <v>0</v>
      </c>
      <c r="Z27" s="248">
        <f t="shared" ca="1" si="28"/>
        <v>1.5487499999999998</v>
      </c>
      <c r="AA27" s="363">
        <f t="shared" ca="1" si="29"/>
        <v>1.5487499999999998</v>
      </c>
      <c r="AB27" s="58" t="str">
        <f t="shared" ca="1" si="30"/>
        <v/>
      </c>
      <c r="AC27" s="495" t="s">
        <v>28</v>
      </c>
      <c r="AD27" s="275"/>
      <c r="AE27" s="303">
        <f t="shared" ca="1" si="31"/>
        <v>0</v>
      </c>
      <c r="AF27" s="304">
        <f t="shared" ca="1" si="32"/>
        <v>0</v>
      </c>
      <c r="AG27" s="305">
        <f t="shared" ca="1" si="33"/>
        <v>0</v>
      </c>
      <c r="AH27" s="304">
        <f t="shared" ca="1" si="34"/>
        <v>1</v>
      </c>
      <c r="AI27" s="305">
        <f t="shared" ca="1" si="35"/>
        <v>0</v>
      </c>
      <c r="AJ27" s="306">
        <f t="shared" ca="1" si="36"/>
        <v>0.25</v>
      </c>
      <c r="AK27" s="280"/>
      <c r="AL27" s="307">
        <f t="shared" ca="1" si="37"/>
        <v>0</v>
      </c>
      <c r="AM27" s="308">
        <f t="shared" ca="1" si="38"/>
        <v>0</v>
      </c>
      <c r="AN27" s="309">
        <f t="shared" ca="1" si="6"/>
        <v>0</v>
      </c>
      <c r="AO27" s="310">
        <f t="shared" ca="1" si="39"/>
        <v>0</v>
      </c>
      <c r="AP27" s="308">
        <f t="shared" ca="1" si="40"/>
        <v>1.38</v>
      </c>
      <c r="AQ27" s="309">
        <f t="shared" ca="1" si="7"/>
        <v>1.38</v>
      </c>
      <c r="AR27" s="310">
        <f t="shared" ca="1" si="41"/>
        <v>0</v>
      </c>
      <c r="AS27" s="308">
        <f t="shared" ca="1" si="42"/>
        <v>0.16875000000000001</v>
      </c>
      <c r="AT27" s="309">
        <f t="shared" ca="1" si="8"/>
        <v>0.16875000000000001</v>
      </c>
      <c r="AU27" s="310">
        <f t="shared" ca="1" si="9"/>
        <v>0</v>
      </c>
      <c r="AV27" s="309">
        <f t="shared" ca="1" si="10"/>
        <v>1.5487499999999998</v>
      </c>
      <c r="AW27" s="311">
        <f t="shared" ca="1" si="11"/>
        <v>1.5487499999999998</v>
      </c>
      <c r="AX27" s="286"/>
      <c r="AY27" s="307">
        <f t="shared" ca="1" si="43"/>
        <v>0</v>
      </c>
      <c r="AZ27" s="308">
        <f t="shared" ca="1" si="44"/>
        <v>0</v>
      </c>
      <c r="BA27" s="309">
        <f t="shared" ca="1" si="45"/>
        <v>0</v>
      </c>
      <c r="BB27" s="310">
        <f t="shared" ca="1" si="46"/>
        <v>0</v>
      </c>
      <c r="BC27" s="308">
        <f t="shared" ca="1" si="47"/>
        <v>1.38</v>
      </c>
      <c r="BD27" s="309">
        <f t="shared" ca="1" si="12"/>
        <v>1.38</v>
      </c>
      <c r="BE27" s="310">
        <f t="shared" ca="1" si="48"/>
        <v>0</v>
      </c>
      <c r="BF27" s="308">
        <f t="shared" ca="1" si="49"/>
        <v>0.16875000000000001</v>
      </c>
      <c r="BG27" s="309">
        <f t="shared" ca="1" si="13"/>
        <v>0.16875000000000001</v>
      </c>
      <c r="BH27" s="310">
        <f t="shared" ca="1" si="50"/>
        <v>0</v>
      </c>
      <c r="BI27" s="309">
        <f t="shared" ca="1" si="51"/>
        <v>1.5487499999999998</v>
      </c>
      <c r="BJ27" s="311">
        <f t="shared" ca="1" si="14"/>
        <v>1.5487499999999998</v>
      </c>
      <c r="BK27" s="286"/>
      <c r="BL27" s="307">
        <f t="shared" ca="1" si="52"/>
        <v>0</v>
      </c>
      <c r="BM27" s="308">
        <f t="shared" ca="1" si="53"/>
        <v>0</v>
      </c>
      <c r="BN27" s="309">
        <f t="shared" ca="1" si="15"/>
        <v>0</v>
      </c>
      <c r="BO27" s="310">
        <f t="shared" ca="1" si="54"/>
        <v>0</v>
      </c>
      <c r="BP27" s="308">
        <f t="shared" ca="1" si="55"/>
        <v>1.38</v>
      </c>
      <c r="BQ27" s="309">
        <f t="shared" ca="1" si="16"/>
        <v>1.38</v>
      </c>
      <c r="BR27" s="310">
        <f t="shared" ca="1" si="56"/>
        <v>0</v>
      </c>
      <c r="BS27" s="308">
        <f t="shared" ca="1" si="57"/>
        <v>0.16875000000000001</v>
      </c>
      <c r="BT27" s="309">
        <f t="shared" ca="1" si="17"/>
        <v>0.16875000000000001</v>
      </c>
      <c r="BU27" s="310">
        <f t="shared" ca="1" si="18"/>
        <v>0</v>
      </c>
      <c r="BV27" s="309">
        <f t="shared" ca="1" si="19"/>
        <v>1.5487499999999998</v>
      </c>
      <c r="BW27" s="311">
        <f t="shared" ca="1" si="20"/>
        <v>1.5487499999999998</v>
      </c>
      <c r="BX27" s="286"/>
      <c r="BY27" s="300">
        <f t="shared" ca="1" si="59"/>
        <v>3.1086244689504383E-15</v>
      </c>
      <c r="BZ27" s="301">
        <f t="shared" ca="1" si="60"/>
        <v>1.38</v>
      </c>
      <c r="CA27" s="301">
        <f t="shared" ca="1" si="61"/>
        <v>0.16875000000000023</v>
      </c>
      <c r="CB27" s="312">
        <f t="shared" ca="1" si="58"/>
        <v>1.5487500000000032</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679" t="s">
        <v>145</v>
      </c>
      <c r="E28" s="679"/>
      <c r="F28" s="679"/>
      <c r="G28" s="682"/>
      <c r="H28" s="33"/>
      <c r="I28" s="689" t="s">
        <v>15</v>
      </c>
      <c r="J28" s="689"/>
      <c r="K28" s="689"/>
      <c r="L28" s="689"/>
      <c r="M28" s="689"/>
      <c r="N28" s="23"/>
      <c r="O28" s="358" t="s">
        <v>29</v>
      </c>
      <c r="P28" s="247"/>
      <c r="Q28" s="362">
        <f t="shared" ca="1" si="21"/>
        <v>2.0549999999999997</v>
      </c>
      <c r="R28" s="248">
        <f t="shared" ca="1" si="22"/>
        <v>10.327499999999999</v>
      </c>
      <c r="S28" s="363">
        <f t="shared" ca="1" si="23"/>
        <v>12.382499999999999</v>
      </c>
      <c r="T28" s="247"/>
      <c r="U28" s="362">
        <f t="shared" ca="1" si="24"/>
        <v>2.0549999999999997</v>
      </c>
      <c r="V28" s="248">
        <f t="shared" ca="1" si="25"/>
        <v>10.327499999999999</v>
      </c>
      <c r="W28" s="363">
        <f t="shared" ca="1" si="26"/>
        <v>12.382499999999999</v>
      </c>
      <c r="X28" s="247"/>
      <c r="Y28" s="362">
        <f t="shared" ca="1" si="27"/>
        <v>2.0549999999999997</v>
      </c>
      <c r="Z28" s="248">
        <f t="shared" ca="1" si="28"/>
        <v>10.327499999999999</v>
      </c>
      <c r="AA28" s="363">
        <f t="shared" ca="1" si="29"/>
        <v>12.382499999999999</v>
      </c>
      <c r="AB28" s="58" t="str">
        <f t="shared" ca="1" si="30"/>
        <v/>
      </c>
      <c r="AC28" s="495" t="s">
        <v>29</v>
      </c>
      <c r="AD28" s="275"/>
      <c r="AE28" s="303">
        <f t="shared" ca="1" si="31"/>
        <v>0</v>
      </c>
      <c r="AF28" s="304">
        <f t="shared" ca="1" si="32"/>
        <v>0</v>
      </c>
      <c r="AG28" s="305">
        <f t="shared" ca="1" si="33"/>
        <v>-1</v>
      </c>
      <c r="AH28" s="304">
        <f t="shared" ca="1" si="34"/>
        <v>6.75</v>
      </c>
      <c r="AI28" s="305">
        <f t="shared" ca="1" si="35"/>
        <v>-1</v>
      </c>
      <c r="AJ28" s="306">
        <f t="shared" ca="1" si="36"/>
        <v>1.5</v>
      </c>
      <c r="AK28" s="280"/>
      <c r="AL28" s="307">
        <f t="shared" ca="1" si="37"/>
        <v>0</v>
      </c>
      <c r="AM28" s="308">
        <f t="shared" ca="1" si="38"/>
        <v>0</v>
      </c>
      <c r="AN28" s="309">
        <f t="shared" ca="1" si="6"/>
        <v>0</v>
      </c>
      <c r="AO28" s="310">
        <f t="shared" ca="1" si="39"/>
        <v>1.38</v>
      </c>
      <c r="AP28" s="308">
        <f t="shared" ca="1" si="40"/>
        <v>9.3149999999999995</v>
      </c>
      <c r="AQ28" s="309">
        <f t="shared" ca="1" si="7"/>
        <v>10.695</v>
      </c>
      <c r="AR28" s="310">
        <f t="shared" ca="1" si="41"/>
        <v>0.67500000000000004</v>
      </c>
      <c r="AS28" s="308">
        <f t="shared" ca="1" si="42"/>
        <v>1.0125</v>
      </c>
      <c r="AT28" s="309">
        <f t="shared" ca="1" si="8"/>
        <v>1.6875</v>
      </c>
      <c r="AU28" s="310">
        <f t="shared" ca="1" si="9"/>
        <v>2.0549999999999997</v>
      </c>
      <c r="AV28" s="309">
        <f t="shared" ca="1" si="10"/>
        <v>10.327499999999999</v>
      </c>
      <c r="AW28" s="311">
        <f t="shared" ca="1" si="11"/>
        <v>12.382499999999999</v>
      </c>
      <c r="AX28" s="286"/>
      <c r="AY28" s="307">
        <f t="shared" ca="1" si="43"/>
        <v>0</v>
      </c>
      <c r="AZ28" s="308">
        <f t="shared" ca="1" si="44"/>
        <v>0</v>
      </c>
      <c r="BA28" s="309">
        <f t="shared" ca="1" si="45"/>
        <v>0</v>
      </c>
      <c r="BB28" s="310">
        <f t="shared" ca="1" si="46"/>
        <v>1.38</v>
      </c>
      <c r="BC28" s="308">
        <f t="shared" ca="1" si="47"/>
        <v>9.3149999999999995</v>
      </c>
      <c r="BD28" s="309">
        <f t="shared" ca="1" si="12"/>
        <v>10.695</v>
      </c>
      <c r="BE28" s="310">
        <f t="shared" ca="1" si="48"/>
        <v>0.67500000000000004</v>
      </c>
      <c r="BF28" s="308">
        <f t="shared" ca="1" si="49"/>
        <v>1.0125</v>
      </c>
      <c r="BG28" s="309">
        <f t="shared" ca="1" si="13"/>
        <v>1.6875</v>
      </c>
      <c r="BH28" s="310">
        <f t="shared" ca="1" si="50"/>
        <v>2.0549999999999997</v>
      </c>
      <c r="BI28" s="309">
        <f t="shared" ca="1" si="51"/>
        <v>10.327499999999999</v>
      </c>
      <c r="BJ28" s="311">
        <f t="shared" ca="1" si="14"/>
        <v>12.382499999999999</v>
      </c>
      <c r="BK28" s="286"/>
      <c r="BL28" s="307">
        <f t="shared" ca="1" si="52"/>
        <v>0</v>
      </c>
      <c r="BM28" s="308">
        <f t="shared" ca="1" si="53"/>
        <v>0</v>
      </c>
      <c r="BN28" s="309">
        <f t="shared" ca="1" si="15"/>
        <v>0</v>
      </c>
      <c r="BO28" s="310">
        <f t="shared" ca="1" si="54"/>
        <v>1.38</v>
      </c>
      <c r="BP28" s="308">
        <f t="shared" ca="1" si="55"/>
        <v>9.3149999999999995</v>
      </c>
      <c r="BQ28" s="309">
        <f t="shared" ca="1" si="16"/>
        <v>10.695</v>
      </c>
      <c r="BR28" s="310">
        <f t="shared" ca="1" si="56"/>
        <v>0.67500000000000004</v>
      </c>
      <c r="BS28" s="308">
        <f t="shared" ca="1" si="57"/>
        <v>1.0125</v>
      </c>
      <c r="BT28" s="309">
        <f t="shared" ca="1" si="17"/>
        <v>1.6875</v>
      </c>
      <c r="BU28" s="310">
        <f t="shared" ca="1" si="18"/>
        <v>2.0549999999999997</v>
      </c>
      <c r="BV28" s="309">
        <f t="shared" ca="1" si="19"/>
        <v>10.327499999999999</v>
      </c>
      <c r="BW28" s="311">
        <f t="shared" ca="1" si="20"/>
        <v>12.382499999999999</v>
      </c>
      <c r="BX28" s="286"/>
      <c r="BY28" s="300">
        <f t="shared" ca="1" si="59"/>
        <v>3.1086244689504383E-15</v>
      </c>
      <c r="BZ28" s="301">
        <f t="shared" ca="1" si="60"/>
        <v>9.3149999999999995</v>
      </c>
      <c r="CA28" s="301">
        <f t="shared" ca="1" si="61"/>
        <v>0.50625000000000009</v>
      </c>
      <c r="CB28" s="312">
        <f t="shared" ca="1" si="58"/>
        <v>9.8212500000000027</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276</v>
      </c>
      <c r="N29" s="24"/>
      <c r="O29" s="358" t="s">
        <v>30</v>
      </c>
      <c r="P29" s="247"/>
      <c r="Q29" s="362">
        <f t="shared" ca="1" si="21"/>
        <v>3.9412499999999997</v>
      </c>
      <c r="R29" s="248">
        <f t="shared" ca="1" si="22"/>
        <v>32.661000000000001</v>
      </c>
      <c r="S29" s="363">
        <f t="shared" ca="1" si="23"/>
        <v>36.602249999999998</v>
      </c>
      <c r="T29" s="247"/>
      <c r="U29" s="362">
        <f t="shared" ca="1" si="24"/>
        <v>3.9412499999999997</v>
      </c>
      <c r="V29" s="248">
        <f t="shared" ca="1" si="25"/>
        <v>32.661000000000001</v>
      </c>
      <c r="W29" s="363">
        <f t="shared" ca="1" si="26"/>
        <v>36.602249999999998</v>
      </c>
      <c r="X29" s="247"/>
      <c r="Y29" s="362">
        <f t="shared" ca="1" si="27"/>
        <v>3.9412499999999997</v>
      </c>
      <c r="Z29" s="248">
        <f t="shared" ca="1" si="28"/>
        <v>32.661000000000001</v>
      </c>
      <c r="AA29" s="363">
        <f t="shared" ca="1" si="29"/>
        <v>36.602249999999998</v>
      </c>
      <c r="AB29" s="58" t="str">
        <f t="shared" ca="1" si="30"/>
        <v/>
      </c>
      <c r="AC29" s="495" t="s">
        <v>30</v>
      </c>
      <c r="AD29" s="275"/>
      <c r="AE29" s="303">
        <f t="shared" ca="1" si="31"/>
        <v>0</v>
      </c>
      <c r="AF29" s="304">
        <f t="shared" ca="1" si="32"/>
        <v>0</v>
      </c>
      <c r="AG29" s="305">
        <f t="shared" ca="1" si="33"/>
        <v>-2</v>
      </c>
      <c r="AH29" s="304">
        <f t="shared" ca="1" si="34"/>
        <v>22.2</v>
      </c>
      <c r="AI29" s="305">
        <f t="shared" ca="1" si="35"/>
        <v>-1.75</v>
      </c>
      <c r="AJ29" s="306">
        <f t="shared" ca="1" si="36"/>
        <v>3</v>
      </c>
      <c r="AK29" s="280"/>
      <c r="AL29" s="307">
        <f t="shared" ca="1" si="37"/>
        <v>0</v>
      </c>
      <c r="AM29" s="308">
        <f t="shared" ca="1" si="38"/>
        <v>0</v>
      </c>
      <c r="AN29" s="309">
        <f t="shared" ca="1" si="6"/>
        <v>0</v>
      </c>
      <c r="AO29" s="310">
        <f t="shared" ca="1" si="39"/>
        <v>2.76</v>
      </c>
      <c r="AP29" s="308">
        <f t="shared" ca="1" si="40"/>
        <v>30.635999999999999</v>
      </c>
      <c r="AQ29" s="309">
        <f t="shared" ca="1" si="7"/>
        <v>33.396000000000001</v>
      </c>
      <c r="AR29" s="310">
        <f t="shared" ca="1" si="41"/>
        <v>1.1812499999999999</v>
      </c>
      <c r="AS29" s="308">
        <f t="shared" ca="1" si="42"/>
        <v>2.0249999999999999</v>
      </c>
      <c r="AT29" s="309">
        <f t="shared" ca="1" si="8"/>
        <v>3.2062499999999998</v>
      </c>
      <c r="AU29" s="310">
        <f t="shared" ca="1" si="9"/>
        <v>3.9412499999999997</v>
      </c>
      <c r="AV29" s="309">
        <f t="shared" ca="1" si="10"/>
        <v>32.661000000000001</v>
      </c>
      <c r="AW29" s="311">
        <f t="shared" ca="1" si="11"/>
        <v>36.602249999999998</v>
      </c>
      <c r="AX29" s="286"/>
      <c r="AY29" s="307">
        <f t="shared" ca="1" si="43"/>
        <v>0</v>
      </c>
      <c r="AZ29" s="308">
        <f t="shared" ca="1" si="44"/>
        <v>0</v>
      </c>
      <c r="BA29" s="309">
        <f t="shared" ca="1" si="45"/>
        <v>0</v>
      </c>
      <c r="BB29" s="310">
        <f t="shared" ca="1" si="46"/>
        <v>2.76</v>
      </c>
      <c r="BC29" s="308">
        <f t="shared" ca="1" si="47"/>
        <v>30.635999999999999</v>
      </c>
      <c r="BD29" s="309">
        <f t="shared" ca="1" si="12"/>
        <v>33.396000000000001</v>
      </c>
      <c r="BE29" s="310">
        <f t="shared" ca="1" si="48"/>
        <v>1.1812499999999999</v>
      </c>
      <c r="BF29" s="308">
        <f t="shared" ca="1" si="49"/>
        <v>2.0249999999999999</v>
      </c>
      <c r="BG29" s="309">
        <f t="shared" ca="1" si="13"/>
        <v>3.2062499999999998</v>
      </c>
      <c r="BH29" s="310">
        <f t="shared" ca="1" si="50"/>
        <v>3.9412499999999997</v>
      </c>
      <c r="BI29" s="309">
        <f t="shared" ca="1" si="51"/>
        <v>32.661000000000001</v>
      </c>
      <c r="BJ29" s="311">
        <f t="shared" ca="1" si="14"/>
        <v>36.602249999999998</v>
      </c>
      <c r="BK29" s="286"/>
      <c r="BL29" s="307">
        <f t="shared" ca="1" si="52"/>
        <v>0</v>
      </c>
      <c r="BM29" s="308">
        <f t="shared" ca="1" si="53"/>
        <v>0</v>
      </c>
      <c r="BN29" s="309">
        <f t="shared" ca="1" si="15"/>
        <v>0</v>
      </c>
      <c r="BO29" s="310">
        <f t="shared" ca="1" si="54"/>
        <v>2.76</v>
      </c>
      <c r="BP29" s="308">
        <f t="shared" ca="1" si="55"/>
        <v>30.635999999999999</v>
      </c>
      <c r="BQ29" s="309">
        <f t="shared" ca="1" si="16"/>
        <v>33.396000000000001</v>
      </c>
      <c r="BR29" s="310">
        <f t="shared" ca="1" si="56"/>
        <v>1.1812499999999999</v>
      </c>
      <c r="BS29" s="308">
        <f t="shared" ca="1" si="57"/>
        <v>2.0249999999999999</v>
      </c>
      <c r="BT29" s="309">
        <f t="shared" ca="1" si="17"/>
        <v>3.2062499999999998</v>
      </c>
      <c r="BU29" s="310">
        <f t="shared" ca="1" si="18"/>
        <v>3.9412499999999997</v>
      </c>
      <c r="BV29" s="309">
        <f t="shared" ca="1" si="19"/>
        <v>32.661000000000001</v>
      </c>
      <c r="BW29" s="311">
        <f t="shared" ca="1" si="20"/>
        <v>36.602249999999998</v>
      </c>
      <c r="BX29" s="286"/>
      <c r="BY29" s="300">
        <f t="shared" ca="1" si="59"/>
        <v>3.1086244689504383E-15</v>
      </c>
      <c r="BZ29" s="301">
        <f t="shared" ca="1" si="60"/>
        <v>37.190999999999995</v>
      </c>
      <c r="CA29" s="301">
        <f t="shared" ca="1" si="61"/>
        <v>1.35</v>
      </c>
      <c r="CB29" s="312">
        <f t="shared" ca="1" si="58"/>
        <v>38.540999999999997</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a/b*e*g/i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92</v>
      </c>
      <c r="N30" s="25"/>
      <c r="O30" s="358" t="s">
        <v>31</v>
      </c>
      <c r="P30" s="247"/>
      <c r="Q30" s="362">
        <f t="shared" ca="1" si="21"/>
        <v>9.4162499999999998</v>
      </c>
      <c r="R30" s="248">
        <f t="shared" ca="1" si="22"/>
        <v>46.247999999999998</v>
      </c>
      <c r="S30" s="363">
        <f t="shared" ca="1" si="23"/>
        <v>55.664249999999996</v>
      </c>
      <c r="T30" s="247"/>
      <c r="U30" s="362">
        <f t="shared" ca="1" si="24"/>
        <v>9.4162499999999998</v>
      </c>
      <c r="V30" s="248">
        <f t="shared" ca="1" si="25"/>
        <v>46.247999999999998</v>
      </c>
      <c r="W30" s="363">
        <f t="shared" ca="1" si="26"/>
        <v>55.664249999999996</v>
      </c>
      <c r="X30" s="247"/>
      <c r="Y30" s="362">
        <f t="shared" ca="1" si="27"/>
        <v>9.4162499999999998</v>
      </c>
      <c r="Z30" s="248">
        <f t="shared" ca="1" si="28"/>
        <v>46.247999999999998</v>
      </c>
      <c r="AA30" s="363">
        <f t="shared" ca="1" si="29"/>
        <v>55.664249999999996</v>
      </c>
      <c r="AB30" s="58" t="str">
        <f t="shared" ca="1" si="30"/>
        <v>morgendliche
Spitzenstunde</v>
      </c>
      <c r="AC30" s="495" t="s">
        <v>31</v>
      </c>
      <c r="AD30" s="275"/>
      <c r="AE30" s="303">
        <f t="shared" ca="1" si="31"/>
        <v>0</v>
      </c>
      <c r="AF30" s="304">
        <f t="shared" ca="1" si="32"/>
        <v>2.7</v>
      </c>
      <c r="AG30" s="305">
        <f t="shared" ca="1" si="33"/>
        <v>-4.5</v>
      </c>
      <c r="AH30" s="304">
        <f t="shared" ca="1" si="34"/>
        <v>28.7</v>
      </c>
      <c r="AI30" s="305">
        <f t="shared" ca="1" si="35"/>
        <v>-4.75</v>
      </c>
      <c r="AJ30" s="306">
        <f t="shared" ca="1" si="36"/>
        <v>8</v>
      </c>
      <c r="AK30" s="280"/>
      <c r="AL30" s="307">
        <f t="shared" ca="1" si="37"/>
        <v>0</v>
      </c>
      <c r="AM30" s="308">
        <f t="shared" ca="1" si="38"/>
        <v>1.242</v>
      </c>
      <c r="AN30" s="309">
        <f t="shared" ca="1" si="6"/>
        <v>1.242</v>
      </c>
      <c r="AO30" s="310">
        <f t="shared" ca="1" si="39"/>
        <v>6.21</v>
      </c>
      <c r="AP30" s="308">
        <f t="shared" ca="1" si="40"/>
        <v>39.606000000000002</v>
      </c>
      <c r="AQ30" s="309">
        <f t="shared" ca="1" si="7"/>
        <v>45.816000000000003</v>
      </c>
      <c r="AR30" s="310">
        <f t="shared" ca="1" si="41"/>
        <v>3.2062499999999998</v>
      </c>
      <c r="AS30" s="308">
        <f t="shared" ca="1" si="42"/>
        <v>5.4</v>
      </c>
      <c r="AT30" s="309">
        <f t="shared" ca="1" si="8"/>
        <v>8.6062499999999993</v>
      </c>
      <c r="AU30" s="310">
        <f t="shared" ca="1" si="9"/>
        <v>9.4162499999999998</v>
      </c>
      <c r="AV30" s="309">
        <f t="shared" ca="1" si="10"/>
        <v>46.247999999999998</v>
      </c>
      <c r="AW30" s="311">
        <f t="shared" ca="1" si="11"/>
        <v>55.664249999999996</v>
      </c>
      <c r="AX30" s="286"/>
      <c r="AY30" s="307">
        <f t="shared" ca="1" si="43"/>
        <v>0</v>
      </c>
      <c r="AZ30" s="308">
        <f t="shared" ca="1" si="44"/>
        <v>1.242</v>
      </c>
      <c r="BA30" s="309">
        <f t="shared" ca="1" si="45"/>
        <v>1.242</v>
      </c>
      <c r="BB30" s="310">
        <f t="shared" ca="1" si="46"/>
        <v>6.21</v>
      </c>
      <c r="BC30" s="308">
        <f t="shared" ca="1" si="47"/>
        <v>39.606000000000002</v>
      </c>
      <c r="BD30" s="309">
        <f t="shared" ca="1" si="12"/>
        <v>45.816000000000003</v>
      </c>
      <c r="BE30" s="310">
        <f t="shared" ca="1" si="48"/>
        <v>3.2062499999999998</v>
      </c>
      <c r="BF30" s="308">
        <f t="shared" ca="1" si="49"/>
        <v>5.4</v>
      </c>
      <c r="BG30" s="309">
        <f t="shared" ca="1" si="13"/>
        <v>8.6062499999999993</v>
      </c>
      <c r="BH30" s="310">
        <f t="shared" ca="1" si="50"/>
        <v>9.4162499999999998</v>
      </c>
      <c r="BI30" s="309">
        <f t="shared" ca="1" si="51"/>
        <v>46.247999999999998</v>
      </c>
      <c r="BJ30" s="311">
        <f t="shared" ca="1" si="14"/>
        <v>55.664249999999996</v>
      </c>
      <c r="BK30" s="286"/>
      <c r="BL30" s="307">
        <f t="shared" ca="1" si="52"/>
        <v>0</v>
      </c>
      <c r="BM30" s="308">
        <f t="shared" ca="1" si="53"/>
        <v>1.242</v>
      </c>
      <c r="BN30" s="309">
        <f t="shared" ca="1" si="15"/>
        <v>1.242</v>
      </c>
      <c r="BO30" s="310">
        <f t="shared" ca="1" si="54"/>
        <v>6.21</v>
      </c>
      <c r="BP30" s="308">
        <f t="shared" ca="1" si="55"/>
        <v>39.606000000000002</v>
      </c>
      <c r="BQ30" s="309">
        <f t="shared" ca="1" si="16"/>
        <v>45.816000000000003</v>
      </c>
      <c r="BR30" s="310">
        <f t="shared" ca="1" si="56"/>
        <v>3.2062499999999998</v>
      </c>
      <c r="BS30" s="308">
        <f t="shared" ca="1" si="57"/>
        <v>5.4</v>
      </c>
      <c r="BT30" s="309">
        <f t="shared" ca="1" si="17"/>
        <v>8.6062499999999993</v>
      </c>
      <c r="BU30" s="310">
        <f t="shared" ca="1" si="18"/>
        <v>9.4162499999999998</v>
      </c>
      <c r="BV30" s="309">
        <f t="shared" ca="1" si="19"/>
        <v>46.247999999999998</v>
      </c>
      <c r="BW30" s="311">
        <f t="shared" ca="1" si="20"/>
        <v>55.664249999999996</v>
      </c>
      <c r="BX30" s="286"/>
      <c r="BY30" s="300">
        <f t="shared" ca="1" si="59"/>
        <v>1.2420000000000031</v>
      </c>
      <c r="BZ30" s="301">
        <f t="shared" ca="1" si="60"/>
        <v>70.586999999999989</v>
      </c>
      <c r="CA30" s="301">
        <f t="shared" ca="1" si="61"/>
        <v>3.5437500000000006</v>
      </c>
      <c r="CB30" s="312">
        <f t="shared" ca="1" si="58"/>
        <v>75.372749999999996</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135</v>
      </c>
      <c r="N31" s="25"/>
      <c r="O31" s="358" t="s">
        <v>32</v>
      </c>
      <c r="P31" s="247"/>
      <c r="Q31" s="362">
        <f t="shared" ca="1" si="21"/>
        <v>13.2425</v>
      </c>
      <c r="R31" s="248">
        <f t="shared" ca="1" si="22"/>
        <v>21.417999999999999</v>
      </c>
      <c r="S31" s="363">
        <f t="shared" ca="1" si="23"/>
        <v>34.660499999999999</v>
      </c>
      <c r="T31" s="247"/>
      <c r="U31" s="362">
        <f t="shared" ca="1" si="24"/>
        <v>13.2425</v>
      </c>
      <c r="V31" s="248">
        <f t="shared" ca="1" si="25"/>
        <v>21.417999999999999</v>
      </c>
      <c r="W31" s="363">
        <f t="shared" ca="1" si="26"/>
        <v>34.660499999999999</v>
      </c>
      <c r="X31" s="247"/>
      <c r="Y31" s="362">
        <f t="shared" ca="1" si="27"/>
        <v>13.2425</v>
      </c>
      <c r="Z31" s="248">
        <f t="shared" ca="1" si="28"/>
        <v>21.417999999999999</v>
      </c>
      <c r="AA31" s="363">
        <f t="shared" ca="1" si="29"/>
        <v>34.660499999999999</v>
      </c>
      <c r="AB31" s="58" t="str">
        <f t="shared" ca="1" si="30"/>
        <v/>
      </c>
      <c r="AC31" s="495" t="s">
        <v>32</v>
      </c>
      <c r="AD31" s="275"/>
      <c r="AE31" s="303">
        <f t="shared" ca="1" si="31"/>
        <v>-3.5</v>
      </c>
      <c r="AF31" s="304">
        <f t="shared" ca="1" si="32"/>
        <v>5.05</v>
      </c>
      <c r="AG31" s="305">
        <f t="shared" ca="1" si="33"/>
        <v>-5.25</v>
      </c>
      <c r="AH31" s="304">
        <f t="shared" ca="1" si="34"/>
        <v>8.75</v>
      </c>
      <c r="AI31" s="305">
        <f t="shared" ca="1" si="35"/>
        <v>-6.5</v>
      </c>
      <c r="AJ31" s="306">
        <f t="shared" ca="1" si="36"/>
        <v>10.4</v>
      </c>
      <c r="AK31" s="280"/>
      <c r="AL31" s="307">
        <f t="shared" ca="1" si="37"/>
        <v>1.61</v>
      </c>
      <c r="AM31" s="308">
        <f t="shared" ca="1" si="38"/>
        <v>2.323</v>
      </c>
      <c r="AN31" s="309">
        <f t="shared" ca="1" si="6"/>
        <v>3.9329999999999998</v>
      </c>
      <c r="AO31" s="310">
        <f t="shared" ca="1" si="39"/>
        <v>7.2450000000000001</v>
      </c>
      <c r="AP31" s="308">
        <f t="shared" ca="1" si="40"/>
        <v>12.074999999999999</v>
      </c>
      <c r="AQ31" s="309">
        <f t="shared" ca="1" si="7"/>
        <v>19.32</v>
      </c>
      <c r="AR31" s="310">
        <f t="shared" ca="1" si="41"/>
        <v>4.3875000000000002</v>
      </c>
      <c r="AS31" s="308">
        <f t="shared" ca="1" si="42"/>
        <v>7.02</v>
      </c>
      <c r="AT31" s="309">
        <f t="shared" ca="1" si="8"/>
        <v>11.407499999999999</v>
      </c>
      <c r="AU31" s="310">
        <f t="shared" ca="1" si="9"/>
        <v>13.2425</v>
      </c>
      <c r="AV31" s="309">
        <f t="shared" ca="1" si="10"/>
        <v>21.417999999999999</v>
      </c>
      <c r="AW31" s="311">
        <f t="shared" ca="1" si="11"/>
        <v>34.660499999999999</v>
      </c>
      <c r="AX31" s="286"/>
      <c r="AY31" s="307">
        <f t="shared" ca="1" si="43"/>
        <v>1.61</v>
      </c>
      <c r="AZ31" s="308">
        <f t="shared" ca="1" si="44"/>
        <v>2.323</v>
      </c>
      <c r="BA31" s="309">
        <f t="shared" ca="1" si="45"/>
        <v>3.9329999999999998</v>
      </c>
      <c r="BB31" s="310">
        <f t="shared" ca="1" si="46"/>
        <v>7.2450000000000001</v>
      </c>
      <c r="BC31" s="308">
        <f t="shared" ca="1" si="47"/>
        <v>12.074999999999999</v>
      </c>
      <c r="BD31" s="309">
        <f t="shared" ca="1" si="12"/>
        <v>19.32</v>
      </c>
      <c r="BE31" s="310">
        <f t="shared" ca="1" si="48"/>
        <v>4.3875000000000002</v>
      </c>
      <c r="BF31" s="308">
        <f t="shared" ca="1" si="49"/>
        <v>7.02</v>
      </c>
      <c r="BG31" s="309">
        <f t="shared" ca="1" si="13"/>
        <v>11.407499999999999</v>
      </c>
      <c r="BH31" s="310">
        <f t="shared" ca="1" si="50"/>
        <v>13.2425</v>
      </c>
      <c r="BI31" s="309">
        <f t="shared" ca="1" si="51"/>
        <v>21.417999999999999</v>
      </c>
      <c r="BJ31" s="311">
        <f t="shared" ca="1" si="14"/>
        <v>34.660499999999999</v>
      </c>
      <c r="BK31" s="286"/>
      <c r="BL31" s="307">
        <f t="shared" ca="1" si="52"/>
        <v>1.61</v>
      </c>
      <c r="BM31" s="308">
        <f t="shared" ca="1" si="53"/>
        <v>2.323</v>
      </c>
      <c r="BN31" s="309">
        <f t="shared" ca="1" si="15"/>
        <v>3.9329999999999998</v>
      </c>
      <c r="BO31" s="310">
        <f t="shared" ca="1" si="54"/>
        <v>7.2450000000000001</v>
      </c>
      <c r="BP31" s="308">
        <f t="shared" ca="1" si="55"/>
        <v>12.074999999999999</v>
      </c>
      <c r="BQ31" s="309">
        <f t="shared" ca="1" si="16"/>
        <v>19.32</v>
      </c>
      <c r="BR31" s="310">
        <f t="shared" ca="1" si="56"/>
        <v>4.3875000000000002</v>
      </c>
      <c r="BS31" s="308">
        <f t="shared" ca="1" si="57"/>
        <v>7.02</v>
      </c>
      <c r="BT31" s="309">
        <f t="shared" ca="1" si="17"/>
        <v>11.407499999999999</v>
      </c>
      <c r="BU31" s="310">
        <f t="shared" ca="1" si="18"/>
        <v>13.2425</v>
      </c>
      <c r="BV31" s="309">
        <f t="shared" ca="1" si="19"/>
        <v>21.417999999999999</v>
      </c>
      <c r="BW31" s="311">
        <f t="shared" ca="1" si="20"/>
        <v>34.660499999999999</v>
      </c>
      <c r="BX31" s="286"/>
      <c r="BY31" s="300">
        <f t="shared" ca="1" si="59"/>
        <v>1.955000000000003</v>
      </c>
      <c r="BZ31" s="301">
        <f t="shared" ca="1" si="60"/>
        <v>75.416999999999987</v>
      </c>
      <c r="CA31" s="301">
        <f t="shared" ca="1" si="61"/>
        <v>6.1762499999999996</v>
      </c>
      <c r="CB31" s="312">
        <f t="shared" ca="1" si="58"/>
        <v>83.548249999999982</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503</v>
      </c>
      <c r="N32" s="25"/>
      <c r="O32" s="358" t="s">
        <v>33</v>
      </c>
      <c r="P32" s="247"/>
      <c r="Q32" s="362">
        <f t="shared" ca="1" si="21"/>
        <v>12.88275</v>
      </c>
      <c r="R32" s="248">
        <f t="shared" ca="1" si="22"/>
        <v>12.30025</v>
      </c>
      <c r="S32" s="363">
        <f t="shared" ca="1" si="23"/>
        <v>25.183</v>
      </c>
      <c r="T32" s="247"/>
      <c r="U32" s="362">
        <f t="shared" ca="1" si="24"/>
        <v>12.88275</v>
      </c>
      <c r="V32" s="248">
        <f t="shared" ca="1" si="25"/>
        <v>12.30025</v>
      </c>
      <c r="W32" s="363">
        <f t="shared" ca="1" si="26"/>
        <v>25.183</v>
      </c>
      <c r="X32" s="247"/>
      <c r="Y32" s="362">
        <f t="shared" ca="1" si="27"/>
        <v>12.88275</v>
      </c>
      <c r="Z32" s="248">
        <f t="shared" ca="1" si="28"/>
        <v>12.30025</v>
      </c>
      <c r="AA32" s="363">
        <f t="shared" ca="1" si="29"/>
        <v>25.183</v>
      </c>
      <c r="AB32" s="58" t="str">
        <f t="shared" ca="1" si="30"/>
        <v/>
      </c>
      <c r="AC32" s="495" t="s">
        <v>33</v>
      </c>
      <c r="AD32" s="275"/>
      <c r="AE32" s="303">
        <f t="shared" ca="1" si="31"/>
        <v>-5.4</v>
      </c>
      <c r="AF32" s="304">
        <f t="shared" ca="1" si="32"/>
        <v>8.65</v>
      </c>
      <c r="AG32" s="305">
        <f t="shared" ca="1" si="33"/>
        <v>-3.5</v>
      </c>
      <c r="AH32" s="304">
        <f t="shared" ca="1" si="34"/>
        <v>1.75</v>
      </c>
      <c r="AI32" s="305">
        <f t="shared" ca="1" si="35"/>
        <v>-8.25</v>
      </c>
      <c r="AJ32" s="306">
        <f t="shared" ca="1" si="36"/>
        <v>8.75</v>
      </c>
      <c r="AK32" s="280"/>
      <c r="AL32" s="307">
        <f t="shared" ca="1" si="37"/>
        <v>2.484</v>
      </c>
      <c r="AM32" s="308">
        <f t="shared" ca="1" si="38"/>
        <v>3.9790000000000005</v>
      </c>
      <c r="AN32" s="309">
        <f t="shared" ca="1" si="6"/>
        <v>6.463000000000001</v>
      </c>
      <c r="AO32" s="310">
        <f t="shared" ca="1" si="39"/>
        <v>4.83</v>
      </c>
      <c r="AP32" s="308">
        <f t="shared" ca="1" si="40"/>
        <v>2.415</v>
      </c>
      <c r="AQ32" s="309">
        <f t="shared" ca="1" si="7"/>
        <v>7.2450000000000001</v>
      </c>
      <c r="AR32" s="310">
        <f t="shared" ca="1" si="41"/>
        <v>5.5687499999999996</v>
      </c>
      <c r="AS32" s="308">
        <f t="shared" ca="1" si="42"/>
        <v>5.90625</v>
      </c>
      <c r="AT32" s="309">
        <f t="shared" ca="1" si="8"/>
        <v>11.475</v>
      </c>
      <c r="AU32" s="310">
        <f t="shared" ca="1" si="9"/>
        <v>12.88275</v>
      </c>
      <c r="AV32" s="309">
        <f t="shared" ca="1" si="10"/>
        <v>12.30025</v>
      </c>
      <c r="AW32" s="311">
        <f t="shared" ca="1" si="11"/>
        <v>25.183</v>
      </c>
      <c r="AX32" s="286"/>
      <c r="AY32" s="307">
        <f t="shared" ca="1" si="43"/>
        <v>2.484</v>
      </c>
      <c r="AZ32" s="308">
        <f t="shared" ca="1" si="44"/>
        <v>3.9790000000000005</v>
      </c>
      <c r="BA32" s="309">
        <f t="shared" ca="1" si="45"/>
        <v>6.463000000000001</v>
      </c>
      <c r="BB32" s="310">
        <f t="shared" ca="1" si="46"/>
        <v>4.83</v>
      </c>
      <c r="BC32" s="308">
        <f t="shared" ca="1" si="47"/>
        <v>2.415</v>
      </c>
      <c r="BD32" s="309">
        <f t="shared" ca="1" si="12"/>
        <v>7.2450000000000001</v>
      </c>
      <c r="BE32" s="310">
        <f t="shared" ca="1" si="48"/>
        <v>5.5687499999999996</v>
      </c>
      <c r="BF32" s="308">
        <f t="shared" ca="1" si="49"/>
        <v>5.90625</v>
      </c>
      <c r="BG32" s="309">
        <f t="shared" ca="1" si="13"/>
        <v>11.475</v>
      </c>
      <c r="BH32" s="310">
        <f t="shared" ca="1" si="50"/>
        <v>12.88275</v>
      </c>
      <c r="BI32" s="309">
        <f t="shared" ca="1" si="51"/>
        <v>12.30025</v>
      </c>
      <c r="BJ32" s="311">
        <f t="shared" ca="1" si="14"/>
        <v>25.183</v>
      </c>
      <c r="BK32" s="286"/>
      <c r="BL32" s="307">
        <f t="shared" ca="1" si="52"/>
        <v>2.484</v>
      </c>
      <c r="BM32" s="308">
        <f t="shared" ca="1" si="53"/>
        <v>3.9790000000000005</v>
      </c>
      <c r="BN32" s="309">
        <f t="shared" ca="1" si="15"/>
        <v>6.463000000000001</v>
      </c>
      <c r="BO32" s="310">
        <f t="shared" ca="1" si="54"/>
        <v>4.83</v>
      </c>
      <c r="BP32" s="308">
        <f t="shared" ca="1" si="55"/>
        <v>2.415</v>
      </c>
      <c r="BQ32" s="309">
        <f t="shared" ca="1" si="16"/>
        <v>7.2450000000000001</v>
      </c>
      <c r="BR32" s="310">
        <f t="shared" ca="1" si="56"/>
        <v>5.5687499999999996</v>
      </c>
      <c r="BS32" s="308">
        <f t="shared" ca="1" si="57"/>
        <v>5.90625</v>
      </c>
      <c r="BT32" s="309">
        <f t="shared" ca="1" si="17"/>
        <v>11.475</v>
      </c>
      <c r="BU32" s="310">
        <f t="shared" ca="1" si="18"/>
        <v>12.88275</v>
      </c>
      <c r="BV32" s="309">
        <f t="shared" ca="1" si="19"/>
        <v>12.30025</v>
      </c>
      <c r="BW32" s="311">
        <f t="shared" ca="1" si="20"/>
        <v>25.183</v>
      </c>
      <c r="BX32" s="286"/>
      <c r="BY32" s="300">
        <f t="shared" ca="1" si="59"/>
        <v>3.4500000000000037</v>
      </c>
      <c r="BZ32" s="301">
        <f t="shared" ca="1" si="60"/>
        <v>73.001999999999981</v>
      </c>
      <c r="CA32" s="301">
        <f t="shared" ca="1" si="61"/>
        <v>6.5137499999999999</v>
      </c>
      <c r="CB32" s="312">
        <f t="shared" ca="1" si="58"/>
        <v>82.965749999999986</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14.056000000000001</v>
      </c>
      <c r="R33" s="248">
        <f t="shared" ca="1" si="22"/>
        <v>12.32375</v>
      </c>
      <c r="S33" s="363">
        <f t="shared" ca="1" si="23"/>
        <v>26.379750000000001</v>
      </c>
      <c r="T33" s="247"/>
      <c r="U33" s="362">
        <f t="shared" ca="1" si="24"/>
        <v>14.056000000000001</v>
      </c>
      <c r="V33" s="248">
        <f t="shared" ca="1" si="25"/>
        <v>12.32375</v>
      </c>
      <c r="W33" s="363">
        <f t="shared" ca="1" si="26"/>
        <v>26.379750000000001</v>
      </c>
      <c r="X33" s="247"/>
      <c r="Y33" s="362">
        <f t="shared" ca="1" si="27"/>
        <v>14.056000000000001</v>
      </c>
      <c r="Z33" s="248">
        <f t="shared" ca="1" si="28"/>
        <v>12.32375</v>
      </c>
      <c r="AA33" s="363">
        <f t="shared" ca="1" si="29"/>
        <v>26.379750000000001</v>
      </c>
      <c r="AB33" s="58" t="str">
        <f t="shared" ca="1" si="30"/>
        <v/>
      </c>
      <c r="AC33" s="495" t="s">
        <v>34</v>
      </c>
      <c r="AD33" s="275"/>
      <c r="AE33" s="303">
        <f t="shared" ca="1" si="31"/>
        <v>-7.6</v>
      </c>
      <c r="AF33" s="304">
        <f t="shared" ca="1" si="32"/>
        <v>8.75</v>
      </c>
      <c r="AG33" s="305">
        <f t="shared" ca="1" si="33"/>
        <v>-3.25</v>
      </c>
      <c r="AH33" s="304">
        <f t="shared" ca="1" si="34"/>
        <v>1</v>
      </c>
      <c r="AI33" s="305">
        <f t="shared" ca="1" si="35"/>
        <v>-9</v>
      </c>
      <c r="AJ33" s="306">
        <f t="shared" ca="1" si="36"/>
        <v>10.25</v>
      </c>
      <c r="AK33" s="280"/>
      <c r="AL33" s="307">
        <f t="shared" ca="1" si="37"/>
        <v>3.4959999999999996</v>
      </c>
      <c r="AM33" s="308">
        <f t="shared" ca="1" si="38"/>
        <v>4.0250000000000004</v>
      </c>
      <c r="AN33" s="309">
        <f t="shared" ca="1" si="6"/>
        <v>7.5209999999999999</v>
      </c>
      <c r="AO33" s="310">
        <f t="shared" ca="1" si="39"/>
        <v>4.4850000000000003</v>
      </c>
      <c r="AP33" s="308">
        <f t="shared" ca="1" si="40"/>
        <v>1.38</v>
      </c>
      <c r="AQ33" s="309">
        <f t="shared" ca="1" si="7"/>
        <v>5.8650000000000002</v>
      </c>
      <c r="AR33" s="310">
        <f t="shared" ca="1" si="41"/>
        <v>6.0750000000000002</v>
      </c>
      <c r="AS33" s="308">
        <f t="shared" ca="1" si="42"/>
        <v>6.9187500000000002</v>
      </c>
      <c r="AT33" s="309">
        <f t="shared" ca="1" si="8"/>
        <v>12.99375</v>
      </c>
      <c r="AU33" s="310">
        <f t="shared" ca="1" si="9"/>
        <v>14.056000000000001</v>
      </c>
      <c r="AV33" s="309">
        <f t="shared" ca="1" si="10"/>
        <v>12.32375</v>
      </c>
      <c r="AW33" s="311">
        <f t="shared" ca="1" si="11"/>
        <v>26.379750000000001</v>
      </c>
      <c r="AX33" s="286"/>
      <c r="AY33" s="307">
        <f t="shared" ca="1" si="43"/>
        <v>3.4959999999999996</v>
      </c>
      <c r="AZ33" s="308">
        <f t="shared" ca="1" si="44"/>
        <v>4.0250000000000004</v>
      </c>
      <c r="BA33" s="309">
        <f t="shared" ca="1" si="45"/>
        <v>7.5209999999999999</v>
      </c>
      <c r="BB33" s="310">
        <f t="shared" ca="1" si="46"/>
        <v>4.4850000000000003</v>
      </c>
      <c r="BC33" s="308">
        <f t="shared" ca="1" si="47"/>
        <v>1.38</v>
      </c>
      <c r="BD33" s="309">
        <f t="shared" ca="1" si="12"/>
        <v>5.8650000000000002</v>
      </c>
      <c r="BE33" s="310">
        <f t="shared" ca="1" si="48"/>
        <v>6.0750000000000002</v>
      </c>
      <c r="BF33" s="308">
        <f t="shared" ca="1" si="49"/>
        <v>6.9187500000000002</v>
      </c>
      <c r="BG33" s="309">
        <f t="shared" ca="1" si="13"/>
        <v>12.99375</v>
      </c>
      <c r="BH33" s="310">
        <f t="shared" ca="1" si="50"/>
        <v>14.056000000000001</v>
      </c>
      <c r="BI33" s="309">
        <f t="shared" ca="1" si="51"/>
        <v>12.32375</v>
      </c>
      <c r="BJ33" s="311">
        <f t="shared" ca="1" si="14"/>
        <v>26.379750000000001</v>
      </c>
      <c r="BK33" s="286"/>
      <c r="BL33" s="307">
        <f t="shared" ca="1" si="52"/>
        <v>3.4959999999999996</v>
      </c>
      <c r="BM33" s="308">
        <f t="shared" ca="1" si="53"/>
        <v>4.0250000000000004</v>
      </c>
      <c r="BN33" s="309">
        <f t="shared" ca="1" si="15"/>
        <v>7.5209999999999999</v>
      </c>
      <c r="BO33" s="310">
        <f t="shared" ca="1" si="54"/>
        <v>4.4850000000000003</v>
      </c>
      <c r="BP33" s="308">
        <f t="shared" ca="1" si="55"/>
        <v>1.38</v>
      </c>
      <c r="BQ33" s="309">
        <f t="shared" ca="1" si="16"/>
        <v>5.8650000000000002</v>
      </c>
      <c r="BR33" s="310">
        <f t="shared" ca="1" si="56"/>
        <v>6.0750000000000002</v>
      </c>
      <c r="BS33" s="308">
        <f t="shared" ca="1" si="57"/>
        <v>6.9187500000000002</v>
      </c>
      <c r="BT33" s="309">
        <f t="shared" ca="1" si="17"/>
        <v>12.99375</v>
      </c>
      <c r="BU33" s="310">
        <f t="shared" ca="1" si="18"/>
        <v>14.056000000000001</v>
      </c>
      <c r="BV33" s="309">
        <f t="shared" ca="1" si="19"/>
        <v>12.32375</v>
      </c>
      <c r="BW33" s="311">
        <f t="shared" ca="1" si="20"/>
        <v>26.379750000000001</v>
      </c>
      <c r="BX33" s="286"/>
      <c r="BY33" s="300">
        <f t="shared" ca="1" si="59"/>
        <v>3.9790000000000045</v>
      </c>
      <c r="BZ33" s="301">
        <f t="shared" ca="1" si="60"/>
        <v>69.896999999999977</v>
      </c>
      <c r="CA33" s="301">
        <f t="shared" ca="1" si="61"/>
        <v>7.3574999999999999</v>
      </c>
      <c r="CB33" s="312">
        <f t="shared" ca="1" si="58"/>
        <v>81.233499999999978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14.32475</v>
      </c>
      <c r="R34" s="248">
        <f t="shared" ca="1" si="22"/>
        <v>10.753499999999999</v>
      </c>
      <c r="S34" s="363">
        <f t="shared" ca="1" si="23"/>
        <v>25.078249999999997</v>
      </c>
      <c r="T34" s="247"/>
      <c r="U34" s="362">
        <f t="shared" ca="1" si="24"/>
        <v>14.32475</v>
      </c>
      <c r="V34" s="248">
        <f t="shared" ca="1" si="25"/>
        <v>10.753499999999999</v>
      </c>
      <c r="W34" s="363">
        <f t="shared" ca="1" si="26"/>
        <v>25.078249999999997</v>
      </c>
      <c r="X34" s="247"/>
      <c r="Y34" s="362">
        <f t="shared" ca="1" si="27"/>
        <v>14.32475</v>
      </c>
      <c r="Z34" s="248">
        <f t="shared" ca="1" si="28"/>
        <v>10.753499999999999</v>
      </c>
      <c r="AA34" s="363">
        <f t="shared" ca="1" si="29"/>
        <v>25.078249999999997</v>
      </c>
      <c r="AB34" s="58" t="str">
        <f t="shared" ca="1" si="30"/>
        <v/>
      </c>
      <c r="AC34" s="495" t="s">
        <v>35</v>
      </c>
      <c r="AD34" s="275"/>
      <c r="AE34" s="303">
        <f t="shared" ca="1" si="31"/>
        <v>-8.6</v>
      </c>
      <c r="AF34" s="304">
        <f t="shared" ca="1" si="32"/>
        <v>7.35</v>
      </c>
      <c r="AG34" s="305">
        <f t="shared" ca="1" si="33"/>
        <v>-2.5</v>
      </c>
      <c r="AH34" s="304">
        <f t="shared" ca="1" si="34"/>
        <v>0.5</v>
      </c>
      <c r="AI34" s="305">
        <f t="shared" ca="1" si="35"/>
        <v>-10.25</v>
      </c>
      <c r="AJ34" s="306">
        <f t="shared" ca="1" si="36"/>
        <v>9.9</v>
      </c>
      <c r="AK34" s="280"/>
      <c r="AL34" s="307">
        <f t="shared" ca="1" si="37"/>
        <v>3.9559999999999995</v>
      </c>
      <c r="AM34" s="308">
        <f t="shared" ca="1" si="38"/>
        <v>3.3809999999999998</v>
      </c>
      <c r="AN34" s="309">
        <f t="shared" ca="1" si="6"/>
        <v>7.3369999999999997</v>
      </c>
      <c r="AO34" s="310">
        <f t="shared" ca="1" si="39"/>
        <v>3.45</v>
      </c>
      <c r="AP34" s="308">
        <f t="shared" ca="1" si="40"/>
        <v>0.69</v>
      </c>
      <c r="AQ34" s="309">
        <f t="shared" ca="1" si="7"/>
        <v>4.1400000000000006</v>
      </c>
      <c r="AR34" s="310">
        <f t="shared" ca="1" si="41"/>
        <v>6.9187500000000002</v>
      </c>
      <c r="AS34" s="308">
        <f t="shared" ca="1" si="42"/>
        <v>6.6825000000000001</v>
      </c>
      <c r="AT34" s="309">
        <f t="shared" ca="1" si="8"/>
        <v>13.60125</v>
      </c>
      <c r="AU34" s="310">
        <f t="shared" ca="1" si="9"/>
        <v>14.32475</v>
      </c>
      <c r="AV34" s="309">
        <f t="shared" ca="1" si="10"/>
        <v>10.753499999999999</v>
      </c>
      <c r="AW34" s="311">
        <f t="shared" ca="1" si="11"/>
        <v>25.078249999999997</v>
      </c>
      <c r="AX34" s="286"/>
      <c r="AY34" s="307">
        <f t="shared" ca="1" si="43"/>
        <v>3.9559999999999995</v>
      </c>
      <c r="AZ34" s="308">
        <f t="shared" ca="1" si="44"/>
        <v>3.3809999999999998</v>
      </c>
      <c r="BA34" s="309">
        <f t="shared" ca="1" si="45"/>
        <v>7.3369999999999997</v>
      </c>
      <c r="BB34" s="310">
        <f t="shared" ca="1" si="46"/>
        <v>3.45</v>
      </c>
      <c r="BC34" s="308">
        <f t="shared" ca="1" si="47"/>
        <v>0.69</v>
      </c>
      <c r="BD34" s="309">
        <f t="shared" ca="1" si="12"/>
        <v>4.1400000000000006</v>
      </c>
      <c r="BE34" s="310">
        <f t="shared" ca="1" si="48"/>
        <v>6.9187500000000002</v>
      </c>
      <c r="BF34" s="308">
        <f t="shared" ca="1" si="49"/>
        <v>6.6825000000000001</v>
      </c>
      <c r="BG34" s="309">
        <f t="shared" ca="1" si="13"/>
        <v>13.60125</v>
      </c>
      <c r="BH34" s="310">
        <f t="shared" ca="1" si="50"/>
        <v>14.32475</v>
      </c>
      <c r="BI34" s="309">
        <f t="shared" ca="1" si="51"/>
        <v>10.753499999999999</v>
      </c>
      <c r="BJ34" s="311">
        <f t="shared" ca="1" si="14"/>
        <v>25.078249999999997</v>
      </c>
      <c r="BK34" s="286"/>
      <c r="BL34" s="307">
        <f t="shared" ca="1" si="52"/>
        <v>3.9559999999999995</v>
      </c>
      <c r="BM34" s="308">
        <f t="shared" ca="1" si="53"/>
        <v>3.3809999999999998</v>
      </c>
      <c r="BN34" s="309">
        <f t="shared" ca="1" si="15"/>
        <v>7.3369999999999997</v>
      </c>
      <c r="BO34" s="310">
        <f t="shared" ca="1" si="54"/>
        <v>3.45</v>
      </c>
      <c r="BP34" s="308">
        <f t="shared" ca="1" si="55"/>
        <v>0.69</v>
      </c>
      <c r="BQ34" s="309">
        <f t="shared" ca="1" si="16"/>
        <v>4.1400000000000006</v>
      </c>
      <c r="BR34" s="310">
        <f t="shared" ca="1" si="56"/>
        <v>6.9187500000000002</v>
      </c>
      <c r="BS34" s="308">
        <f t="shared" ca="1" si="57"/>
        <v>6.6825000000000001</v>
      </c>
      <c r="BT34" s="309">
        <f t="shared" ca="1" si="17"/>
        <v>13.60125</v>
      </c>
      <c r="BU34" s="310">
        <f t="shared" ca="1" si="18"/>
        <v>14.32475</v>
      </c>
      <c r="BV34" s="309">
        <f t="shared" ca="1" si="19"/>
        <v>10.753499999999999</v>
      </c>
      <c r="BW34" s="311">
        <f t="shared" ca="1" si="20"/>
        <v>25.078249999999997</v>
      </c>
      <c r="BX34" s="286"/>
      <c r="BY34" s="300">
        <f t="shared" ca="1" si="59"/>
        <v>3.4040000000000048</v>
      </c>
      <c r="BZ34" s="301">
        <f t="shared" ca="1" si="60"/>
        <v>67.136999999999972</v>
      </c>
      <c r="CA34" s="301">
        <f t="shared" ca="1" si="61"/>
        <v>7.1212499999999999</v>
      </c>
      <c r="CB34" s="312">
        <f t="shared" ca="1" si="58"/>
        <v>77.662249999999986</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27.84825</v>
      </c>
      <c r="R35" s="248">
        <f t="shared" ca="1" si="22"/>
        <v>15.006</v>
      </c>
      <c r="S35" s="363">
        <f t="shared" ca="1" si="23"/>
        <v>42.85425</v>
      </c>
      <c r="T35" s="247"/>
      <c r="U35" s="362">
        <f t="shared" ca="1" si="24"/>
        <v>27.84825</v>
      </c>
      <c r="V35" s="248">
        <f t="shared" ca="1" si="25"/>
        <v>15.006</v>
      </c>
      <c r="W35" s="363">
        <f t="shared" ca="1" si="26"/>
        <v>42.85425</v>
      </c>
      <c r="X35" s="247"/>
      <c r="Y35" s="362">
        <f t="shared" ca="1" si="27"/>
        <v>27.84825</v>
      </c>
      <c r="Z35" s="248">
        <f t="shared" ca="1" si="28"/>
        <v>15.006</v>
      </c>
      <c r="AA35" s="363">
        <f t="shared" ca="1" si="29"/>
        <v>42.85425</v>
      </c>
      <c r="AB35" s="58" t="str">
        <f t="shared" ref="AB35:AB46" ca="1" si="62">IF(AND(AA35=MAX($AA$35:$AA$46),AA35&gt;0)=TRUE,"nachmittägliche
Spitzenstunde","")</f>
        <v/>
      </c>
      <c r="AC35" s="495" t="s">
        <v>36</v>
      </c>
      <c r="AD35" s="275"/>
      <c r="AE35" s="303">
        <f t="shared" ca="1" si="31"/>
        <v>-8.6999999999999993</v>
      </c>
      <c r="AF35" s="304">
        <f t="shared" ca="1" si="32"/>
        <v>6.75</v>
      </c>
      <c r="AG35" s="305">
        <f t="shared" ca="1" si="33"/>
        <v>-13</v>
      </c>
      <c r="AH35" s="304">
        <f t="shared" ca="1" si="34"/>
        <v>5.2</v>
      </c>
      <c r="AI35" s="305">
        <f t="shared" ca="1" si="35"/>
        <v>-8.75</v>
      </c>
      <c r="AJ35" s="306">
        <f t="shared" ca="1" si="36"/>
        <v>7</v>
      </c>
      <c r="AK35" s="313"/>
      <c r="AL35" s="307">
        <f t="shared" ca="1" si="37"/>
        <v>4.0019999999999998</v>
      </c>
      <c r="AM35" s="308">
        <f t="shared" ca="1" si="38"/>
        <v>3.105</v>
      </c>
      <c r="AN35" s="309">
        <f t="shared" ca="1" si="6"/>
        <v>7.1069999999999993</v>
      </c>
      <c r="AO35" s="310">
        <f t="shared" ca="1" si="39"/>
        <v>17.940000000000001</v>
      </c>
      <c r="AP35" s="308">
        <f t="shared" ca="1" si="40"/>
        <v>7.1760000000000002</v>
      </c>
      <c r="AQ35" s="309">
        <f t="shared" ca="1" si="7"/>
        <v>25.116</v>
      </c>
      <c r="AR35" s="310">
        <f t="shared" ca="1" si="41"/>
        <v>5.90625</v>
      </c>
      <c r="AS35" s="308">
        <f t="shared" ca="1" si="42"/>
        <v>4.7249999999999996</v>
      </c>
      <c r="AT35" s="309">
        <f t="shared" ca="1" si="8"/>
        <v>10.63125</v>
      </c>
      <c r="AU35" s="310">
        <f t="shared" ca="1" si="9"/>
        <v>27.84825</v>
      </c>
      <c r="AV35" s="309">
        <f t="shared" ca="1" si="10"/>
        <v>15.006</v>
      </c>
      <c r="AW35" s="311">
        <f t="shared" ca="1" si="11"/>
        <v>42.85425</v>
      </c>
      <c r="AX35" s="314"/>
      <c r="AY35" s="307">
        <f t="shared" ca="1" si="43"/>
        <v>4.0019999999999998</v>
      </c>
      <c r="AZ35" s="308">
        <f t="shared" ca="1" si="44"/>
        <v>3.105</v>
      </c>
      <c r="BA35" s="309">
        <f t="shared" ca="1" si="45"/>
        <v>7.1069999999999993</v>
      </c>
      <c r="BB35" s="310">
        <f t="shared" ca="1" si="46"/>
        <v>17.940000000000001</v>
      </c>
      <c r="BC35" s="308">
        <f t="shared" ca="1" si="47"/>
        <v>7.1760000000000002</v>
      </c>
      <c r="BD35" s="309">
        <f t="shared" ca="1" si="12"/>
        <v>25.116</v>
      </c>
      <c r="BE35" s="310">
        <f t="shared" ca="1" si="48"/>
        <v>5.90625</v>
      </c>
      <c r="BF35" s="308">
        <f t="shared" ca="1" si="49"/>
        <v>4.7249999999999996</v>
      </c>
      <c r="BG35" s="309">
        <f t="shared" ca="1" si="13"/>
        <v>10.63125</v>
      </c>
      <c r="BH35" s="310">
        <f t="shared" ca="1" si="50"/>
        <v>27.84825</v>
      </c>
      <c r="BI35" s="309">
        <f t="shared" ca="1" si="51"/>
        <v>15.006</v>
      </c>
      <c r="BJ35" s="311">
        <f t="shared" ca="1" si="14"/>
        <v>42.85425</v>
      </c>
      <c r="BK35" s="314"/>
      <c r="BL35" s="307">
        <f t="shared" ca="1" si="52"/>
        <v>4.0019999999999998</v>
      </c>
      <c r="BM35" s="308">
        <f t="shared" ca="1" si="53"/>
        <v>3.105</v>
      </c>
      <c r="BN35" s="309">
        <f t="shared" ca="1" si="15"/>
        <v>7.1069999999999993</v>
      </c>
      <c r="BO35" s="310">
        <f t="shared" ca="1" si="54"/>
        <v>17.940000000000001</v>
      </c>
      <c r="BP35" s="308">
        <f t="shared" ca="1" si="55"/>
        <v>7.1760000000000002</v>
      </c>
      <c r="BQ35" s="309">
        <f t="shared" ca="1" si="16"/>
        <v>25.116</v>
      </c>
      <c r="BR35" s="310">
        <f t="shared" ca="1" si="56"/>
        <v>5.90625</v>
      </c>
      <c r="BS35" s="308">
        <f t="shared" ca="1" si="57"/>
        <v>4.7249999999999996</v>
      </c>
      <c r="BT35" s="309">
        <f t="shared" ca="1" si="17"/>
        <v>10.63125</v>
      </c>
      <c r="BU35" s="310">
        <f t="shared" ca="1" si="18"/>
        <v>27.84825</v>
      </c>
      <c r="BV35" s="309">
        <f t="shared" ca="1" si="19"/>
        <v>15.006</v>
      </c>
      <c r="BW35" s="311">
        <f t="shared" ca="1" si="20"/>
        <v>42.85425</v>
      </c>
      <c r="BX35" s="314"/>
      <c r="BY35" s="300">
        <f t="shared" ca="1" si="59"/>
        <v>2.507000000000005</v>
      </c>
      <c r="BZ35" s="301">
        <f t="shared" ca="1" si="60"/>
        <v>56.372999999999969</v>
      </c>
      <c r="CA35" s="301">
        <f t="shared" ca="1" si="61"/>
        <v>5.9399999999999995</v>
      </c>
      <c r="CB35" s="312">
        <f t="shared" ca="1" si="58"/>
        <v>64.819999999999979</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24.160250000000001</v>
      </c>
      <c r="R36" s="248">
        <f t="shared" ca="1" si="22"/>
        <v>25.156500000000001</v>
      </c>
      <c r="S36" s="363">
        <f t="shared" ca="1" si="23"/>
        <v>49.316749999999999</v>
      </c>
      <c r="T36" s="247"/>
      <c r="U36" s="362">
        <f t="shared" ca="1" si="24"/>
        <v>24.160250000000001</v>
      </c>
      <c r="V36" s="248">
        <f t="shared" ca="1" si="25"/>
        <v>25.156500000000001</v>
      </c>
      <c r="W36" s="363">
        <f t="shared" ca="1" si="26"/>
        <v>49.316749999999999</v>
      </c>
      <c r="X36" s="247"/>
      <c r="Y36" s="362">
        <f t="shared" ca="1" si="27"/>
        <v>24.160250000000001</v>
      </c>
      <c r="Z36" s="248">
        <f t="shared" ca="1" si="28"/>
        <v>25.156500000000001</v>
      </c>
      <c r="AA36" s="363">
        <f t="shared" ca="1" si="29"/>
        <v>49.316749999999999</v>
      </c>
      <c r="AB36" s="58" t="str">
        <f t="shared" ca="1" si="62"/>
        <v>nachmittägliche
Spitzenstunde</v>
      </c>
      <c r="AC36" s="495" t="s">
        <v>37</v>
      </c>
      <c r="AD36" s="275"/>
      <c r="AE36" s="303">
        <f t="shared" ca="1" si="31"/>
        <v>-5.9</v>
      </c>
      <c r="AF36" s="304">
        <f t="shared" ca="1" si="32"/>
        <v>4.95</v>
      </c>
      <c r="AG36" s="305">
        <f t="shared" ca="1" si="33"/>
        <v>-11.75</v>
      </c>
      <c r="AH36" s="304">
        <f t="shared" ca="1" si="34"/>
        <v>13.4</v>
      </c>
      <c r="AI36" s="305">
        <f t="shared" ca="1" si="35"/>
        <v>-7.75</v>
      </c>
      <c r="AJ36" s="306">
        <f t="shared" ca="1" si="36"/>
        <v>6.5</v>
      </c>
      <c r="AK36" s="280"/>
      <c r="AL36" s="307">
        <f t="shared" ca="1" si="37"/>
        <v>2.7140000000000004</v>
      </c>
      <c r="AM36" s="308">
        <f t="shared" ca="1" si="38"/>
        <v>2.2770000000000001</v>
      </c>
      <c r="AN36" s="309">
        <f t="shared" ca="1" si="6"/>
        <v>4.9910000000000005</v>
      </c>
      <c r="AO36" s="310">
        <f t="shared" ca="1" si="39"/>
        <v>16.215</v>
      </c>
      <c r="AP36" s="308">
        <f t="shared" ca="1" si="40"/>
        <v>18.492000000000001</v>
      </c>
      <c r="AQ36" s="309">
        <f t="shared" ca="1" si="7"/>
        <v>34.707000000000001</v>
      </c>
      <c r="AR36" s="310">
        <f t="shared" ca="1" si="41"/>
        <v>5.2312500000000002</v>
      </c>
      <c r="AS36" s="308">
        <f t="shared" ca="1" si="42"/>
        <v>4.3875000000000002</v>
      </c>
      <c r="AT36" s="309">
        <f t="shared" ca="1" si="8"/>
        <v>9.6187500000000004</v>
      </c>
      <c r="AU36" s="310">
        <f t="shared" ca="1" si="9"/>
        <v>24.160250000000001</v>
      </c>
      <c r="AV36" s="309">
        <f t="shared" ca="1" si="10"/>
        <v>25.156500000000001</v>
      </c>
      <c r="AW36" s="311">
        <f t="shared" ca="1" si="11"/>
        <v>49.316749999999999</v>
      </c>
      <c r="AX36" s="286"/>
      <c r="AY36" s="307">
        <f t="shared" ca="1" si="43"/>
        <v>2.7140000000000004</v>
      </c>
      <c r="AZ36" s="308">
        <f t="shared" ca="1" si="44"/>
        <v>2.2770000000000001</v>
      </c>
      <c r="BA36" s="309">
        <f t="shared" ca="1" si="45"/>
        <v>4.9910000000000005</v>
      </c>
      <c r="BB36" s="310">
        <f t="shared" ca="1" si="46"/>
        <v>16.215</v>
      </c>
      <c r="BC36" s="308">
        <f t="shared" ca="1" si="47"/>
        <v>18.492000000000001</v>
      </c>
      <c r="BD36" s="309">
        <f t="shared" ca="1" si="12"/>
        <v>34.707000000000001</v>
      </c>
      <c r="BE36" s="310">
        <f t="shared" ca="1" si="48"/>
        <v>5.2312500000000002</v>
      </c>
      <c r="BF36" s="308">
        <f t="shared" ca="1" si="49"/>
        <v>4.3875000000000002</v>
      </c>
      <c r="BG36" s="309">
        <f t="shared" ca="1" si="13"/>
        <v>9.6187500000000004</v>
      </c>
      <c r="BH36" s="310">
        <f t="shared" ca="1" si="50"/>
        <v>24.160250000000001</v>
      </c>
      <c r="BI36" s="309">
        <f t="shared" ca="1" si="51"/>
        <v>25.156500000000001</v>
      </c>
      <c r="BJ36" s="311">
        <f t="shared" ca="1" si="14"/>
        <v>49.316749999999999</v>
      </c>
      <c r="BK36" s="286"/>
      <c r="BL36" s="307">
        <f t="shared" ca="1" si="52"/>
        <v>2.7140000000000004</v>
      </c>
      <c r="BM36" s="308">
        <f t="shared" ca="1" si="53"/>
        <v>2.2770000000000001</v>
      </c>
      <c r="BN36" s="309">
        <f t="shared" ca="1" si="15"/>
        <v>4.9910000000000005</v>
      </c>
      <c r="BO36" s="310">
        <f t="shared" ca="1" si="54"/>
        <v>16.215</v>
      </c>
      <c r="BP36" s="308">
        <f t="shared" ca="1" si="55"/>
        <v>18.492000000000001</v>
      </c>
      <c r="BQ36" s="309">
        <f t="shared" ca="1" si="16"/>
        <v>34.707000000000001</v>
      </c>
      <c r="BR36" s="310">
        <f t="shared" ca="1" si="56"/>
        <v>5.2312500000000002</v>
      </c>
      <c r="BS36" s="308">
        <f t="shared" ca="1" si="57"/>
        <v>4.3875000000000002</v>
      </c>
      <c r="BT36" s="309">
        <f t="shared" ca="1" si="17"/>
        <v>9.6187500000000004</v>
      </c>
      <c r="BU36" s="310">
        <f t="shared" ca="1" si="18"/>
        <v>24.160250000000001</v>
      </c>
      <c r="BV36" s="309">
        <f t="shared" ca="1" si="19"/>
        <v>25.156500000000001</v>
      </c>
      <c r="BW36" s="311">
        <f t="shared" ca="1" si="20"/>
        <v>49.316749999999999</v>
      </c>
      <c r="BX36" s="286"/>
      <c r="BY36" s="300">
        <f t="shared" ca="1" si="59"/>
        <v>2.0700000000000047</v>
      </c>
      <c r="BZ36" s="301">
        <f t="shared" ca="1" si="60"/>
        <v>58.64999999999997</v>
      </c>
      <c r="CA36" s="301">
        <f t="shared" ca="1" si="61"/>
        <v>5.0962499999999995</v>
      </c>
      <c r="CB36" s="312">
        <f t="shared" ca="1" si="58"/>
        <v>65.816249999999982</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14.819999999999999</v>
      </c>
      <c r="R37" s="248">
        <f t="shared" ca="1" si="22"/>
        <v>14.285</v>
      </c>
      <c r="S37" s="363">
        <f t="shared" ca="1" si="23"/>
        <v>29.104999999999997</v>
      </c>
      <c r="T37" s="247"/>
      <c r="U37" s="362">
        <f t="shared" ca="1" si="24"/>
        <v>14.819999999999999</v>
      </c>
      <c r="V37" s="248">
        <f t="shared" ca="1" si="25"/>
        <v>14.285</v>
      </c>
      <c r="W37" s="363">
        <f t="shared" ca="1" si="26"/>
        <v>29.104999999999997</v>
      </c>
      <c r="X37" s="247"/>
      <c r="Y37" s="362">
        <f t="shared" ca="1" si="27"/>
        <v>14.819999999999999</v>
      </c>
      <c r="Z37" s="248">
        <f t="shared" ca="1" si="28"/>
        <v>14.285</v>
      </c>
      <c r="AA37" s="363">
        <f t="shared" ca="1" si="29"/>
        <v>29.104999999999997</v>
      </c>
      <c r="AB37" s="58" t="str">
        <f t="shared" ca="1" si="62"/>
        <v/>
      </c>
      <c r="AC37" s="495" t="s">
        <v>38</v>
      </c>
      <c r="AD37" s="275"/>
      <c r="AE37" s="303">
        <f t="shared" ca="1" si="31"/>
        <v>-6</v>
      </c>
      <c r="AF37" s="304">
        <f t="shared" ca="1" si="32"/>
        <v>6.05</v>
      </c>
      <c r="AG37" s="305">
        <f t="shared" ca="1" si="33"/>
        <v>-6</v>
      </c>
      <c r="AH37" s="304">
        <f t="shared" ca="1" si="34"/>
        <v>5.4</v>
      </c>
      <c r="AI37" s="305">
        <f t="shared" ca="1" si="35"/>
        <v>-5.6</v>
      </c>
      <c r="AJ37" s="306">
        <f t="shared" ca="1" si="36"/>
        <v>6</v>
      </c>
      <c r="AK37" s="280"/>
      <c r="AL37" s="307">
        <f t="shared" ca="1" si="37"/>
        <v>2.76</v>
      </c>
      <c r="AM37" s="308">
        <f t="shared" ca="1" si="38"/>
        <v>2.7829999999999999</v>
      </c>
      <c r="AN37" s="309">
        <f t="shared" ca="1" si="6"/>
        <v>5.5429999999999993</v>
      </c>
      <c r="AO37" s="310">
        <f t="shared" ca="1" si="39"/>
        <v>8.2799999999999994</v>
      </c>
      <c r="AP37" s="308">
        <f t="shared" ca="1" si="40"/>
        <v>7.4520000000000008</v>
      </c>
      <c r="AQ37" s="309">
        <f t="shared" ca="1" si="7"/>
        <v>15.731999999999999</v>
      </c>
      <c r="AR37" s="310">
        <f t="shared" ca="1" si="41"/>
        <v>3.78</v>
      </c>
      <c r="AS37" s="308">
        <f t="shared" ca="1" si="42"/>
        <v>4.05</v>
      </c>
      <c r="AT37" s="309">
        <f t="shared" ca="1" si="8"/>
        <v>7.83</v>
      </c>
      <c r="AU37" s="310">
        <f t="shared" ca="1" si="9"/>
        <v>14.819999999999999</v>
      </c>
      <c r="AV37" s="309">
        <f t="shared" ca="1" si="10"/>
        <v>14.285</v>
      </c>
      <c r="AW37" s="311">
        <f t="shared" ca="1" si="11"/>
        <v>29.104999999999997</v>
      </c>
      <c r="AX37" s="286"/>
      <c r="AY37" s="307">
        <f t="shared" ca="1" si="43"/>
        <v>2.76</v>
      </c>
      <c r="AZ37" s="308">
        <f t="shared" ca="1" si="44"/>
        <v>2.7829999999999999</v>
      </c>
      <c r="BA37" s="309">
        <f t="shared" ca="1" si="45"/>
        <v>5.5429999999999993</v>
      </c>
      <c r="BB37" s="310">
        <f t="shared" ca="1" si="46"/>
        <v>8.2799999999999994</v>
      </c>
      <c r="BC37" s="308">
        <f t="shared" ca="1" si="47"/>
        <v>7.4520000000000008</v>
      </c>
      <c r="BD37" s="309">
        <f t="shared" ca="1" si="12"/>
        <v>15.731999999999999</v>
      </c>
      <c r="BE37" s="310">
        <f t="shared" ca="1" si="48"/>
        <v>3.78</v>
      </c>
      <c r="BF37" s="308">
        <f t="shared" ca="1" si="49"/>
        <v>4.05</v>
      </c>
      <c r="BG37" s="309">
        <f t="shared" ca="1" si="13"/>
        <v>7.83</v>
      </c>
      <c r="BH37" s="310">
        <f t="shared" ca="1" si="50"/>
        <v>14.819999999999999</v>
      </c>
      <c r="BI37" s="309">
        <f t="shared" ca="1" si="51"/>
        <v>14.285</v>
      </c>
      <c r="BJ37" s="311">
        <f t="shared" ca="1" si="14"/>
        <v>29.104999999999997</v>
      </c>
      <c r="BK37" s="286"/>
      <c r="BL37" s="307">
        <f t="shared" ca="1" si="52"/>
        <v>2.76</v>
      </c>
      <c r="BM37" s="308">
        <f t="shared" ca="1" si="53"/>
        <v>2.7829999999999999</v>
      </c>
      <c r="BN37" s="309">
        <f t="shared" ca="1" si="15"/>
        <v>5.5429999999999993</v>
      </c>
      <c r="BO37" s="310">
        <f t="shared" ca="1" si="54"/>
        <v>8.2799999999999994</v>
      </c>
      <c r="BP37" s="308">
        <f t="shared" ca="1" si="55"/>
        <v>7.4520000000000008</v>
      </c>
      <c r="BQ37" s="309">
        <f t="shared" ca="1" si="16"/>
        <v>15.731999999999999</v>
      </c>
      <c r="BR37" s="310">
        <f t="shared" ca="1" si="56"/>
        <v>3.78</v>
      </c>
      <c r="BS37" s="308">
        <f t="shared" ca="1" si="57"/>
        <v>4.05</v>
      </c>
      <c r="BT37" s="309">
        <f t="shared" ca="1" si="17"/>
        <v>7.83</v>
      </c>
      <c r="BU37" s="310">
        <f t="shared" ca="1" si="18"/>
        <v>14.819999999999999</v>
      </c>
      <c r="BV37" s="309">
        <f t="shared" ca="1" si="19"/>
        <v>14.285</v>
      </c>
      <c r="BW37" s="311">
        <f t="shared" ca="1" si="20"/>
        <v>29.104999999999997</v>
      </c>
      <c r="BX37" s="286"/>
      <c r="BY37" s="300">
        <f t="shared" ca="1" si="59"/>
        <v>2.0930000000000049</v>
      </c>
      <c r="BZ37" s="301">
        <f t="shared" ca="1" si="60"/>
        <v>57.821999999999974</v>
      </c>
      <c r="CA37" s="301">
        <f t="shared" ca="1" si="61"/>
        <v>5.3662499999999991</v>
      </c>
      <c r="CB37" s="312">
        <f t="shared" ca="1" si="58"/>
        <v>65.281249999999972</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17.099</v>
      </c>
      <c r="R38" s="248">
        <f t="shared" ca="1" si="22"/>
        <v>10.843250000000001</v>
      </c>
      <c r="S38" s="363">
        <f t="shared" ca="1" si="23"/>
        <v>27.942250000000001</v>
      </c>
      <c r="T38" s="247"/>
      <c r="U38" s="362">
        <f t="shared" ca="1" si="24"/>
        <v>17.099</v>
      </c>
      <c r="V38" s="248">
        <f t="shared" ca="1" si="25"/>
        <v>10.843250000000001</v>
      </c>
      <c r="W38" s="363">
        <f t="shared" ca="1" si="26"/>
        <v>27.942250000000001</v>
      </c>
      <c r="X38" s="247"/>
      <c r="Y38" s="362">
        <f t="shared" ca="1" si="27"/>
        <v>17.099</v>
      </c>
      <c r="Z38" s="248">
        <f t="shared" ca="1" si="28"/>
        <v>10.843250000000001</v>
      </c>
      <c r="AA38" s="363">
        <f t="shared" ca="1" si="29"/>
        <v>27.942250000000001</v>
      </c>
      <c r="AB38" s="58" t="str">
        <f t="shared" ca="1" si="62"/>
        <v/>
      </c>
      <c r="AC38" s="495" t="s">
        <v>39</v>
      </c>
      <c r="AD38" s="275"/>
      <c r="AE38" s="303">
        <f t="shared" ca="1" si="31"/>
        <v>-5.9</v>
      </c>
      <c r="AF38" s="304">
        <f t="shared" ca="1" si="32"/>
        <v>6.95</v>
      </c>
      <c r="AG38" s="305">
        <f t="shared" ca="1" si="33"/>
        <v>-7</v>
      </c>
      <c r="AH38" s="304">
        <f t="shared" ca="1" si="34"/>
        <v>1.75</v>
      </c>
      <c r="AI38" s="305">
        <f t="shared" ca="1" si="35"/>
        <v>-7</v>
      </c>
      <c r="AJ38" s="306">
        <f t="shared" ca="1" si="36"/>
        <v>7.75</v>
      </c>
      <c r="AK38" s="280"/>
      <c r="AL38" s="307">
        <f t="shared" ca="1" si="37"/>
        <v>2.7140000000000004</v>
      </c>
      <c r="AM38" s="308">
        <f t="shared" ca="1" si="38"/>
        <v>3.1970000000000001</v>
      </c>
      <c r="AN38" s="309">
        <f t="shared" ca="1" si="6"/>
        <v>5.9110000000000005</v>
      </c>
      <c r="AO38" s="310">
        <f t="shared" ca="1" si="39"/>
        <v>9.66</v>
      </c>
      <c r="AP38" s="308">
        <f t="shared" ca="1" si="40"/>
        <v>2.415</v>
      </c>
      <c r="AQ38" s="309">
        <f t="shared" ca="1" si="7"/>
        <v>12.074999999999999</v>
      </c>
      <c r="AR38" s="310">
        <f t="shared" ca="1" si="41"/>
        <v>4.7249999999999996</v>
      </c>
      <c r="AS38" s="308">
        <f t="shared" ca="1" si="42"/>
        <v>5.2312500000000002</v>
      </c>
      <c r="AT38" s="309">
        <f t="shared" ca="1" si="8"/>
        <v>9.9562500000000007</v>
      </c>
      <c r="AU38" s="310">
        <f t="shared" ca="1" si="9"/>
        <v>17.099</v>
      </c>
      <c r="AV38" s="309">
        <f t="shared" ca="1" si="10"/>
        <v>10.843250000000001</v>
      </c>
      <c r="AW38" s="311">
        <f t="shared" ca="1" si="11"/>
        <v>27.942250000000001</v>
      </c>
      <c r="AX38" s="286"/>
      <c r="AY38" s="307">
        <f t="shared" ca="1" si="43"/>
        <v>2.7140000000000004</v>
      </c>
      <c r="AZ38" s="308">
        <f t="shared" ca="1" si="44"/>
        <v>3.1970000000000001</v>
      </c>
      <c r="BA38" s="309">
        <f t="shared" ca="1" si="45"/>
        <v>5.9110000000000005</v>
      </c>
      <c r="BB38" s="310">
        <f t="shared" ca="1" si="46"/>
        <v>9.66</v>
      </c>
      <c r="BC38" s="308">
        <f t="shared" ca="1" si="47"/>
        <v>2.415</v>
      </c>
      <c r="BD38" s="309">
        <f t="shared" ca="1" si="12"/>
        <v>12.074999999999999</v>
      </c>
      <c r="BE38" s="310">
        <f t="shared" ca="1" si="48"/>
        <v>4.7249999999999996</v>
      </c>
      <c r="BF38" s="308">
        <f t="shared" ca="1" si="49"/>
        <v>5.2312500000000002</v>
      </c>
      <c r="BG38" s="309">
        <f t="shared" ca="1" si="13"/>
        <v>9.9562500000000007</v>
      </c>
      <c r="BH38" s="310">
        <f t="shared" ca="1" si="50"/>
        <v>17.099</v>
      </c>
      <c r="BI38" s="309">
        <f t="shared" ca="1" si="51"/>
        <v>10.843250000000001</v>
      </c>
      <c r="BJ38" s="311">
        <f t="shared" ca="1" si="14"/>
        <v>27.942250000000001</v>
      </c>
      <c r="BK38" s="286"/>
      <c r="BL38" s="307">
        <f t="shared" ca="1" si="52"/>
        <v>2.7140000000000004</v>
      </c>
      <c r="BM38" s="308">
        <f t="shared" ca="1" si="53"/>
        <v>3.1970000000000001</v>
      </c>
      <c r="BN38" s="309">
        <f t="shared" ca="1" si="15"/>
        <v>5.9110000000000005</v>
      </c>
      <c r="BO38" s="310">
        <f t="shared" ca="1" si="54"/>
        <v>9.66</v>
      </c>
      <c r="BP38" s="308">
        <f t="shared" ca="1" si="55"/>
        <v>2.415</v>
      </c>
      <c r="BQ38" s="309">
        <f t="shared" ca="1" si="16"/>
        <v>12.074999999999999</v>
      </c>
      <c r="BR38" s="310">
        <f t="shared" ca="1" si="56"/>
        <v>4.7249999999999996</v>
      </c>
      <c r="BS38" s="308">
        <f t="shared" ca="1" si="57"/>
        <v>5.2312500000000002</v>
      </c>
      <c r="BT38" s="309">
        <f t="shared" ca="1" si="17"/>
        <v>9.9562500000000007</v>
      </c>
      <c r="BU38" s="310">
        <f t="shared" ca="1" si="18"/>
        <v>17.099</v>
      </c>
      <c r="BV38" s="309">
        <f t="shared" ca="1" si="19"/>
        <v>10.843250000000001</v>
      </c>
      <c r="BW38" s="311">
        <f t="shared" ca="1" si="20"/>
        <v>27.942250000000001</v>
      </c>
      <c r="BX38" s="286"/>
      <c r="BY38" s="300">
        <f t="shared" ca="1" si="59"/>
        <v>2.5760000000000045</v>
      </c>
      <c r="BZ38" s="301">
        <f t="shared" ca="1" si="60"/>
        <v>50.576999999999977</v>
      </c>
      <c r="CA38" s="301">
        <f t="shared" ca="1" si="61"/>
        <v>5.8724999999999996</v>
      </c>
      <c r="CB38" s="312">
        <f t="shared" ca="1" si="58"/>
        <v>59.025499999999987</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25.985250000000001</v>
      </c>
      <c r="R39" s="248">
        <f t="shared" ca="1" si="22"/>
        <v>10.72025</v>
      </c>
      <c r="S39" s="363">
        <f t="shared" ca="1" si="23"/>
        <v>36.705500000000001</v>
      </c>
      <c r="T39" s="247"/>
      <c r="U39" s="362">
        <f t="shared" ca="1" si="24"/>
        <v>25.985250000000001</v>
      </c>
      <c r="V39" s="248">
        <f t="shared" ca="1" si="25"/>
        <v>10.72025</v>
      </c>
      <c r="W39" s="363">
        <f t="shared" ca="1" si="26"/>
        <v>36.705500000000001</v>
      </c>
      <c r="X39" s="247"/>
      <c r="Y39" s="362">
        <f t="shared" ca="1" si="27"/>
        <v>25.985250000000001</v>
      </c>
      <c r="Z39" s="248">
        <f t="shared" ca="1" si="28"/>
        <v>10.72025</v>
      </c>
      <c r="AA39" s="363">
        <f t="shared" ca="1" si="29"/>
        <v>36.705500000000001</v>
      </c>
      <c r="AB39" s="58" t="str">
        <f t="shared" ca="1" si="62"/>
        <v/>
      </c>
      <c r="AC39" s="495" t="s">
        <v>40</v>
      </c>
      <c r="AD39" s="275"/>
      <c r="AE39" s="303">
        <f t="shared" ca="1" si="31"/>
        <v>-8.4</v>
      </c>
      <c r="AF39" s="304">
        <f t="shared" ca="1" si="32"/>
        <v>9.65</v>
      </c>
      <c r="AG39" s="305">
        <f t="shared" ca="1" si="33"/>
        <v>-11.75</v>
      </c>
      <c r="AH39" s="304">
        <f t="shared" ca="1" si="34"/>
        <v>1.25</v>
      </c>
      <c r="AI39" s="305">
        <f t="shared" ca="1" si="35"/>
        <v>-8.75</v>
      </c>
      <c r="AJ39" s="306">
        <f t="shared" ca="1" si="36"/>
        <v>6.75</v>
      </c>
      <c r="AK39" s="280"/>
      <c r="AL39" s="307">
        <f t="shared" ca="1" si="37"/>
        <v>3.8640000000000003</v>
      </c>
      <c r="AM39" s="308">
        <f t="shared" ca="1" si="38"/>
        <v>4.4390000000000001</v>
      </c>
      <c r="AN39" s="309">
        <f t="shared" ca="1" si="6"/>
        <v>8.3030000000000008</v>
      </c>
      <c r="AO39" s="310">
        <f t="shared" ca="1" si="39"/>
        <v>16.215</v>
      </c>
      <c r="AP39" s="308">
        <f t="shared" ca="1" si="40"/>
        <v>1.7250000000000001</v>
      </c>
      <c r="AQ39" s="309">
        <f t="shared" ca="1" si="7"/>
        <v>17.940000000000001</v>
      </c>
      <c r="AR39" s="310">
        <f t="shared" ca="1" si="41"/>
        <v>5.90625</v>
      </c>
      <c r="AS39" s="308">
        <f t="shared" ca="1" si="42"/>
        <v>4.5562500000000004</v>
      </c>
      <c r="AT39" s="309">
        <f t="shared" ca="1" si="8"/>
        <v>10.4625</v>
      </c>
      <c r="AU39" s="310">
        <f t="shared" ca="1" si="9"/>
        <v>25.985250000000001</v>
      </c>
      <c r="AV39" s="309">
        <f t="shared" ca="1" si="10"/>
        <v>10.72025</v>
      </c>
      <c r="AW39" s="311">
        <f t="shared" ca="1" si="11"/>
        <v>36.705500000000001</v>
      </c>
      <c r="AX39" s="286"/>
      <c r="AY39" s="307">
        <f t="shared" ca="1" si="43"/>
        <v>3.8640000000000003</v>
      </c>
      <c r="AZ39" s="308">
        <f t="shared" ca="1" si="44"/>
        <v>4.4390000000000001</v>
      </c>
      <c r="BA39" s="309">
        <f t="shared" ca="1" si="45"/>
        <v>8.3030000000000008</v>
      </c>
      <c r="BB39" s="310">
        <f t="shared" ca="1" si="46"/>
        <v>16.215</v>
      </c>
      <c r="BC39" s="308">
        <f t="shared" ca="1" si="47"/>
        <v>1.7250000000000001</v>
      </c>
      <c r="BD39" s="309">
        <f t="shared" ca="1" si="12"/>
        <v>17.940000000000001</v>
      </c>
      <c r="BE39" s="310">
        <f t="shared" ca="1" si="48"/>
        <v>5.90625</v>
      </c>
      <c r="BF39" s="308">
        <f t="shared" ca="1" si="49"/>
        <v>4.5562500000000004</v>
      </c>
      <c r="BG39" s="309">
        <f t="shared" ca="1" si="13"/>
        <v>10.4625</v>
      </c>
      <c r="BH39" s="310">
        <f t="shared" ca="1" si="50"/>
        <v>25.985250000000001</v>
      </c>
      <c r="BI39" s="309">
        <f t="shared" ca="1" si="51"/>
        <v>10.72025</v>
      </c>
      <c r="BJ39" s="311">
        <f t="shared" ca="1" si="14"/>
        <v>36.705500000000001</v>
      </c>
      <c r="BK39" s="286"/>
      <c r="BL39" s="307">
        <f t="shared" ca="1" si="52"/>
        <v>3.8640000000000003</v>
      </c>
      <c r="BM39" s="308">
        <f t="shared" ca="1" si="53"/>
        <v>4.4390000000000001</v>
      </c>
      <c r="BN39" s="309">
        <f t="shared" ca="1" si="15"/>
        <v>8.3030000000000008</v>
      </c>
      <c r="BO39" s="310">
        <f t="shared" ca="1" si="54"/>
        <v>16.215</v>
      </c>
      <c r="BP39" s="308">
        <f t="shared" ca="1" si="55"/>
        <v>1.7250000000000001</v>
      </c>
      <c r="BQ39" s="309">
        <f t="shared" ca="1" si="16"/>
        <v>17.940000000000001</v>
      </c>
      <c r="BR39" s="310">
        <f t="shared" ca="1" si="56"/>
        <v>5.90625</v>
      </c>
      <c r="BS39" s="308">
        <f t="shared" ca="1" si="57"/>
        <v>4.5562500000000004</v>
      </c>
      <c r="BT39" s="309">
        <f t="shared" ca="1" si="17"/>
        <v>10.4625</v>
      </c>
      <c r="BU39" s="310">
        <f t="shared" ca="1" si="18"/>
        <v>25.985250000000001</v>
      </c>
      <c r="BV39" s="309">
        <f t="shared" ca="1" si="19"/>
        <v>10.72025</v>
      </c>
      <c r="BW39" s="311">
        <f t="shared" ca="1" si="20"/>
        <v>36.705500000000001</v>
      </c>
      <c r="BX39" s="286"/>
      <c r="BY39" s="300">
        <f t="shared" ca="1" si="59"/>
        <v>3.1510000000000042</v>
      </c>
      <c r="BZ39" s="301">
        <f t="shared" ca="1" si="60"/>
        <v>36.086999999999975</v>
      </c>
      <c r="CA39" s="301">
        <f t="shared" ca="1" si="61"/>
        <v>4.5225</v>
      </c>
      <c r="CB39" s="312">
        <f t="shared" ca="1" si="58"/>
        <v>43.760499999999979</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28.576000000000001</v>
      </c>
      <c r="R40" s="248">
        <f t="shared" ca="1" si="22"/>
        <v>10.274999999999999</v>
      </c>
      <c r="S40" s="363">
        <f t="shared" ca="1" si="23"/>
        <v>38.850999999999999</v>
      </c>
      <c r="T40" s="247"/>
      <c r="U40" s="362">
        <f t="shared" ca="1" si="24"/>
        <v>28.576000000000001</v>
      </c>
      <c r="V40" s="248">
        <f t="shared" ca="1" si="25"/>
        <v>10.274999999999999</v>
      </c>
      <c r="W40" s="363">
        <f t="shared" ca="1" si="26"/>
        <v>38.850999999999999</v>
      </c>
      <c r="X40" s="247"/>
      <c r="Y40" s="362">
        <f t="shared" ca="1" si="27"/>
        <v>28.576000000000001</v>
      </c>
      <c r="Z40" s="248">
        <f t="shared" ca="1" si="28"/>
        <v>10.274999999999999</v>
      </c>
      <c r="AA40" s="363">
        <f t="shared" ca="1" si="29"/>
        <v>38.850999999999999</v>
      </c>
      <c r="AB40" s="58" t="str">
        <f t="shared" ca="1" si="62"/>
        <v/>
      </c>
      <c r="AC40" s="495" t="s">
        <v>41</v>
      </c>
      <c r="AD40" s="275"/>
      <c r="AE40" s="303">
        <f t="shared" ca="1" si="31"/>
        <v>-10.6</v>
      </c>
      <c r="AF40" s="304">
        <f t="shared" ca="1" si="32"/>
        <v>12</v>
      </c>
      <c r="AG40" s="305">
        <f t="shared" ca="1" si="33"/>
        <v>-13.75</v>
      </c>
      <c r="AH40" s="304">
        <f t="shared" ca="1" si="34"/>
        <v>1</v>
      </c>
      <c r="AI40" s="305">
        <f t="shared" ca="1" si="35"/>
        <v>-7</v>
      </c>
      <c r="AJ40" s="306">
        <f t="shared" ca="1" si="36"/>
        <v>5</v>
      </c>
      <c r="AK40" s="280"/>
      <c r="AL40" s="307">
        <f t="shared" ca="1" si="37"/>
        <v>4.8759999999999994</v>
      </c>
      <c r="AM40" s="308">
        <f t="shared" ca="1" si="38"/>
        <v>5.52</v>
      </c>
      <c r="AN40" s="309">
        <f t="shared" ca="1" si="6"/>
        <v>10.395999999999999</v>
      </c>
      <c r="AO40" s="310">
        <f t="shared" ca="1" si="39"/>
        <v>18.975000000000001</v>
      </c>
      <c r="AP40" s="308">
        <f t="shared" ca="1" si="40"/>
        <v>1.38</v>
      </c>
      <c r="AQ40" s="309">
        <f t="shared" ca="1" si="7"/>
        <v>20.355</v>
      </c>
      <c r="AR40" s="310">
        <f t="shared" ca="1" si="41"/>
        <v>4.7249999999999996</v>
      </c>
      <c r="AS40" s="308">
        <f t="shared" ca="1" si="42"/>
        <v>3.375</v>
      </c>
      <c r="AT40" s="309">
        <f t="shared" ca="1" si="8"/>
        <v>8.1</v>
      </c>
      <c r="AU40" s="310">
        <f t="shared" ca="1" si="9"/>
        <v>28.576000000000001</v>
      </c>
      <c r="AV40" s="309">
        <f t="shared" ca="1" si="10"/>
        <v>10.274999999999999</v>
      </c>
      <c r="AW40" s="311">
        <f t="shared" ca="1" si="11"/>
        <v>38.850999999999999</v>
      </c>
      <c r="AX40" s="286"/>
      <c r="AY40" s="307">
        <f t="shared" ca="1" si="43"/>
        <v>4.8759999999999994</v>
      </c>
      <c r="AZ40" s="308">
        <f t="shared" ca="1" si="44"/>
        <v>5.52</v>
      </c>
      <c r="BA40" s="309">
        <f t="shared" ca="1" si="45"/>
        <v>10.395999999999999</v>
      </c>
      <c r="BB40" s="310">
        <f t="shared" ca="1" si="46"/>
        <v>18.975000000000001</v>
      </c>
      <c r="BC40" s="308">
        <f t="shared" ca="1" si="47"/>
        <v>1.38</v>
      </c>
      <c r="BD40" s="309">
        <f t="shared" ca="1" si="12"/>
        <v>20.355</v>
      </c>
      <c r="BE40" s="310">
        <f t="shared" ca="1" si="48"/>
        <v>4.7249999999999996</v>
      </c>
      <c r="BF40" s="308">
        <f t="shared" ca="1" si="49"/>
        <v>3.375</v>
      </c>
      <c r="BG40" s="309">
        <f t="shared" ca="1" si="13"/>
        <v>8.1</v>
      </c>
      <c r="BH40" s="310">
        <f t="shared" ca="1" si="50"/>
        <v>28.576000000000001</v>
      </c>
      <c r="BI40" s="309">
        <f t="shared" ca="1" si="51"/>
        <v>10.274999999999999</v>
      </c>
      <c r="BJ40" s="311">
        <f t="shared" ca="1" si="14"/>
        <v>38.850999999999999</v>
      </c>
      <c r="BK40" s="286"/>
      <c r="BL40" s="307">
        <f t="shared" ca="1" si="52"/>
        <v>4.8759999999999994</v>
      </c>
      <c r="BM40" s="308">
        <f t="shared" ca="1" si="53"/>
        <v>5.52</v>
      </c>
      <c r="BN40" s="309">
        <f t="shared" ca="1" si="15"/>
        <v>10.395999999999999</v>
      </c>
      <c r="BO40" s="310">
        <f t="shared" ca="1" si="54"/>
        <v>18.975000000000001</v>
      </c>
      <c r="BP40" s="308">
        <f t="shared" ca="1" si="55"/>
        <v>1.38</v>
      </c>
      <c r="BQ40" s="309">
        <f t="shared" ca="1" si="16"/>
        <v>20.355</v>
      </c>
      <c r="BR40" s="310">
        <f t="shared" ca="1" si="56"/>
        <v>4.7249999999999996</v>
      </c>
      <c r="BS40" s="308">
        <f t="shared" ca="1" si="57"/>
        <v>3.375</v>
      </c>
      <c r="BT40" s="309">
        <f t="shared" ca="1" si="17"/>
        <v>8.1</v>
      </c>
      <c r="BU40" s="310">
        <f t="shared" ca="1" si="18"/>
        <v>28.576000000000001</v>
      </c>
      <c r="BV40" s="309">
        <f t="shared" ca="1" si="19"/>
        <v>10.274999999999999</v>
      </c>
      <c r="BW40" s="311">
        <f t="shared" ca="1" si="20"/>
        <v>38.850999999999999</v>
      </c>
      <c r="BX40" s="286"/>
      <c r="BY40" s="300">
        <f t="shared" ca="1" si="59"/>
        <v>3.7950000000000044</v>
      </c>
      <c r="BZ40" s="301">
        <f t="shared" ca="1" si="60"/>
        <v>18.491999999999972</v>
      </c>
      <c r="CA40" s="301">
        <f t="shared" ca="1" si="61"/>
        <v>3.1725000000000003</v>
      </c>
      <c r="CB40" s="312">
        <f t="shared" ca="1" si="58"/>
        <v>25.459499999999977</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19.45975</v>
      </c>
      <c r="R41" s="248">
        <f t="shared" ca="1" si="22"/>
        <v>9.3622499999999995</v>
      </c>
      <c r="S41" s="363">
        <f t="shared" ca="1" si="23"/>
        <v>28.821999999999999</v>
      </c>
      <c r="T41" s="247"/>
      <c r="U41" s="362">
        <f t="shared" ca="1" si="24"/>
        <v>19.45975</v>
      </c>
      <c r="V41" s="248">
        <f t="shared" ca="1" si="25"/>
        <v>9.3622499999999995</v>
      </c>
      <c r="W41" s="363">
        <f t="shared" ca="1" si="26"/>
        <v>28.821999999999999</v>
      </c>
      <c r="X41" s="247"/>
      <c r="Y41" s="362">
        <f t="shared" ca="1" si="27"/>
        <v>19.45975</v>
      </c>
      <c r="Z41" s="248">
        <f t="shared" ca="1" si="28"/>
        <v>9.3622499999999995</v>
      </c>
      <c r="AA41" s="363">
        <f t="shared" ca="1" si="29"/>
        <v>28.821999999999999</v>
      </c>
      <c r="AB41" s="58" t="str">
        <f t="shared" ca="1" si="62"/>
        <v/>
      </c>
      <c r="AC41" s="495" t="s">
        <v>42</v>
      </c>
      <c r="AD41" s="275"/>
      <c r="AE41" s="303">
        <f t="shared" ca="1" si="31"/>
        <v>-13.6</v>
      </c>
      <c r="AF41" s="304">
        <f t="shared" ca="1" si="32"/>
        <v>14.1</v>
      </c>
      <c r="AG41" s="305">
        <f t="shared" ca="1" si="33"/>
        <v>-7</v>
      </c>
      <c r="AH41" s="304">
        <f t="shared" ca="1" si="34"/>
        <v>0.25</v>
      </c>
      <c r="AI41" s="305">
        <f t="shared" ca="1" si="35"/>
        <v>-5.25</v>
      </c>
      <c r="AJ41" s="306">
        <f t="shared" ca="1" si="36"/>
        <v>3.75</v>
      </c>
      <c r="AK41" s="280"/>
      <c r="AL41" s="307">
        <f t="shared" ca="1" si="37"/>
        <v>6.2560000000000002</v>
      </c>
      <c r="AM41" s="308">
        <f t="shared" ca="1" si="38"/>
        <v>6.4860000000000007</v>
      </c>
      <c r="AN41" s="309">
        <f t="shared" ca="1" si="6"/>
        <v>12.742000000000001</v>
      </c>
      <c r="AO41" s="310">
        <f t="shared" ca="1" si="39"/>
        <v>9.66</v>
      </c>
      <c r="AP41" s="308">
        <f t="shared" ca="1" si="40"/>
        <v>0.34499999999999997</v>
      </c>
      <c r="AQ41" s="309">
        <f t="shared" ca="1" si="7"/>
        <v>10.005000000000001</v>
      </c>
      <c r="AR41" s="310">
        <f t="shared" ca="1" si="41"/>
        <v>3.5437500000000002</v>
      </c>
      <c r="AS41" s="308">
        <f t="shared" ca="1" si="42"/>
        <v>2.53125</v>
      </c>
      <c r="AT41" s="309">
        <f t="shared" ca="1" si="8"/>
        <v>6.0750000000000002</v>
      </c>
      <c r="AU41" s="310">
        <f t="shared" ca="1" si="9"/>
        <v>19.45975</v>
      </c>
      <c r="AV41" s="309">
        <f t="shared" ca="1" si="10"/>
        <v>9.3622499999999995</v>
      </c>
      <c r="AW41" s="311">
        <f t="shared" ca="1" si="11"/>
        <v>28.821999999999999</v>
      </c>
      <c r="AX41" s="286"/>
      <c r="AY41" s="307">
        <f t="shared" ca="1" si="43"/>
        <v>6.2560000000000002</v>
      </c>
      <c r="AZ41" s="308">
        <f t="shared" ca="1" si="44"/>
        <v>6.4860000000000007</v>
      </c>
      <c r="BA41" s="309">
        <f t="shared" ca="1" si="45"/>
        <v>12.742000000000001</v>
      </c>
      <c r="BB41" s="310">
        <f t="shared" ca="1" si="46"/>
        <v>9.66</v>
      </c>
      <c r="BC41" s="308">
        <f t="shared" ca="1" si="47"/>
        <v>0.34499999999999997</v>
      </c>
      <c r="BD41" s="309">
        <f t="shared" ca="1" si="12"/>
        <v>10.005000000000001</v>
      </c>
      <c r="BE41" s="310">
        <f t="shared" ca="1" si="48"/>
        <v>3.5437500000000002</v>
      </c>
      <c r="BF41" s="308">
        <f t="shared" ca="1" si="49"/>
        <v>2.53125</v>
      </c>
      <c r="BG41" s="309">
        <f t="shared" ca="1" si="13"/>
        <v>6.0750000000000002</v>
      </c>
      <c r="BH41" s="310">
        <f t="shared" ca="1" si="50"/>
        <v>19.45975</v>
      </c>
      <c r="BI41" s="309">
        <f t="shared" ca="1" si="51"/>
        <v>9.3622499999999995</v>
      </c>
      <c r="BJ41" s="311">
        <f t="shared" ca="1" si="14"/>
        <v>28.821999999999999</v>
      </c>
      <c r="BK41" s="286"/>
      <c r="BL41" s="307">
        <f t="shared" ca="1" si="52"/>
        <v>6.2560000000000002</v>
      </c>
      <c r="BM41" s="308">
        <f t="shared" ca="1" si="53"/>
        <v>6.4860000000000007</v>
      </c>
      <c r="BN41" s="309">
        <f t="shared" ca="1" si="15"/>
        <v>12.742000000000001</v>
      </c>
      <c r="BO41" s="310">
        <f t="shared" ca="1" si="54"/>
        <v>9.66</v>
      </c>
      <c r="BP41" s="308">
        <f t="shared" ca="1" si="55"/>
        <v>0.34499999999999997</v>
      </c>
      <c r="BQ41" s="309">
        <f t="shared" ca="1" si="16"/>
        <v>10.005000000000001</v>
      </c>
      <c r="BR41" s="310">
        <f t="shared" ca="1" si="56"/>
        <v>3.5437500000000002</v>
      </c>
      <c r="BS41" s="308">
        <f t="shared" ca="1" si="57"/>
        <v>2.53125</v>
      </c>
      <c r="BT41" s="309">
        <f t="shared" ca="1" si="17"/>
        <v>6.0750000000000002</v>
      </c>
      <c r="BU41" s="310">
        <f t="shared" ca="1" si="18"/>
        <v>19.45975</v>
      </c>
      <c r="BV41" s="309">
        <f t="shared" ca="1" si="19"/>
        <v>9.3622499999999995</v>
      </c>
      <c r="BW41" s="311">
        <f t="shared" ca="1" si="20"/>
        <v>28.821999999999999</v>
      </c>
      <c r="BX41" s="286"/>
      <c r="BY41" s="300">
        <f t="shared" ca="1" si="59"/>
        <v>4.0250000000000048</v>
      </c>
      <c r="BZ41" s="301">
        <f t="shared" ca="1" si="60"/>
        <v>9.176999999999973</v>
      </c>
      <c r="CA41" s="301">
        <f t="shared" ca="1" si="61"/>
        <v>2.16</v>
      </c>
      <c r="CB41" s="312">
        <f t="shared" ca="1" si="58"/>
        <v>15.361999999999977</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11.77725</v>
      </c>
      <c r="R42" s="248">
        <f t="shared" ca="1" si="22"/>
        <v>5.9887500000000005</v>
      </c>
      <c r="S42" s="363">
        <f t="shared" ca="1" si="23"/>
        <v>17.766000000000002</v>
      </c>
      <c r="T42" s="247"/>
      <c r="U42" s="362">
        <f t="shared" ca="1" si="24"/>
        <v>11.77725</v>
      </c>
      <c r="V42" s="248">
        <f t="shared" ca="1" si="25"/>
        <v>5.9887500000000005</v>
      </c>
      <c r="W42" s="363">
        <f t="shared" ca="1" si="26"/>
        <v>17.766000000000002</v>
      </c>
      <c r="X42" s="247"/>
      <c r="Y42" s="362">
        <f t="shared" ca="1" si="27"/>
        <v>11.77725</v>
      </c>
      <c r="Z42" s="248">
        <f t="shared" ca="1" si="28"/>
        <v>5.9887500000000005</v>
      </c>
      <c r="AA42" s="363">
        <f t="shared" ca="1" si="29"/>
        <v>17.766000000000002</v>
      </c>
      <c r="AB42" s="58" t="str">
        <f t="shared" ca="1" si="62"/>
        <v/>
      </c>
      <c r="AC42" s="495" t="s">
        <v>43</v>
      </c>
      <c r="AD42" s="275"/>
      <c r="AE42" s="303">
        <f t="shared" ca="1" si="31"/>
        <v>-12.6</v>
      </c>
      <c r="AF42" s="304">
        <f t="shared" ca="1" si="32"/>
        <v>7.05</v>
      </c>
      <c r="AG42" s="305">
        <f t="shared" ca="1" si="33"/>
        <v>-2.5</v>
      </c>
      <c r="AH42" s="304">
        <f t="shared" ca="1" si="34"/>
        <v>0.4</v>
      </c>
      <c r="AI42" s="305">
        <f t="shared" ca="1" si="35"/>
        <v>-3.75</v>
      </c>
      <c r="AJ42" s="306">
        <f t="shared" ca="1" si="36"/>
        <v>3.25</v>
      </c>
      <c r="AK42" s="280"/>
      <c r="AL42" s="307">
        <f t="shared" ca="1" si="37"/>
        <v>5.7960000000000003</v>
      </c>
      <c r="AM42" s="308">
        <f t="shared" ca="1" si="38"/>
        <v>3.2430000000000003</v>
      </c>
      <c r="AN42" s="309">
        <f t="shared" ca="1" si="6"/>
        <v>9.0390000000000015</v>
      </c>
      <c r="AO42" s="310">
        <f t="shared" ca="1" si="39"/>
        <v>3.45</v>
      </c>
      <c r="AP42" s="308">
        <f t="shared" ca="1" si="40"/>
        <v>0.55200000000000005</v>
      </c>
      <c r="AQ42" s="309">
        <f t="shared" ca="1" si="7"/>
        <v>4.0020000000000007</v>
      </c>
      <c r="AR42" s="310">
        <f t="shared" ca="1" si="41"/>
        <v>2.53125</v>
      </c>
      <c r="AS42" s="308">
        <f t="shared" ca="1" si="42"/>
        <v>2.1937500000000001</v>
      </c>
      <c r="AT42" s="309">
        <f t="shared" ca="1" si="8"/>
        <v>4.7249999999999996</v>
      </c>
      <c r="AU42" s="310">
        <f t="shared" ca="1" si="9"/>
        <v>11.77725</v>
      </c>
      <c r="AV42" s="309">
        <f t="shared" ca="1" si="10"/>
        <v>5.9887500000000005</v>
      </c>
      <c r="AW42" s="311">
        <f t="shared" ca="1" si="11"/>
        <v>17.766000000000002</v>
      </c>
      <c r="AX42" s="286"/>
      <c r="AY42" s="307">
        <f t="shared" ca="1" si="43"/>
        <v>5.7960000000000003</v>
      </c>
      <c r="AZ42" s="308">
        <f t="shared" ca="1" si="44"/>
        <v>3.2430000000000003</v>
      </c>
      <c r="BA42" s="309">
        <f t="shared" ca="1" si="45"/>
        <v>9.0390000000000015</v>
      </c>
      <c r="BB42" s="310">
        <f t="shared" ca="1" si="46"/>
        <v>3.45</v>
      </c>
      <c r="BC42" s="308">
        <f t="shared" ca="1" si="47"/>
        <v>0.55200000000000005</v>
      </c>
      <c r="BD42" s="309">
        <f t="shared" ca="1" si="12"/>
        <v>4.0020000000000007</v>
      </c>
      <c r="BE42" s="310">
        <f t="shared" ca="1" si="48"/>
        <v>2.53125</v>
      </c>
      <c r="BF42" s="308">
        <f t="shared" ca="1" si="49"/>
        <v>2.1937500000000001</v>
      </c>
      <c r="BG42" s="309">
        <f t="shared" ca="1" si="13"/>
        <v>4.7249999999999996</v>
      </c>
      <c r="BH42" s="310">
        <f t="shared" ca="1" si="50"/>
        <v>11.77725</v>
      </c>
      <c r="BI42" s="309">
        <f t="shared" ca="1" si="51"/>
        <v>5.9887500000000005</v>
      </c>
      <c r="BJ42" s="311">
        <f t="shared" ca="1" si="14"/>
        <v>17.766000000000002</v>
      </c>
      <c r="BK42" s="286"/>
      <c r="BL42" s="307">
        <f t="shared" ca="1" si="52"/>
        <v>5.7960000000000003</v>
      </c>
      <c r="BM42" s="308">
        <f t="shared" ca="1" si="53"/>
        <v>3.2430000000000003</v>
      </c>
      <c r="BN42" s="309">
        <f t="shared" ca="1" si="15"/>
        <v>9.0390000000000015</v>
      </c>
      <c r="BO42" s="310">
        <f t="shared" ca="1" si="54"/>
        <v>3.45</v>
      </c>
      <c r="BP42" s="308">
        <f t="shared" ca="1" si="55"/>
        <v>0.55200000000000005</v>
      </c>
      <c r="BQ42" s="309">
        <f t="shared" ca="1" si="16"/>
        <v>4.0020000000000007</v>
      </c>
      <c r="BR42" s="310">
        <f t="shared" ca="1" si="56"/>
        <v>2.53125</v>
      </c>
      <c r="BS42" s="308">
        <f t="shared" ca="1" si="57"/>
        <v>2.1937500000000001</v>
      </c>
      <c r="BT42" s="309">
        <f t="shared" ca="1" si="17"/>
        <v>4.7249999999999996</v>
      </c>
      <c r="BU42" s="310">
        <f t="shared" ca="1" si="18"/>
        <v>11.77725</v>
      </c>
      <c r="BV42" s="309">
        <f t="shared" ca="1" si="19"/>
        <v>5.9887500000000005</v>
      </c>
      <c r="BW42" s="311">
        <f t="shared" ca="1" si="20"/>
        <v>17.766000000000002</v>
      </c>
      <c r="BX42" s="286"/>
      <c r="BY42" s="300">
        <f t="shared" ca="1" si="59"/>
        <v>1.4720000000000049</v>
      </c>
      <c r="BZ42" s="301">
        <f t="shared" ca="1" si="60"/>
        <v>6.2789999999999733</v>
      </c>
      <c r="CA42" s="301">
        <f t="shared" ca="1" si="61"/>
        <v>1.8225000000000002</v>
      </c>
      <c r="CB42" s="312">
        <f t="shared" ca="1" si="58"/>
        <v>9.5734999999999779</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5.4132499999999997</v>
      </c>
      <c r="R43" s="248">
        <f t="shared" ca="1" si="22"/>
        <v>0.97875000000000001</v>
      </c>
      <c r="S43" s="363">
        <f t="shared" ca="1" si="23"/>
        <v>6.3919999999999995</v>
      </c>
      <c r="T43" s="247"/>
      <c r="U43" s="362">
        <f t="shared" ca="1" si="24"/>
        <v>5.4132499999999997</v>
      </c>
      <c r="V43" s="248">
        <f t="shared" ca="1" si="25"/>
        <v>0.97875000000000001</v>
      </c>
      <c r="W43" s="363">
        <f t="shared" ca="1" si="26"/>
        <v>6.3919999999999995</v>
      </c>
      <c r="X43" s="247"/>
      <c r="Y43" s="362">
        <f t="shared" ca="1" si="27"/>
        <v>5.4132499999999997</v>
      </c>
      <c r="Z43" s="248">
        <f t="shared" ca="1" si="28"/>
        <v>0.97875000000000001</v>
      </c>
      <c r="AA43" s="363">
        <f t="shared" ca="1" si="29"/>
        <v>6.3919999999999995</v>
      </c>
      <c r="AB43" s="58" t="str">
        <f t="shared" ca="1" si="62"/>
        <v/>
      </c>
      <c r="AC43" s="495" t="s">
        <v>44</v>
      </c>
      <c r="AD43" s="275"/>
      <c r="AE43" s="303">
        <f t="shared" ca="1" si="31"/>
        <v>-3.2</v>
      </c>
      <c r="AF43" s="304">
        <f t="shared" ca="1" si="32"/>
        <v>0</v>
      </c>
      <c r="AG43" s="305">
        <f t="shared" ca="1" si="33"/>
        <v>-2</v>
      </c>
      <c r="AH43" s="304">
        <f t="shared" ca="1" si="34"/>
        <v>0</v>
      </c>
      <c r="AI43" s="305">
        <f t="shared" ca="1" si="35"/>
        <v>-1.75</v>
      </c>
      <c r="AJ43" s="306">
        <f t="shared" ca="1" si="36"/>
        <v>1.45</v>
      </c>
      <c r="AK43" s="280"/>
      <c r="AL43" s="307">
        <f t="shared" ca="1" si="37"/>
        <v>1.4720000000000002</v>
      </c>
      <c r="AM43" s="308">
        <f t="shared" ca="1" si="38"/>
        <v>0</v>
      </c>
      <c r="AN43" s="309">
        <f t="shared" ca="1" si="6"/>
        <v>1.4720000000000002</v>
      </c>
      <c r="AO43" s="310">
        <f t="shared" ca="1" si="39"/>
        <v>2.76</v>
      </c>
      <c r="AP43" s="308">
        <f t="shared" ca="1" si="40"/>
        <v>0</v>
      </c>
      <c r="AQ43" s="309">
        <f t="shared" ca="1" si="7"/>
        <v>2.76</v>
      </c>
      <c r="AR43" s="310">
        <f t="shared" ca="1" si="41"/>
        <v>1.1812499999999999</v>
      </c>
      <c r="AS43" s="308">
        <f t="shared" ca="1" si="42"/>
        <v>0.97875000000000001</v>
      </c>
      <c r="AT43" s="309">
        <f t="shared" ca="1" si="8"/>
        <v>2.16</v>
      </c>
      <c r="AU43" s="310">
        <f t="shared" ca="1" si="9"/>
        <v>5.4132499999999997</v>
      </c>
      <c r="AV43" s="309">
        <f t="shared" ca="1" si="10"/>
        <v>0.97875000000000001</v>
      </c>
      <c r="AW43" s="311">
        <f t="shared" ca="1" si="11"/>
        <v>6.3919999999999995</v>
      </c>
      <c r="AX43" s="286"/>
      <c r="AY43" s="307">
        <f t="shared" ca="1" si="43"/>
        <v>1.4720000000000002</v>
      </c>
      <c r="AZ43" s="308">
        <f t="shared" ca="1" si="44"/>
        <v>0</v>
      </c>
      <c r="BA43" s="309">
        <f t="shared" ca="1" si="45"/>
        <v>1.4720000000000002</v>
      </c>
      <c r="BB43" s="310">
        <f t="shared" ca="1" si="46"/>
        <v>2.76</v>
      </c>
      <c r="BC43" s="308">
        <f t="shared" ca="1" si="47"/>
        <v>0</v>
      </c>
      <c r="BD43" s="309">
        <f t="shared" ca="1" si="12"/>
        <v>2.76</v>
      </c>
      <c r="BE43" s="310">
        <f t="shared" ca="1" si="48"/>
        <v>1.1812499999999999</v>
      </c>
      <c r="BF43" s="308">
        <f t="shared" ca="1" si="49"/>
        <v>0.97875000000000001</v>
      </c>
      <c r="BG43" s="309">
        <f t="shared" ca="1" si="13"/>
        <v>2.16</v>
      </c>
      <c r="BH43" s="310">
        <f t="shared" ca="1" si="50"/>
        <v>5.4132499999999997</v>
      </c>
      <c r="BI43" s="309">
        <f t="shared" ca="1" si="51"/>
        <v>0.97875000000000001</v>
      </c>
      <c r="BJ43" s="311">
        <f t="shared" ca="1" si="14"/>
        <v>6.3919999999999995</v>
      </c>
      <c r="BK43" s="286"/>
      <c r="BL43" s="307">
        <f t="shared" ca="1" si="52"/>
        <v>1.4720000000000002</v>
      </c>
      <c r="BM43" s="308">
        <f t="shared" ca="1" si="53"/>
        <v>0</v>
      </c>
      <c r="BN43" s="309">
        <f t="shared" ca="1" si="15"/>
        <v>1.4720000000000002</v>
      </c>
      <c r="BO43" s="310">
        <f t="shared" ca="1" si="54"/>
        <v>2.76</v>
      </c>
      <c r="BP43" s="308">
        <f t="shared" ca="1" si="55"/>
        <v>0</v>
      </c>
      <c r="BQ43" s="309">
        <f t="shared" ca="1" si="16"/>
        <v>2.76</v>
      </c>
      <c r="BR43" s="310">
        <f t="shared" ca="1" si="56"/>
        <v>1.1812499999999999</v>
      </c>
      <c r="BS43" s="308">
        <f t="shared" ca="1" si="57"/>
        <v>0.97875000000000001</v>
      </c>
      <c r="BT43" s="309">
        <f t="shared" ca="1" si="17"/>
        <v>2.16</v>
      </c>
      <c r="BU43" s="310">
        <f t="shared" ca="1" si="18"/>
        <v>5.4132499999999997</v>
      </c>
      <c r="BV43" s="309">
        <f t="shared" ca="1" si="19"/>
        <v>0.97875000000000001</v>
      </c>
      <c r="BW43" s="311">
        <f t="shared" ca="1" si="20"/>
        <v>6.3919999999999995</v>
      </c>
      <c r="BX43" s="286"/>
      <c r="BY43" s="300">
        <f t="shared" ca="1" si="59"/>
        <v>4.6629367034256575E-15</v>
      </c>
      <c r="BZ43" s="301">
        <f t="shared" ca="1" si="60"/>
        <v>3.5189999999999735</v>
      </c>
      <c r="CA43" s="301">
        <f t="shared" ca="1" si="61"/>
        <v>1.6200000000000003</v>
      </c>
      <c r="CB43" s="312">
        <f t="shared" ca="1" si="58"/>
        <v>5.138999999999978</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275.99999999999994</v>
      </c>
      <c r="M44" s="254">
        <f ca="1">BQ47</f>
        <v>275.99999999999994</v>
      </c>
      <c r="N44" s="25"/>
      <c r="O44" s="358" t="s">
        <v>45</v>
      </c>
      <c r="P44" s="247"/>
      <c r="Q44" s="362">
        <f t="shared" ca="1" si="21"/>
        <v>2.4000000000000004</v>
      </c>
      <c r="R44" s="248">
        <f t="shared" ca="1" si="22"/>
        <v>1.1347499999999999</v>
      </c>
      <c r="S44" s="363">
        <f t="shared" ca="1" si="23"/>
        <v>3.5347500000000003</v>
      </c>
      <c r="T44" s="247"/>
      <c r="U44" s="362">
        <f t="shared" ca="1" si="24"/>
        <v>2.4000000000000004</v>
      </c>
      <c r="V44" s="248">
        <f t="shared" ca="1" si="25"/>
        <v>1.1347499999999999</v>
      </c>
      <c r="W44" s="363">
        <f t="shared" ca="1" si="26"/>
        <v>3.5347500000000003</v>
      </c>
      <c r="X44" s="247"/>
      <c r="Y44" s="362">
        <f t="shared" ca="1" si="27"/>
        <v>2.4000000000000004</v>
      </c>
      <c r="Z44" s="248">
        <f t="shared" ca="1" si="28"/>
        <v>1.1347499999999999</v>
      </c>
      <c r="AA44" s="363">
        <f t="shared" ca="1" si="29"/>
        <v>3.5347500000000003</v>
      </c>
      <c r="AB44" s="58" t="str">
        <f t="shared" ca="1" si="62"/>
        <v/>
      </c>
      <c r="AC44" s="495" t="s">
        <v>45</v>
      </c>
      <c r="AD44" s="275"/>
      <c r="AE44" s="303">
        <f t="shared" ca="1" si="31"/>
        <v>0</v>
      </c>
      <c r="AF44" s="304">
        <f t="shared" ca="1" si="32"/>
        <v>0</v>
      </c>
      <c r="AG44" s="305">
        <f t="shared" ca="1" si="33"/>
        <v>-1.25</v>
      </c>
      <c r="AH44" s="304">
        <f t="shared" ca="1" si="34"/>
        <v>0.7</v>
      </c>
      <c r="AI44" s="305">
        <f t="shared" ca="1" si="35"/>
        <v>-1</v>
      </c>
      <c r="AJ44" s="306">
        <f t="shared" ca="1" si="36"/>
        <v>0.25</v>
      </c>
      <c r="AK44" s="280"/>
      <c r="AL44" s="307">
        <f t="shared" ca="1" si="37"/>
        <v>0</v>
      </c>
      <c r="AM44" s="308">
        <f t="shared" ca="1" si="38"/>
        <v>0</v>
      </c>
      <c r="AN44" s="309">
        <f t="shared" ca="1" si="6"/>
        <v>0</v>
      </c>
      <c r="AO44" s="310">
        <f t="shared" ca="1" si="39"/>
        <v>1.7250000000000001</v>
      </c>
      <c r="AP44" s="308">
        <f t="shared" ca="1" si="40"/>
        <v>0.96599999999999997</v>
      </c>
      <c r="AQ44" s="309">
        <f t="shared" ca="1" si="7"/>
        <v>2.6909999999999998</v>
      </c>
      <c r="AR44" s="310">
        <f t="shared" ca="1" si="41"/>
        <v>0.67500000000000004</v>
      </c>
      <c r="AS44" s="308">
        <f t="shared" ca="1" si="42"/>
        <v>0.16875000000000001</v>
      </c>
      <c r="AT44" s="309">
        <f t="shared" ca="1" si="8"/>
        <v>0.84375</v>
      </c>
      <c r="AU44" s="310">
        <f t="shared" ca="1" si="9"/>
        <v>2.4000000000000004</v>
      </c>
      <c r="AV44" s="309">
        <f t="shared" ca="1" si="10"/>
        <v>1.1347499999999999</v>
      </c>
      <c r="AW44" s="311">
        <f t="shared" ca="1" si="11"/>
        <v>3.5347500000000003</v>
      </c>
      <c r="AX44" s="286"/>
      <c r="AY44" s="307">
        <f t="shared" ca="1" si="43"/>
        <v>0</v>
      </c>
      <c r="AZ44" s="308">
        <f t="shared" ca="1" si="44"/>
        <v>0</v>
      </c>
      <c r="BA44" s="309">
        <f t="shared" ca="1" si="45"/>
        <v>0</v>
      </c>
      <c r="BB44" s="310">
        <f t="shared" ca="1" si="46"/>
        <v>1.7250000000000001</v>
      </c>
      <c r="BC44" s="308">
        <f t="shared" ca="1" si="47"/>
        <v>0.96599999999999997</v>
      </c>
      <c r="BD44" s="309">
        <f t="shared" ca="1" si="12"/>
        <v>2.6909999999999998</v>
      </c>
      <c r="BE44" s="310">
        <f t="shared" ca="1" si="48"/>
        <v>0.67500000000000004</v>
      </c>
      <c r="BF44" s="308">
        <f t="shared" ca="1" si="49"/>
        <v>0.16875000000000001</v>
      </c>
      <c r="BG44" s="309">
        <f t="shared" ca="1" si="13"/>
        <v>0.84375</v>
      </c>
      <c r="BH44" s="310">
        <f t="shared" ca="1" si="50"/>
        <v>2.4000000000000004</v>
      </c>
      <c r="BI44" s="309">
        <f t="shared" ca="1" si="51"/>
        <v>1.1347499999999999</v>
      </c>
      <c r="BJ44" s="311">
        <f t="shared" ca="1" si="14"/>
        <v>3.5347500000000003</v>
      </c>
      <c r="BK44" s="286"/>
      <c r="BL44" s="307">
        <f t="shared" ca="1" si="52"/>
        <v>0</v>
      </c>
      <c r="BM44" s="308">
        <f t="shared" ca="1" si="53"/>
        <v>0</v>
      </c>
      <c r="BN44" s="309">
        <f t="shared" ca="1" si="15"/>
        <v>0</v>
      </c>
      <c r="BO44" s="310">
        <f t="shared" ca="1" si="54"/>
        <v>1.7250000000000001</v>
      </c>
      <c r="BP44" s="308">
        <f t="shared" ca="1" si="55"/>
        <v>0.96599999999999997</v>
      </c>
      <c r="BQ44" s="309">
        <f t="shared" ca="1" si="16"/>
        <v>2.6909999999999998</v>
      </c>
      <c r="BR44" s="310">
        <f t="shared" ca="1" si="56"/>
        <v>0.67500000000000004</v>
      </c>
      <c r="BS44" s="308">
        <f t="shared" ca="1" si="57"/>
        <v>0.16875000000000001</v>
      </c>
      <c r="BT44" s="309">
        <f t="shared" ca="1" si="17"/>
        <v>0.84375</v>
      </c>
      <c r="BU44" s="310">
        <f t="shared" ca="1" si="18"/>
        <v>2.4000000000000004</v>
      </c>
      <c r="BV44" s="309">
        <f t="shared" ca="1" si="19"/>
        <v>1.1347499999999999</v>
      </c>
      <c r="BW44" s="311">
        <f t="shared" ca="1" si="20"/>
        <v>3.5347500000000003</v>
      </c>
      <c r="BX44" s="286"/>
      <c r="BY44" s="300">
        <f t="shared" ca="1" si="59"/>
        <v>4.6629367034256575E-15</v>
      </c>
      <c r="BZ44" s="301">
        <f t="shared" ca="1" si="60"/>
        <v>2.7599999999999731</v>
      </c>
      <c r="CA44" s="301">
        <f t="shared" ca="1" si="61"/>
        <v>1.1137500000000002</v>
      </c>
      <c r="CB44" s="312">
        <f t="shared" ca="1" si="58"/>
        <v>3.873749999999978</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92</v>
      </c>
      <c r="M45" s="254">
        <f ca="1">BN47</f>
        <v>92</v>
      </c>
      <c r="N45" s="25"/>
      <c r="O45" s="358" t="s">
        <v>46</v>
      </c>
      <c r="P45" s="247"/>
      <c r="Q45" s="362">
        <f t="shared" ca="1" si="21"/>
        <v>2.9137499999999998</v>
      </c>
      <c r="R45" s="248">
        <f t="shared" ca="1" si="22"/>
        <v>0.16875000000000001</v>
      </c>
      <c r="S45" s="363">
        <f t="shared" ca="1" si="23"/>
        <v>3.0825</v>
      </c>
      <c r="T45" s="247"/>
      <c r="U45" s="362">
        <f t="shared" ca="1" si="24"/>
        <v>2.9137499999999998</v>
      </c>
      <c r="V45" s="248">
        <f t="shared" ca="1" si="25"/>
        <v>0.16875000000000001</v>
      </c>
      <c r="W45" s="363">
        <f t="shared" ca="1" si="26"/>
        <v>3.0825</v>
      </c>
      <c r="X45" s="247"/>
      <c r="Y45" s="362">
        <f t="shared" ca="1" si="27"/>
        <v>2.9137499999999998</v>
      </c>
      <c r="Z45" s="248">
        <f t="shared" ca="1" si="28"/>
        <v>0.16875000000000001</v>
      </c>
      <c r="AA45" s="363">
        <f t="shared" ca="1" si="29"/>
        <v>3.0825</v>
      </c>
      <c r="AB45" s="58" t="str">
        <f t="shared" ca="1" si="62"/>
        <v/>
      </c>
      <c r="AC45" s="495" t="s">
        <v>46</v>
      </c>
      <c r="AD45" s="275"/>
      <c r="AE45" s="303">
        <f t="shared" ca="1" si="31"/>
        <v>0</v>
      </c>
      <c r="AF45" s="304">
        <f t="shared" ca="1" si="32"/>
        <v>0</v>
      </c>
      <c r="AG45" s="305">
        <f t="shared" ca="1" si="33"/>
        <v>-1.5</v>
      </c>
      <c r="AH45" s="304">
        <f t="shared" ca="1" si="34"/>
        <v>0</v>
      </c>
      <c r="AI45" s="305">
        <f t="shared" ca="1" si="35"/>
        <v>-1.25</v>
      </c>
      <c r="AJ45" s="306">
        <f t="shared" ca="1" si="36"/>
        <v>0.25</v>
      </c>
      <c r="AK45" s="280"/>
      <c r="AL45" s="307">
        <f t="shared" ca="1" si="37"/>
        <v>0</v>
      </c>
      <c r="AM45" s="308">
        <f t="shared" ca="1" si="38"/>
        <v>0</v>
      </c>
      <c r="AN45" s="309">
        <f t="shared" ca="1" si="6"/>
        <v>0</v>
      </c>
      <c r="AO45" s="310">
        <f t="shared" ca="1" si="39"/>
        <v>2.0699999999999998</v>
      </c>
      <c r="AP45" s="308">
        <f t="shared" ca="1" si="40"/>
        <v>0</v>
      </c>
      <c r="AQ45" s="309">
        <f t="shared" ca="1" si="7"/>
        <v>2.0699999999999998</v>
      </c>
      <c r="AR45" s="310">
        <f t="shared" ca="1" si="41"/>
        <v>0.84375</v>
      </c>
      <c r="AS45" s="308">
        <f t="shared" ca="1" si="42"/>
        <v>0.16875000000000001</v>
      </c>
      <c r="AT45" s="309">
        <f t="shared" ca="1" si="8"/>
        <v>1.0125</v>
      </c>
      <c r="AU45" s="310">
        <f t="shared" ca="1" si="9"/>
        <v>2.9137499999999998</v>
      </c>
      <c r="AV45" s="309">
        <f t="shared" ca="1" si="10"/>
        <v>0.16875000000000001</v>
      </c>
      <c r="AW45" s="311">
        <f t="shared" ca="1" si="11"/>
        <v>3.0825</v>
      </c>
      <c r="AX45" s="286"/>
      <c r="AY45" s="307">
        <f t="shared" ca="1" si="43"/>
        <v>0</v>
      </c>
      <c r="AZ45" s="308">
        <f t="shared" ca="1" si="44"/>
        <v>0</v>
      </c>
      <c r="BA45" s="309">
        <f t="shared" ca="1" si="45"/>
        <v>0</v>
      </c>
      <c r="BB45" s="310">
        <f t="shared" ca="1" si="46"/>
        <v>2.0699999999999998</v>
      </c>
      <c r="BC45" s="308">
        <f t="shared" ca="1" si="47"/>
        <v>0</v>
      </c>
      <c r="BD45" s="309">
        <f t="shared" ca="1" si="12"/>
        <v>2.0699999999999998</v>
      </c>
      <c r="BE45" s="310">
        <f t="shared" ca="1" si="48"/>
        <v>0.84375</v>
      </c>
      <c r="BF45" s="308">
        <f t="shared" ca="1" si="49"/>
        <v>0.16875000000000001</v>
      </c>
      <c r="BG45" s="309">
        <f t="shared" ca="1" si="13"/>
        <v>1.0125</v>
      </c>
      <c r="BH45" s="310">
        <f t="shared" ca="1" si="50"/>
        <v>2.9137499999999998</v>
      </c>
      <c r="BI45" s="309">
        <f t="shared" ca="1" si="51"/>
        <v>0.16875000000000001</v>
      </c>
      <c r="BJ45" s="311">
        <f t="shared" ca="1" si="14"/>
        <v>3.0825</v>
      </c>
      <c r="BK45" s="286"/>
      <c r="BL45" s="307">
        <f t="shared" ca="1" si="52"/>
        <v>0</v>
      </c>
      <c r="BM45" s="308">
        <f t="shared" ca="1" si="53"/>
        <v>0</v>
      </c>
      <c r="BN45" s="309">
        <f t="shared" ca="1" si="15"/>
        <v>0</v>
      </c>
      <c r="BO45" s="310">
        <f t="shared" ca="1" si="54"/>
        <v>2.0699999999999998</v>
      </c>
      <c r="BP45" s="308">
        <f t="shared" ca="1" si="55"/>
        <v>0</v>
      </c>
      <c r="BQ45" s="309">
        <f t="shared" ca="1" si="16"/>
        <v>2.0699999999999998</v>
      </c>
      <c r="BR45" s="310">
        <f t="shared" ca="1" si="56"/>
        <v>0.84375</v>
      </c>
      <c r="BS45" s="308">
        <f t="shared" ca="1" si="57"/>
        <v>0.16875000000000001</v>
      </c>
      <c r="BT45" s="309">
        <f t="shared" ca="1" si="17"/>
        <v>1.0125</v>
      </c>
      <c r="BU45" s="310">
        <f t="shared" ca="1" si="18"/>
        <v>2.9137499999999998</v>
      </c>
      <c r="BV45" s="309">
        <f t="shared" ca="1" si="19"/>
        <v>0.16875000000000001</v>
      </c>
      <c r="BW45" s="311">
        <f t="shared" ca="1" si="20"/>
        <v>3.0825</v>
      </c>
      <c r="BX45" s="286"/>
      <c r="BY45" s="300">
        <f t="shared" ca="1" si="59"/>
        <v>4.6629367034256575E-15</v>
      </c>
      <c r="BZ45" s="301">
        <f t="shared" ca="1" si="60"/>
        <v>0.6899999999999733</v>
      </c>
      <c r="CA45" s="301">
        <f t="shared" ca="1" si="61"/>
        <v>0.4387500000000002</v>
      </c>
      <c r="CB45" s="312">
        <f t="shared" ca="1" si="58"/>
        <v>1.1287499999999782</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134.99999999999997</v>
      </c>
      <c r="M46" s="261">
        <f ca="1">BT47</f>
        <v>134.99999999999997</v>
      </c>
      <c r="N46" s="25"/>
      <c r="O46" s="359" t="s">
        <v>24</v>
      </c>
      <c r="P46" s="247"/>
      <c r="Q46" s="364">
        <f t="shared" ca="1" si="21"/>
        <v>1.1287499999999999</v>
      </c>
      <c r="R46" s="352">
        <f t="shared" ca="1" si="22"/>
        <v>0</v>
      </c>
      <c r="S46" s="365">
        <f t="shared" ca="1" si="23"/>
        <v>1.1287499999999999</v>
      </c>
      <c r="T46" s="247"/>
      <c r="U46" s="364">
        <f t="shared" ca="1" si="24"/>
        <v>1.1287499999999999</v>
      </c>
      <c r="V46" s="352">
        <f t="shared" ca="1" si="25"/>
        <v>0</v>
      </c>
      <c r="W46" s="365">
        <f t="shared" ca="1" si="26"/>
        <v>1.1287499999999999</v>
      </c>
      <c r="X46" s="247"/>
      <c r="Y46" s="364">
        <f t="shared" ca="1" si="27"/>
        <v>1.1287499999999999</v>
      </c>
      <c r="Z46" s="352">
        <f t="shared" ca="1" si="28"/>
        <v>0</v>
      </c>
      <c r="AA46" s="365">
        <f t="shared" ca="1" si="29"/>
        <v>1.1287499999999999</v>
      </c>
      <c r="AB46" s="58" t="str">
        <f t="shared" ca="1" si="62"/>
        <v/>
      </c>
      <c r="AC46" s="496" t="s">
        <v>24</v>
      </c>
      <c r="AD46" s="275"/>
      <c r="AE46" s="315">
        <f t="shared" ca="1" si="31"/>
        <v>0</v>
      </c>
      <c r="AF46" s="316">
        <f t="shared" ca="1" si="32"/>
        <v>0</v>
      </c>
      <c r="AG46" s="317">
        <f t="shared" ca="1" si="33"/>
        <v>-0.5</v>
      </c>
      <c r="AH46" s="316">
        <f t="shared" ca="1" si="34"/>
        <v>0</v>
      </c>
      <c r="AI46" s="317">
        <f t="shared" ca="1" si="35"/>
        <v>-0.65</v>
      </c>
      <c r="AJ46" s="318">
        <f t="shared" ca="1" si="36"/>
        <v>0</v>
      </c>
      <c r="AK46" s="280"/>
      <c r="AL46" s="319">
        <f t="shared" ca="1" si="37"/>
        <v>0</v>
      </c>
      <c r="AM46" s="320">
        <f t="shared" ca="1" si="38"/>
        <v>0</v>
      </c>
      <c r="AN46" s="321">
        <f t="shared" ca="1" si="6"/>
        <v>0</v>
      </c>
      <c r="AO46" s="322">
        <f t="shared" ca="1" si="39"/>
        <v>0.69</v>
      </c>
      <c r="AP46" s="320">
        <f t="shared" ca="1" si="40"/>
        <v>0</v>
      </c>
      <c r="AQ46" s="321">
        <f t="shared" ca="1" si="7"/>
        <v>0.69</v>
      </c>
      <c r="AR46" s="322">
        <f t="shared" ca="1" si="41"/>
        <v>0.43874999999999997</v>
      </c>
      <c r="AS46" s="320">
        <f t="shared" ca="1" si="42"/>
        <v>0</v>
      </c>
      <c r="AT46" s="321">
        <f t="shared" ca="1" si="8"/>
        <v>0.43874999999999997</v>
      </c>
      <c r="AU46" s="322">
        <f t="shared" ca="1" si="9"/>
        <v>1.1287499999999999</v>
      </c>
      <c r="AV46" s="321">
        <f t="shared" ca="1" si="10"/>
        <v>0</v>
      </c>
      <c r="AW46" s="323">
        <f t="shared" ca="1" si="11"/>
        <v>1.1287499999999999</v>
      </c>
      <c r="AX46" s="286"/>
      <c r="AY46" s="319">
        <f t="shared" ca="1" si="43"/>
        <v>0</v>
      </c>
      <c r="AZ46" s="320">
        <f t="shared" ca="1" si="44"/>
        <v>0</v>
      </c>
      <c r="BA46" s="321">
        <f t="shared" ca="1" si="45"/>
        <v>0</v>
      </c>
      <c r="BB46" s="322">
        <f t="shared" ca="1" si="46"/>
        <v>0.69</v>
      </c>
      <c r="BC46" s="320">
        <f t="shared" ca="1" si="47"/>
        <v>0</v>
      </c>
      <c r="BD46" s="321">
        <f t="shared" ca="1" si="12"/>
        <v>0.69</v>
      </c>
      <c r="BE46" s="322">
        <f t="shared" ca="1" si="48"/>
        <v>0.43874999999999997</v>
      </c>
      <c r="BF46" s="320">
        <f t="shared" ca="1" si="49"/>
        <v>0</v>
      </c>
      <c r="BG46" s="321">
        <f t="shared" ca="1" si="13"/>
        <v>0.43874999999999997</v>
      </c>
      <c r="BH46" s="322">
        <f t="shared" ca="1" si="50"/>
        <v>1.1287499999999999</v>
      </c>
      <c r="BI46" s="321">
        <f t="shared" ca="1" si="51"/>
        <v>0</v>
      </c>
      <c r="BJ46" s="323">
        <f t="shared" ca="1" si="14"/>
        <v>1.1287499999999999</v>
      </c>
      <c r="BK46" s="286"/>
      <c r="BL46" s="319">
        <f t="shared" ca="1" si="52"/>
        <v>0</v>
      </c>
      <c r="BM46" s="320">
        <f t="shared" ca="1" si="53"/>
        <v>0</v>
      </c>
      <c r="BN46" s="321">
        <f t="shared" ca="1" si="15"/>
        <v>0</v>
      </c>
      <c r="BO46" s="322">
        <f t="shared" ca="1" si="54"/>
        <v>0.69</v>
      </c>
      <c r="BP46" s="320">
        <f t="shared" ca="1" si="55"/>
        <v>0</v>
      </c>
      <c r="BQ46" s="321">
        <f t="shared" ca="1" si="16"/>
        <v>0.69</v>
      </c>
      <c r="BR46" s="322">
        <f t="shared" ca="1" si="56"/>
        <v>0.43874999999999997</v>
      </c>
      <c r="BS46" s="320">
        <f t="shared" ca="1" si="57"/>
        <v>0</v>
      </c>
      <c r="BT46" s="321">
        <f t="shared" ca="1" si="17"/>
        <v>0.43874999999999997</v>
      </c>
      <c r="BU46" s="322">
        <f t="shared" ca="1" si="18"/>
        <v>1.1287499999999999</v>
      </c>
      <c r="BV46" s="321">
        <f t="shared" ca="1" si="19"/>
        <v>0</v>
      </c>
      <c r="BW46" s="323">
        <f t="shared" ca="1" si="20"/>
        <v>1.1287499999999999</v>
      </c>
      <c r="BX46" s="286"/>
      <c r="BY46" s="300">
        <f t="shared" ca="1" si="59"/>
        <v>4.6629367034256575E-15</v>
      </c>
      <c r="BZ46" s="301">
        <f t="shared" ca="1" si="60"/>
        <v>0</v>
      </c>
      <c r="CA46" s="301">
        <f t="shared" ca="1" si="61"/>
        <v>2.2204460492503131E-16</v>
      </c>
      <c r="CB46" s="324">
        <f t="shared" ca="1" si="58"/>
        <v>4.8849813083506888E-15</v>
      </c>
      <c r="CE46" s="27"/>
      <c r="CF46" s="27"/>
      <c r="CG46" s="27"/>
      <c r="CH46" s="27"/>
      <c r="CI46" s="27"/>
      <c r="CJ46" s="27"/>
      <c r="CK46" s="34"/>
      <c r="CL46" s="34"/>
      <c r="CM46" s="35"/>
    </row>
    <row r="47" spans="2:91" ht="18.899999999999999" customHeight="1" thickBot="1">
      <c r="I47" s="255"/>
      <c r="J47" s="256" t="s">
        <v>22</v>
      </c>
      <c r="K47" s="257" t="s">
        <v>147</v>
      </c>
      <c r="L47" s="249">
        <f ca="1">SUM(L44:L46)</f>
        <v>502.99999999999989</v>
      </c>
      <c r="M47" s="249">
        <f ca="1">SUM(M44:M46)</f>
        <v>502.99999999999989</v>
      </c>
      <c r="N47" s="26"/>
      <c r="O47" s="353" t="s">
        <v>47</v>
      </c>
      <c r="P47" s="247"/>
      <c r="Q47" s="354">
        <f ca="1">SUM(Q23:Q46)</f>
        <v>251.50000000000003</v>
      </c>
      <c r="R47" s="355">
        <f ca="1">SUM(R23:R46)</f>
        <v>251.49999999999997</v>
      </c>
      <c r="S47" s="356">
        <f ca="1">SUM(S23:S46)</f>
        <v>503</v>
      </c>
      <c r="T47" s="247"/>
      <c r="U47" s="354">
        <f ca="1">SUM(U23:U46)</f>
        <v>251.50000000000003</v>
      </c>
      <c r="V47" s="355">
        <f ca="1">SUM(V23:V46)</f>
        <v>251.49999999999997</v>
      </c>
      <c r="W47" s="356">
        <f ca="1">SUM(W23:W46)</f>
        <v>503</v>
      </c>
      <c r="X47" s="247"/>
      <c r="Y47" s="354">
        <f ca="1">SUM(Y23:Y46)</f>
        <v>251.50000000000003</v>
      </c>
      <c r="Z47" s="355">
        <f ca="1">SUM(Z23:Z46)</f>
        <v>251.49999999999997</v>
      </c>
      <c r="AA47" s="356">
        <f ca="1">SUM(AA23:AA46)</f>
        <v>503</v>
      </c>
      <c r="AC47" s="325" t="s">
        <v>47</v>
      </c>
      <c r="AD47" s="90"/>
      <c r="AE47" s="326">
        <f t="shared" ref="AE47:AJ47" ca="1" si="63">SUM(AE23:AE46)</f>
        <v>-99.999999999999986</v>
      </c>
      <c r="AF47" s="327">
        <f t="shared" ca="1" si="63"/>
        <v>100</v>
      </c>
      <c r="AG47" s="328">
        <f t="shared" ca="1" si="63"/>
        <v>-100</v>
      </c>
      <c r="AH47" s="327">
        <f t="shared" ca="1" si="63"/>
        <v>100.00000000000003</v>
      </c>
      <c r="AI47" s="328">
        <f t="shared" ca="1" si="63"/>
        <v>-100</v>
      </c>
      <c r="AJ47" s="329">
        <f t="shared" ca="1" si="63"/>
        <v>100</v>
      </c>
      <c r="AK47" s="330"/>
      <c r="AL47" s="326">
        <f t="shared" ref="AL47:AW47" ca="1" si="64">SUM(AL23:AL46)</f>
        <v>46</v>
      </c>
      <c r="AM47" s="331">
        <f t="shared" ca="1" si="64"/>
        <v>46.000000000000007</v>
      </c>
      <c r="AN47" s="327">
        <f t="shared" ca="1" si="64"/>
        <v>92</v>
      </c>
      <c r="AO47" s="328">
        <f t="shared" ca="1" si="64"/>
        <v>137.99999999999997</v>
      </c>
      <c r="AP47" s="331">
        <f t="shared" ca="1" si="64"/>
        <v>138</v>
      </c>
      <c r="AQ47" s="327">
        <f t="shared" ca="1" si="64"/>
        <v>275.99999999999994</v>
      </c>
      <c r="AR47" s="328">
        <f t="shared" ca="1" si="64"/>
        <v>67.500000000000014</v>
      </c>
      <c r="AS47" s="331">
        <f t="shared" ca="1" si="64"/>
        <v>67.500000000000014</v>
      </c>
      <c r="AT47" s="327">
        <f t="shared" ca="1" si="64"/>
        <v>134.99999999999997</v>
      </c>
      <c r="AU47" s="328">
        <f t="shared" ca="1" si="64"/>
        <v>251.50000000000003</v>
      </c>
      <c r="AV47" s="327">
        <f t="shared" ca="1" si="64"/>
        <v>251.49999999999997</v>
      </c>
      <c r="AW47" s="329">
        <f t="shared" ca="1" si="64"/>
        <v>503</v>
      </c>
      <c r="AX47" s="332"/>
      <c r="AY47" s="326">
        <f t="shared" ref="AY47:BJ47" ca="1" si="65">SUM(AY23:AY46)</f>
        <v>46</v>
      </c>
      <c r="AZ47" s="331">
        <f t="shared" ca="1" si="65"/>
        <v>46.000000000000007</v>
      </c>
      <c r="BA47" s="327">
        <f t="shared" ca="1" si="65"/>
        <v>92</v>
      </c>
      <c r="BB47" s="328">
        <f t="shared" ca="1" si="65"/>
        <v>137.99999999999997</v>
      </c>
      <c r="BC47" s="331">
        <f t="shared" ca="1" si="65"/>
        <v>138</v>
      </c>
      <c r="BD47" s="327">
        <f t="shared" ca="1" si="65"/>
        <v>275.99999999999994</v>
      </c>
      <c r="BE47" s="328">
        <f t="shared" ca="1" si="65"/>
        <v>67.500000000000014</v>
      </c>
      <c r="BF47" s="331">
        <f t="shared" ca="1" si="65"/>
        <v>67.500000000000014</v>
      </c>
      <c r="BG47" s="327">
        <f t="shared" ca="1" si="65"/>
        <v>134.99999999999997</v>
      </c>
      <c r="BH47" s="328">
        <f t="shared" ca="1" si="65"/>
        <v>251.50000000000003</v>
      </c>
      <c r="BI47" s="327">
        <f t="shared" ca="1" si="65"/>
        <v>251.49999999999997</v>
      </c>
      <c r="BJ47" s="329">
        <f t="shared" ca="1" si="65"/>
        <v>503</v>
      </c>
      <c r="BK47" s="332"/>
      <c r="BL47" s="326">
        <f t="shared" ref="BL47:BW47" ca="1" si="66">SUM(BL23:BL46)</f>
        <v>46</v>
      </c>
      <c r="BM47" s="331">
        <f t="shared" ca="1" si="66"/>
        <v>46.000000000000007</v>
      </c>
      <c r="BN47" s="327">
        <f t="shared" ca="1" si="66"/>
        <v>92</v>
      </c>
      <c r="BO47" s="328">
        <f t="shared" ca="1" si="66"/>
        <v>137.99999999999997</v>
      </c>
      <c r="BP47" s="331">
        <f t="shared" ca="1" si="66"/>
        <v>138</v>
      </c>
      <c r="BQ47" s="327">
        <f t="shared" ca="1" si="66"/>
        <v>275.99999999999994</v>
      </c>
      <c r="BR47" s="328">
        <f t="shared" ca="1" si="66"/>
        <v>67.500000000000014</v>
      </c>
      <c r="BS47" s="331">
        <f t="shared" ca="1" si="66"/>
        <v>67.500000000000014</v>
      </c>
      <c r="BT47" s="327">
        <f t="shared" ca="1" si="66"/>
        <v>134.99999999999997</v>
      </c>
      <c r="BU47" s="328">
        <f t="shared" ca="1" si="66"/>
        <v>251.50000000000003</v>
      </c>
      <c r="BV47" s="327">
        <f t="shared" ca="1" si="66"/>
        <v>251.49999999999997</v>
      </c>
      <c r="BW47" s="329">
        <f t="shared" ca="1" si="66"/>
        <v>503</v>
      </c>
      <c r="BX47" s="332"/>
      <c r="BY47" s="333">
        <f ca="1">MAX(BY23:BY46)</f>
        <v>4.0250000000000048</v>
      </c>
      <c r="BZ47" s="334">
        <f ca="1">MAX(BZ23:BZ46)</f>
        <v>75.416999999999987</v>
      </c>
      <c r="CA47" s="334">
        <f ca="1">MAX(CA23:CA46)</f>
        <v>7.3574999999999999</v>
      </c>
      <c r="CB47" s="335">
        <f ca="1">MAX(CB23:CB46)</f>
        <v>83.548249999999982</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Dienstleistungsbetrieb BT B</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Dienstleistungsbetrieb BT B</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3.3306690738754696E-15</v>
      </c>
      <c r="X102" s="244"/>
      <c r="Y102" s="499">
        <f t="shared" ref="Y102:Y125" ca="1" si="68">BY23</f>
        <v>3.1086244689504383E-15</v>
      </c>
      <c r="Z102" s="500">
        <f t="shared" ref="Z102:Z125" ca="1" si="69">BZ23</f>
        <v>0</v>
      </c>
      <c r="AA102" s="501">
        <f t="shared" ref="AA102:AA125" ca="1" si="70">CA23</f>
        <v>2.2204460492503131E-16</v>
      </c>
    </row>
    <row r="103" spans="9:27" ht="15.9" customHeight="1">
      <c r="I103" s="670"/>
      <c r="J103" s="52"/>
      <c r="K103" s="52"/>
      <c r="L103" s="52"/>
      <c r="M103" s="52"/>
      <c r="N103" s="52"/>
      <c r="O103" s="52"/>
      <c r="P103" s="52"/>
      <c r="Q103" s="52"/>
      <c r="R103" s="52"/>
      <c r="S103" s="52"/>
      <c r="T103" s="52"/>
      <c r="U103" s="664" t="s">
        <v>161</v>
      </c>
      <c r="V103" s="665"/>
      <c r="W103" s="466">
        <f t="shared" ca="1" si="67"/>
        <v>3.3306690738754696E-15</v>
      </c>
      <c r="X103" s="244"/>
      <c r="Y103" s="502">
        <f t="shared" ca="1" si="68"/>
        <v>3.1086244689504383E-15</v>
      </c>
      <c r="Z103" s="503">
        <f t="shared" ca="1" si="69"/>
        <v>0</v>
      </c>
      <c r="AA103" s="504">
        <f t="shared" ca="1" si="70"/>
        <v>2.2204460492503131E-16</v>
      </c>
    </row>
    <row r="104" spans="9:27" ht="15.9" customHeight="1">
      <c r="I104" s="670"/>
      <c r="J104" s="52"/>
      <c r="K104" s="52"/>
      <c r="L104" s="52"/>
      <c r="M104" s="52"/>
      <c r="N104" s="52"/>
      <c r="O104" s="52"/>
      <c r="P104" s="52"/>
      <c r="Q104" s="52"/>
      <c r="R104" s="52"/>
      <c r="S104" s="52"/>
      <c r="T104" s="52"/>
      <c r="U104" s="664" t="s">
        <v>26</v>
      </c>
      <c r="V104" s="665"/>
      <c r="W104" s="466">
        <f t="shared" ca="1" si="67"/>
        <v>3.3306690738754696E-15</v>
      </c>
      <c r="X104" s="244"/>
      <c r="Y104" s="502">
        <f t="shared" ca="1" si="68"/>
        <v>3.1086244689504383E-15</v>
      </c>
      <c r="Z104" s="503">
        <f t="shared" ca="1" si="69"/>
        <v>0</v>
      </c>
      <c r="AA104" s="504">
        <f t="shared" ca="1" si="70"/>
        <v>2.2204460492503131E-16</v>
      </c>
    </row>
    <row r="105" spans="9:27" ht="15.9" customHeight="1">
      <c r="I105" s="670"/>
      <c r="J105" s="52"/>
      <c r="K105" s="52"/>
      <c r="L105" s="52"/>
      <c r="M105" s="52"/>
      <c r="N105" s="52"/>
      <c r="O105" s="52"/>
      <c r="P105" s="52"/>
      <c r="Q105" s="52"/>
      <c r="R105" s="52"/>
      <c r="S105" s="52"/>
      <c r="T105" s="52"/>
      <c r="U105" s="664" t="s">
        <v>27</v>
      </c>
      <c r="V105" s="665"/>
      <c r="W105" s="466">
        <f t="shared" ca="1" si="67"/>
        <v>3.3306690738754696E-15</v>
      </c>
      <c r="X105" s="244"/>
      <c r="Y105" s="502">
        <f t="shared" ca="1" si="68"/>
        <v>3.1086244689504383E-15</v>
      </c>
      <c r="Z105" s="503">
        <f t="shared" ca="1" si="69"/>
        <v>0</v>
      </c>
      <c r="AA105" s="504">
        <f t="shared" ca="1" si="70"/>
        <v>2.2204460492503131E-16</v>
      </c>
    </row>
    <row r="106" spans="9:27" ht="15.9" customHeight="1">
      <c r="I106" s="670"/>
      <c r="J106" s="52"/>
      <c r="K106" s="52"/>
      <c r="L106" s="52"/>
      <c r="M106" s="52"/>
      <c r="N106" s="52"/>
      <c r="O106" s="52"/>
      <c r="P106" s="52"/>
      <c r="Q106" s="52"/>
      <c r="R106" s="52"/>
      <c r="S106" s="52"/>
      <c r="T106" s="52"/>
      <c r="U106" s="664" t="s">
        <v>28</v>
      </c>
      <c r="V106" s="665"/>
      <c r="W106" s="466">
        <f t="shared" ca="1" si="67"/>
        <v>1.5487500000000032</v>
      </c>
      <c r="X106" s="244"/>
      <c r="Y106" s="502">
        <f t="shared" ca="1" si="68"/>
        <v>3.1086244689504383E-15</v>
      </c>
      <c r="Z106" s="503">
        <f t="shared" ca="1" si="69"/>
        <v>1.38</v>
      </c>
      <c r="AA106" s="504">
        <f t="shared" ca="1" si="70"/>
        <v>0.16875000000000023</v>
      </c>
    </row>
    <row r="107" spans="9:27" ht="15.9" customHeight="1">
      <c r="I107" s="670"/>
      <c r="J107" s="52"/>
      <c r="K107" s="52"/>
      <c r="L107" s="52"/>
      <c r="M107" s="52"/>
      <c r="N107" s="52"/>
      <c r="O107" s="52"/>
      <c r="P107" s="52"/>
      <c r="Q107" s="52"/>
      <c r="R107" s="52"/>
      <c r="S107" s="52"/>
      <c r="T107" s="52"/>
      <c r="U107" s="664" t="s">
        <v>29</v>
      </c>
      <c r="V107" s="665"/>
      <c r="W107" s="466">
        <f t="shared" ca="1" si="67"/>
        <v>9.8212500000000027</v>
      </c>
      <c r="X107" s="244"/>
      <c r="Y107" s="502">
        <f t="shared" ca="1" si="68"/>
        <v>3.1086244689504383E-15</v>
      </c>
      <c r="Z107" s="503">
        <f t="shared" ca="1" si="69"/>
        <v>9.3149999999999995</v>
      </c>
      <c r="AA107" s="504">
        <f t="shared" ca="1" si="70"/>
        <v>0.50625000000000009</v>
      </c>
    </row>
    <row r="108" spans="9:27" ht="15.9" customHeight="1">
      <c r="I108" s="670"/>
      <c r="J108" s="52"/>
      <c r="K108" s="52"/>
      <c r="L108" s="52"/>
      <c r="M108" s="52"/>
      <c r="N108" s="52"/>
      <c r="O108" s="52"/>
      <c r="P108" s="52"/>
      <c r="Q108" s="52"/>
      <c r="R108" s="52"/>
      <c r="S108" s="52"/>
      <c r="T108" s="52"/>
      <c r="U108" s="664" t="s">
        <v>30</v>
      </c>
      <c r="V108" s="665"/>
      <c r="W108" s="466">
        <f t="shared" ca="1" si="67"/>
        <v>38.540999999999997</v>
      </c>
      <c r="X108" s="244"/>
      <c r="Y108" s="502">
        <f t="shared" ca="1" si="68"/>
        <v>3.1086244689504383E-15</v>
      </c>
      <c r="Z108" s="503">
        <f t="shared" ca="1" si="69"/>
        <v>37.190999999999995</v>
      </c>
      <c r="AA108" s="504">
        <f t="shared" ca="1" si="70"/>
        <v>1.35</v>
      </c>
    </row>
    <row r="109" spans="9:27" ht="15.9" customHeight="1">
      <c r="I109" s="670"/>
      <c r="J109" s="52"/>
      <c r="K109" s="52"/>
      <c r="L109" s="52"/>
      <c r="M109" s="52"/>
      <c r="N109" s="52"/>
      <c r="O109" s="52"/>
      <c r="P109" s="52"/>
      <c r="Q109" s="52"/>
      <c r="R109" s="52"/>
      <c r="S109" s="52"/>
      <c r="T109" s="52"/>
      <c r="U109" s="664" t="s">
        <v>31</v>
      </c>
      <c r="V109" s="665"/>
      <c r="W109" s="466">
        <f t="shared" ca="1" si="67"/>
        <v>75.372749999999996</v>
      </c>
      <c r="X109" s="244"/>
      <c r="Y109" s="502">
        <f t="shared" ca="1" si="68"/>
        <v>1.2420000000000031</v>
      </c>
      <c r="Z109" s="503">
        <f t="shared" ca="1" si="69"/>
        <v>70.586999999999989</v>
      </c>
      <c r="AA109" s="504">
        <f t="shared" ca="1" si="70"/>
        <v>3.5437500000000006</v>
      </c>
    </row>
    <row r="110" spans="9:27" ht="15.9" customHeight="1">
      <c r="I110" s="670"/>
      <c r="J110" s="52"/>
      <c r="K110" s="52"/>
      <c r="L110" s="52"/>
      <c r="M110" s="52"/>
      <c r="N110" s="52"/>
      <c r="O110" s="52"/>
      <c r="P110" s="52"/>
      <c r="Q110" s="52"/>
      <c r="R110" s="52"/>
      <c r="S110" s="52"/>
      <c r="T110" s="52"/>
      <c r="U110" s="664" t="s">
        <v>32</v>
      </c>
      <c r="V110" s="665"/>
      <c r="W110" s="466">
        <f t="shared" ca="1" si="67"/>
        <v>83.548249999999982</v>
      </c>
      <c r="X110" s="244"/>
      <c r="Y110" s="502">
        <f t="shared" ca="1" si="68"/>
        <v>1.955000000000003</v>
      </c>
      <c r="Z110" s="503">
        <f t="shared" ca="1" si="69"/>
        <v>75.416999999999987</v>
      </c>
      <c r="AA110" s="504">
        <f t="shared" ca="1" si="70"/>
        <v>6.1762499999999996</v>
      </c>
    </row>
    <row r="111" spans="9:27" ht="15.9" customHeight="1">
      <c r="I111" s="670"/>
      <c r="J111" s="52"/>
      <c r="K111" s="52"/>
      <c r="L111" s="52"/>
      <c r="M111" s="52"/>
      <c r="N111" s="52"/>
      <c r="O111" s="52"/>
      <c r="P111" s="52"/>
      <c r="Q111" s="52"/>
      <c r="R111" s="52"/>
      <c r="S111" s="52"/>
      <c r="T111" s="52"/>
      <c r="U111" s="664" t="s">
        <v>33</v>
      </c>
      <c r="V111" s="665"/>
      <c r="W111" s="466">
        <f t="shared" ca="1" si="67"/>
        <v>82.965749999999986</v>
      </c>
      <c r="X111" s="244"/>
      <c r="Y111" s="502">
        <f t="shared" ca="1" si="68"/>
        <v>3.4500000000000037</v>
      </c>
      <c r="Z111" s="503">
        <f t="shared" ca="1" si="69"/>
        <v>73.001999999999981</v>
      </c>
      <c r="AA111" s="504">
        <f t="shared" ca="1" si="70"/>
        <v>6.5137499999999999</v>
      </c>
    </row>
    <row r="112" spans="9:27" ht="15.9" customHeight="1">
      <c r="I112" s="670"/>
      <c r="J112" s="52"/>
      <c r="K112" s="52"/>
      <c r="L112" s="52"/>
      <c r="M112" s="52"/>
      <c r="N112" s="52"/>
      <c r="O112" s="52"/>
      <c r="P112" s="52"/>
      <c r="Q112" s="52"/>
      <c r="R112" s="52"/>
      <c r="S112" s="52"/>
      <c r="T112" s="52"/>
      <c r="U112" s="664" t="s">
        <v>34</v>
      </c>
      <c r="V112" s="665"/>
      <c r="W112" s="466">
        <f t="shared" ca="1" si="67"/>
        <v>81.233499999999978</v>
      </c>
      <c r="X112" s="244"/>
      <c r="Y112" s="502">
        <f t="shared" ca="1" si="68"/>
        <v>3.9790000000000045</v>
      </c>
      <c r="Z112" s="503">
        <f t="shared" ca="1" si="69"/>
        <v>69.896999999999977</v>
      </c>
      <c r="AA112" s="504">
        <f t="shared" ca="1" si="70"/>
        <v>7.3574999999999999</v>
      </c>
    </row>
    <row r="113" spans="9:27" ht="15.9" customHeight="1">
      <c r="I113" s="670"/>
      <c r="J113" s="52"/>
      <c r="K113" s="52"/>
      <c r="L113" s="52"/>
      <c r="M113" s="52"/>
      <c r="N113" s="52"/>
      <c r="O113" s="52"/>
      <c r="P113" s="52"/>
      <c r="Q113" s="52"/>
      <c r="R113" s="52"/>
      <c r="S113" s="52"/>
      <c r="T113" s="52"/>
      <c r="U113" s="664" t="s">
        <v>35</v>
      </c>
      <c r="V113" s="665"/>
      <c r="W113" s="466">
        <f t="shared" ca="1" si="67"/>
        <v>77.662249999999986</v>
      </c>
      <c r="X113" s="244"/>
      <c r="Y113" s="502">
        <f t="shared" ca="1" si="68"/>
        <v>3.4040000000000048</v>
      </c>
      <c r="Z113" s="503">
        <f t="shared" ca="1" si="69"/>
        <v>67.136999999999972</v>
      </c>
      <c r="AA113" s="504">
        <f t="shared" ca="1" si="70"/>
        <v>7.1212499999999999</v>
      </c>
    </row>
    <row r="114" spans="9:27" ht="15.9" customHeight="1">
      <c r="I114" s="670"/>
      <c r="J114" s="52"/>
      <c r="K114" s="52"/>
      <c r="L114" s="52"/>
      <c r="M114" s="52"/>
      <c r="N114" s="52"/>
      <c r="O114" s="52"/>
      <c r="P114" s="52"/>
      <c r="Q114" s="52"/>
      <c r="R114" s="52"/>
      <c r="S114" s="52"/>
      <c r="T114" s="52"/>
      <c r="U114" s="664" t="s">
        <v>36</v>
      </c>
      <c r="V114" s="665"/>
      <c r="W114" s="466">
        <f t="shared" ca="1" si="67"/>
        <v>64.819999999999979</v>
      </c>
      <c r="X114" s="244"/>
      <c r="Y114" s="502">
        <f t="shared" ca="1" si="68"/>
        <v>2.507000000000005</v>
      </c>
      <c r="Z114" s="503">
        <f t="shared" ca="1" si="69"/>
        <v>56.372999999999969</v>
      </c>
      <c r="AA114" s="504">
        <f t="shared" ca="1" si="70"/>
        <v>5.9399999999999995</v>
      </c>
    </row>
    <row r="115" spans="9:27" ht="15.9" customHeight="1">
      <c r="I115" s="670"/>
      <c r="J115" s="52"/>
      <c r="K115" s="52"/>
      <c r="L115" s="52"/>
      <c r="M115" s="52"/>
      <c r="N115" s="52"/>
      <c r="O115" s="52"/>
      <c r="P115" s="52"/>
      <c r="Q115" s="52"/>
      <c r="R115" s="52"/>
      <c r="S115" s="52"/>
      <c r="T115" s="52"/>
      <c r="U115" s="664" t="s">
        <v>37</v>
      </c>
      <c r="V115" s="665"/>
      <c r="W115" s="466">
        <f t="shared" ca="1" si="67"/>
        <v>65.816249999999982</v>
      </c>
      <c r="X115" s="244"/>
      <c r="Y115" s="502">
        <f t="shared" ca="1" si="68"/>
        <v>2.0700000000000047</v>
      </c>
      <c r="Z115" s="503">
        <f t="shared" ca="1" si="69"/>
        <v>58.64999999999997</v>
      </c>
      <c r="AA115" s="504">
        <f t="shared" ca="1" si="70"/>
        <v>5.0962499999999995</v>
      </c>
    </row>
    <row r="116" spans="9:27" ht="15.9" customHeight="1">
      <c r="I116" s="670"/>
      <c r="J116" s="52"/>
      <c r="K116" s="52"/>
      <c r="L116" s="52"/>
      <c r="M116" s="52"/>
      <c r="N116" s="52"/>
      <c r="O116" s="52"/>
      <c r="P116" s="52"/>
      <c r="Q116" s="52"/>
      <c r="R116" s="52"/>
      <c r="S116" s="52"/>
      <c r="T116" s="52"/>
      <c r="U116" s="664" t="s">
        <v>38</v>
      </c>
      <c r="V116" s="665"/>
      <c r="W116" s="466">
        <f t="shared" ca="1" si="67"/>
        <v>65.281249999999972</v>
      </c>
      <c r="X116" s="244"/>
      <c r="Y116" s="502">
        <f t="shared" ca="1" si="68"/>
        <v>2.0930000000000049</v>
      </c>
      <c r="Z116" s="503">
        <f t="shared" ca="1" si="69"/>
        <v>57.821999999999974</v>
      </c>
      <c r="AA116" s="504">
        <f t="shared" ca="1" si="70"/>
        <v>5.3662499999999991</v>
      </c>
    </row>
    <row r="117" spans="9:27" ht="15.9" customHeight="1">
      <c r="I117" s="670"/>
      <c r="J117" s="52"/>
      <c r="K117" s="52"/>
      <c r="L117" s="52"/>
      <c r="M117" s="52"/>
      <c r="N117" s="52"/>
      <c r="O117" s="52"/>
      <c r="P117" s="52"/>
      <c r="Q117" s="52"/>
      <c r="R117" s="52"/>
      <c r="S117" s="52"/>
      <c r="T117" s="52"/>
      <c r="U117" s="664" t="s">
        <v>39</v>
      </c>
      <c r="V117" s="665"/>
      <c r="W117" s="466">
        <f t="shared" ca="1" si="67"/>
        <v>59.025499999999987</v>
      </c>
      <c r="X117" s="244"/>
      <c r="Y117" s="502">
        <f t="shared" ca="1" si="68"/>
        <v>2.5760000000000045</v>
      </c>
      <c r="Z117" s="503">
        <f t="shared" ca="1" si="69"/>
        <v>50.576999999999977</v>
      </c>
      <c r="AA117" s="504">
        <f t="shared" ca="1" si="70"/>
        <v>5.8724999999999996</v>
      </c>
    </row>
    <row r="118" spans="9:27" ht="15.9" customHeight="1">
      <c r="I118" s="670"/>
      <c r="J118" s="52"/>
      <c r="K118" s="52"/>
      <c r="L118" s="52"/>
      <c r="M118" s="52"/>
      <c r="N118" s="52"/>
      <c r="O118" s="52"/>
      <c r="P118" s="52"/>
      <c r="Q118" s="52"/>
      <c r="R118" s="52"/>
      <c r="S118" s="52"/>
      <c r="T118" s="52"/>
      <c r="U118" s="664" t="s">
        <v>40</v>
      </c>
      <c r="V118" s="665"/>
      <c r="W118" s="466">
        <f t="shared" ca="1" si="67"/>
        <v>43.760499999999979</v>
      </c>
      <c r="X118" s="244"/>
      <c r="Y118" s="502">
        <f t="shared" ca="1" si="68"/>
        <v>3.1510000000000042</v>
      </c>
      <c r="Z118" s="503">
        <f t="shared" ca="1" si="69"/>
        <v>36.086999999999975</v>
      </c>
      <c r="AA118" s="504">
        <f t="shared" ca="1" si="70"/>
        <v>4.5225</v>
      </c>
    </row>
    <row r="119" spans="9:27" ht="15.9" customHeight="1">
      <c r="I119" s="670"/>
      <c r="J119" s="52"/>
      <c r="K119" s="52"/>
      <c r="L119" s="52"/>
      <c r="M119" s="52"/>
      <c r="N119" s="52"/>
      <c r="O119" s="52"/>
      <c r="P119" s="52"/>
      <c r="Q119" s="52"/>
      <c r="R119" s="52"/>
      <c r="S119" s="52"/>
      <c r="T119" s="52"/>
      <c r="U119" s="664" t="s">
        <v>41</v>
      </c>
      <c r="V119" s="665"/>
      <c r="W119" s="466">
        <f t="shared" ca="1" si="67"/>
        <v>25.459499999999977</v>
      </c>
      <c r="X119" s="244"/>
      <c r="Y119" s="502">
        <f t="shared" ca="1" si="68"/>
        <v>3.7950000000000044</v>
      </c>
      <c r="Z119" s="503">
        <f t="shared" ca="1" si="69"/>
        <v>18.491999999999972</v>
      </c>
      <c r="AA119" s="504">
        <f t="shared" ca="1" si="70"/>
        <v>3.1725000000000003</v>
      </c>
    </row>
    <row r="120" spans="9:27" ht="15.9" customHeight="1">
      <c r="I120" s="670"/>
      <c r="J120" s="52"/>
      <c r="K120" s="52"/>
      <c r="L120" s="52"/>
      <c r="M120" s="52"/>
      <c r="N120" s="52"/>
      <c r="O120" s="52"/>
      <c r="P120" s="52"/>
      <c r="Q120" s="52"/>
      <c r="R120" s="52"/>
      <c r="S120" s="52"/>
      <c r="T120" s="52"/>
      <c r="U120" s="664" t="s">
        <v>42</v>
      </c>
      <c r="V120" s="665"/>
      <c r="W120" s="466">
        <f t="shared" ca="1" si="67"/>
        <v>15.361999999999977</v>
      </c>
      <c r="X120" s="244"/>
      <c r="Y120" s="502">
        <f t="shared" ca="1" si="68"/>
        <v>4.0250000000000048</v>
      </c>
      <c r="Z120" s="503">
        <f t="shared" ca="1" si="69"/>
        <v>9.176999999999973</v>
      </c>
      <c r="AA120" s="504">
        <f t="shared" ca="1" si="70"/>
        <v>2.16</v>
      </c>
    </row>
    <row r="121" spans="9:27" ht="15.9" customHeight="1">
      <c r="I121" s="670"/>
      <c r="J121" s="52"/>
      <c r="K121" s="52"/>
      <c r="L121" s="52"/>
      <c r="M121" s="52"/>
      <c r="N121" s="52"/>
      <c r="O121" s="52"/>
      <c r="P121" s="52"/>
      <c r="Q121" s="52"/>
      <c r="R121" s="52"/>
      <c r="S121" s="52"/>
      <c r="T121" s="52"/>
      <c r="U121" s="664" t="s">
        <v>43</v>
      </c>
      <c r="V121" s="665"/>
      <c r="W121" s="466">
        <f t="shared" ca="1" si="67"/>
        <v>9.5734999999999779</v>
      </c>
      <c r="X121" s="244"/>
      <c r="Y121" s="502">
        <f t="shared" ca="1" si="68"/>
        <v>1.4720000000000049</v>
      </c>
      <c r="Z121" s="503">
        <f t="shared" ca="1" si="69"/>
        <v>6.2789999999999733</v>
      </c>
      <c r="AA121" s="504">
        <f t="shared" ca="1" si="70"/>
        <v>1.8225000000000002</v>
      </c>
    </row>
    <row r="122" spans="9:27" ht="15.9" customHeight="1">
      <c r="I122" s="670"/>
      <c r="J122" s="52"/>
      <c r="K122" s="52"/>
      <c r="L122" s="52"/>
      <c r="M122" s="52"/>
      <c r="N122" s="52"/>
      <c r="O122" s="52"/>
      <c r="P122" s="52"/>
      <c r="Q122" s="52"/>
      <c r="R122" s="52"/>
      <c r="S122" s="52"/>
      <c r="T122" s="52"/>
      <c r="U122" s="664" t="s">
        <v>44</v>
      </c>
      <c r="V122" s="665"/>
      <c r="W122" s="466">
        <f t="shared" ca="1" si="67"/>
        <v>5.138999999999978</v>
      </c>
      <c r="X122" s="244"/>
      <c r="Y122" s="502">
        <f t="shared" ca="1" si="68"/>
        <v>4.6629367034256575E-15</v>
      </c>
      <c r="Z122" s="503">
        <f t="shared" ca="1" si="69"/>
        <v>3.5189999999999735</v>
      </c>
      <c r="AA122" s="504">
        <f t="shared" ca="1" si="70"/>
        <v>1.6200000000000003</v>
      </c>
    </row>
    <row r="123" spans="9:27" ht="15.9" customHeight="1">
      <c r="I123" s="670"/>
      <c r="J123" s="52"/>
      <c r="K123" s="52"/>
      <c r="L123" s="52"/>
      <c r="M123" s="52"/>
      <c r="N123" s="52"/>
      <c r="O123" s="52"/>
      <c r="P123" s="52"/>
      <c r="Q123" s="52"/>
      <c r="R123" s="52"/>
      <c r="S123" s="52"/>
      <c r="T123" s="52"/>
      <c r="U123" s="664" t="s">
        <v>45</v>
      </c>
      <c r="V123" s="665"/>
      <c r="W123" s="466">
        <f t="shared" ca="1" si="67"/>
        <v>3.873749999999978</v>
      </c>
      <c r="X123" s="244"/>
      <c r="Y123" s="502">
        <f t="shared" ca="1" si="68"/>
        <v>4.6629367034256575E-15</v>
      </c>
      <c r="Z123" s="503">
        <f t="shared" ca="1" si="69"/>
        <v>2.7599999999999731</v>
      </c>
      <c r="AA123" s="504">
        <f t="shared" ca="1" si="70"/>
        <v>1.1137500000000002</v>
      </c>
    </row>
    <row r="124" spans="9:27" ht="15.9" customHeight="1">
      <c r="I124" s="670"/>
      <c r="J124" s="52"/>
      <c r="K124" s="52"/>
      <c r="L124" s="52"/>
      <c r="M124" s="52"/>
      <c r="N124" s="52"/>
      <c r="O124" s="52"/>
      <c r="P124" s="52"/>
      <c r="Q124" s="52"/>
      <c r="R124" s="52"/>
      <c r="S124" s="52"/>
      <c r="T124" s="52"/>
      <c r="U124" s="664" t="s">
        <v>46</v>
      </c>
      <c r="V124" s="665"/>
      <c r="W124" s="466">
        <f t="shared" ca="1" si="67"/>
        <v>1.1287499999999782</v>
      </c>
      <c r="X124" s="244"/>
      <c r="Y124" s="502">
        <f t="shared" ca="1" si="68"/>
        <v>4.6629367034256575E-15</v>
      </c>
      <c r="Z124" s="503">
        <f t="shared" ca="1" si="69"/>
        <v>0.6899999999999733</v>
      </c>
      <c r="AA124" s="504">
        <f t="shared" ca="1" si="70"/>
        <v>0.4387500000000002</v>
      </c>
    </row>
    <row r="125" spans="9:27" ht="15.9" customHeight="1" thickBot="1">
      <c r="I125" s="670"/>
      <c r="J125" s="52"/>
      <c r="K125" s="52"/>
      <c r="L125" s="52"/>
      <c r="M125" s="52"/>
      <c r="N125" s="52"/>
      <c r="O125" s="52"/>
      <c r="P125" s="52"/>
      <c r="Q125" s="52"/>
      <c r="R125" s="52"/>
      <c r="S125" s="52"/>
      <c r="T125" s="52"/>
      <c r="U125" s="666" t="s">
        <v>24</v>
      </c>
      <c r="V125" s="667"/>
      <c r="W125" s="466">
        <f t="shared" ca="1" si="67"/>
        <v>4.8849813083506888E-15</v>
      </c>
      <c r="X125" s="244"/>
      <c r="Y125" s="505">
        <f t="shared" ca="1" si="68"/>
        <v>4.6629367034256575E-15</v>
      </c>
      <c r="Z125" s="506">
        <f t="shared" ca="1" si="69"/>
        <v>0</v>
      </c>
      <c r="AA125" s="507">
        <f t="shared" ca="1" si="70"/>
        <v>2.2204460492503131E-16</v>
      </c>
    </row>
    <row r="126" spans="9:27" ht="15.9" customHeight="1">
      <c r="I126" s="670"/>
      <c r="J126" s="52"/>
      <c r="K126" s="52"/>
      <c r="L126" s="52"/>
      <c r="M126" s="52"/>
      <c r="N126" s="52"/>
      <c r="O126" s="52"/>
      <c r="P126" s="52"/>
      <c r="Q126" s="52"/>
      <c r="R126" s="52"/>
      <c r="S126" s="52"/>
      <c r="T126" s="52"/>
      <c r="U126" s="654" t="s">
        <v>48</v>
      </c>
      <c r="V126" s="655"/>
      <c r="W126" s="658">
        <f ca="1">MAX(W102:W125)</f>
        <v>83.548249999999982</v>
      </c>
      <c r="X126" s="245"/>
      <c r="Y126" s="660">
        <f ca="1">MAX(Y102:Y125)</f>
        <v>4.0250000000000048</v>
      </c>
      <c r="Z126" s="662">
        <f ca="1">MAX(Z102:Z125)</f>
        <v>75.416999999999987</v>
      </c>
      <c r="AA126" s="652">
        <f ca="1">MAX(AA102:AA125)</f>
        <v>7.3574999999999999</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85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algorithmName="SHA-512" hashValue="yYhkEQqFzcPdB2BuaNWEinf9n+2E6eNT1ttCENFk0288ufHth9cWOyeQANNwok0o5RE5uQ5F0545LObCS8RPyQ==" saltValue="9qN1YDq+IRFgNo9L0jKaEA==" spinCount="100000"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20" priority="1" stopIfTrue="1">
      <formula>$I34&lt;&gt;""</formula>
    </cfRule>
  </conditionalFormatting>
  <dataValidations count="4">
    <dataValidation type="list" allowBlank="1" showInputMessage="1" showErrorMessage="1" sqref="L8" xr:uid="{00000000-0002-0000-0400-000000000000}">
      <formula1>F9:F10</formula1>
    </dataValidation>
    <dataValidation type="list" allowBlank="1" showInputMessage="1" showErrorMessage="1" sqref="L9:L10" xr:uid="{00000000-0002-0000-0400-000001000000}">
      <formula1>$F$9:$F$10</formula1>
    </dataValidation>
    <dataValidation type="list" allowBlank="1" showInputMessage="1" showErrorMessage="1" sqref="K4:M4" xr:uid="{00000000-0002-0000-0400-000002000000}">
      <formula1>$CL$22:$CL$44</formula1>
    </dataValidation>
    <dataValidation type="list" allowBlank="1" showInputMessage="1" showErrorMessage="1" sqref="K6:M6" xr:uid="{00000000-0002-0000-04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0592"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40592" r:id="rId5" name="Toggle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tabColor indexed="17"/>
  </sheetPr>
  <dimension ref="A1:CM134"/>
  <sheetViews>
    <sheetView showGridLines="0" zoomScaleSheetLayoutView="85" workbookViewId="0">
      <pane xSplit="7" ySplit="1" topLeftCell="H7" activePane="bottomRight" state="frozen"/>
      <selection pane="topRight" activeCell="K4" sqref="K4:M4"/>
      <selection pane="bottomLeft" activeCell="K4" sqref="K4:M4"/>
      <selection pane="bottomRight" activeCell="Z50" sqref="Z50:AA50"/>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103</v>
      </c>
      <c r="G4" s="520">
        <f>IF(AND(K4&lt;&gt;"keine Nutzung",K4&lt;&gt;0,K4&lt;&gt;"")=TRUE,ROW(I17)-(D4),0)</f>
        <v>14</v>
      </c>
      <c r="I4" s="517" t="s">
        <v>85</v>
      </c>
      <c r="K4" s="753" t="s">
        <v>60</v>
      </c>
      <c r="L4" s="754"/>
      <c r="M4" s="755"/>
      <c r="N4" s="27"/>
      <c r="O4" s="72" t="s">
        <v>87</v>
      </c>
      <c r="Q4" s="753"/>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2</v>
      </c>
      <c r="E6" s="65" t="s">
        <v>84</v>
      </c>
      <c r="F6" s="513">
        <f t="array" ref="F6">IF(OR(K6="keine Ganglinie gewählt",K6=0,K6="")=TRUE,199,MAX(IF('GL-Sets'!$A$1:$EM$27=K6,COLUMN('GL-Sets'!$A$1:$EM$27))))</f>
        <v>3</v>
      </c>
      <c r="G6" s="520">
        <f>IF(OR(K6="--- LEER ---",K6=0,K6="")=TRUE,0,ROW(AC23)-(D6+7))</f>
        <v>14</v>
      </c>
      <c r="I6" s="518" t="s">
        <v>89</v>
      </c>
      <c r="J6" s="39"/>
      <c r="K6" s="715" t="s">
        <v>168</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6" t="s">
        <v>96</v>
      </c>
      <c r="M8" s="757"/>
      <c r="N8" s="29"/>
      <c r="Q8" s="729" t="str">
        <f>"Ganglinie: "</f>
        <v xml:space="preserve">Ganglinie: </v>
      </c>
      <c r="R8" s="730"/>
      <c r="S8" s="719" t="str">
        <f ca="1">IF(INDIRECT(ADDRESS(D6+2,F6,,,B6))&lt;&gt;0,INDIRECT(ADDRESS(D6+2,F6,,,B6)),"")</f>
        <v>Ganglininenkennwerte sind den Hinweisen zur Schätzung des Verkehrsaufkommens von Gebietstypen entnommen worden | beim Besucherverkehr wurden die Ganglinien für kleinfl. Einzelhandel gewählt</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6" t="s">
        <v>96</v>
      </c>
      <c r="M9" s="757"/>
      <c r="N9" s="29"/>
      <c r="Q9" s="729"/>
      <c r="R9" s="730"/>
      <c r="S9" s="719"/>
      <c r="T9" s="719"/>
      <c r="U9" s="719"/>
      <c r="V9" s="719"/>
      <c r="W9" s="719"/>
      <c r="X9" s="719"/>
      <c r="Y9" s="719"/>
      <c r="Z9" s="719"/>
      <c r="AA9" s="720"/>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6" t="s">
        <v>96</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"&amp;Q4,"04 - keine Nutzung")</f>
        <v xml:space="preserve">Wohnen </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v>3300</v>
      </c>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47.5</v>
      </c>
      <c r="C19" s="69">
        <f t="shared" ref="C19:C28" ca="1" si="3">INDIRECT(ADDRESS($D$4+ROW()-ROW($J$17)+1,$F$4+2,,,$B$4))</f>
        <v>52.5</v>
      </c>
      <c r="D19" s="683" t="str">
        <f t="shared" ref="D19:D27" ca="1" si="4">IF($K$4=$CL$22,"",IF(AND(ISNUMBER(M19)=FALSE,ISNUMBER(B19)=TRUE,ISNUMBER(C19)=TRUE)=TRUE,"FEHLER",IF(OR(M19&lt;B19,M19&gt;C19)=TRUE,"FEHLER","")))</f>
        <v/>
      </c>
      <c r="E19" s="683"/>
      <c r="F19" s="683"/>
      <c r="G19" s="684"/>
      <c r="H19" s="33"/>
      <c r="I19" s="246" t="s">
        <v>116</v>
      </c>
      <c r="J19" s="250" t="str">
        <f t="shared" ca="1" si="0"/>
        <v>Einwohner je m² GF</v>
      </c>
      <c r="K19" s="687" t="str">
        <f t="shared" ca="1" si="1"/>
        <v>1 Bewohner / 47,5 - 52,5  m² GF</v>
      </c>
      <c r="L19" s="687"/>
      <c r="M19" s="251">
        <v>50</v>
      </c>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Besucherverkehr</v>
      </c>
      <c r="BZ19" s="700" t="str">
        <f ca="1">AG20</f>
        <v>Bewohnerverkehr</v>
      </c>
      <c r="CA19" s="700" t="str">
        <f>AI20</f>
        <v>Wirtschaftsverkehr</v>
      </c>
      <c r="CB19" s="696" t="s">
        <v>119</v>
      </c>
      <c r="CC19" s="370"/>
      <c r="CD19" s="44"/>
      <c r="CE19" s="27"/>
      <c r="CM19" s="27"/>
    </row>
    <row r="20" spans="2:91" s="32" customFormat="1" ht="18.899999999999999" customHeight="1" thickBot="1">
      <c r="B20" s="522">
        <f t="shared" ca="1" si="2"/>
        <v>0.1</v>
      </c>
      <c r="C20" s="69">
        <f t="shared" ca="1" si="3"/>
        <v>0.1</v>
      </c>
      <c r="D20" s="683" t="str">
        <f t="shared" ca="1" si="4"/>
        <v/>
      </c>
      <c r="E20" s="683"/>
      <c r="F20" s="683"/>
      <c r="G20" s="684"/>
      <c r="H20" s="33"/>
      <c r="I20" s="246" t="s">
        <v>120</v>
      </c>
      <c r="J20" s="250" t="str">
        <f t="shared" ca="1" si="0"/>
        <v>Besucher / Einwohner</v>
      </c>
      <c r="K20" s="687" t="str">
        <f t="shared" ca="1" si="1"/>
        <v>0,1  Besucher / Bewohner</v>
      </c>
      <c r="L20" s="687"/>
      <c r="M20" s="251">
        <v>0.1</v>
      </c>
      <c r="N20" s="23"/>
      <c r="O20" s="711"/>
      <c r="P20" s="54"/>
      <c r="Q20" s="746"/>
      <c r="R20" s="747"/>
      <c r="S20" s="748"/>
      <c r="T20" s="367"/>
      <c r="U20" s="740"/>
      <c r="V20" s="741"/>
      <c r="W20" s="742"/>
      <c r="X20" s="367"/>
      <c r="Y20" s="740"/>
      <c r="Z20" s="741"/>
      <c r="AA20" s="742"/>
      <c r="AC20" s="336"/>
      <c r="AD20" s="275"/>
      <c r="AE20" s="693" t="str">
        <f ca="1">J30</f>
        <v>Besucherverkehr</v>
      </c>
      <c r="AF20" s="694"/>
      <c r="AG20" s="694" t="str">
        <f ca="1">J29</f>
        <v>Bewohnerverkehr</v>
      </c>
      <c r="AH20" s="694"/>
      <c r="AI20" s="694" t="str">
        <f>J31</f>
        <v>Wirtschaftsverkehr</v>
      </c>
      <c r="AJ20" s="786"/>
      <c r="AK20" s="280"/>
      <c r="AL20" s="693" t="str">
        <f ca="1">AE20</f>
        <v>Besucherverkehr</v>
      </c>
      <c r="AM20" s="694"/>
      <c r="AN20" s="695"/>
      <c r="AO20" s="694" t="str">
        <f ca="1">AG20</f>
        <v>Bewohnerverkehr</v>
      </c>
      <c r="AP20" s="694"/>
      <c r="AQ20" s="695"/>
      <c r="AR20" s="694" t="str">
        <f>AI20</f>
        <v>Wirtschaftsverkehr</v>
      </c>
      <c r="AS20" s="694"/>
      <c r="AT20" s="695"/>
      <c r="AU20" s="337" t="s">
        <v>122</v>
      </c>
      <c r="AV20" s="338" t="s">
        <v>123</v>
      </c>
      <c r="AW20" s="339" t="s">
        <v>67</v>
      </c>
      <c r="AX20" s="280"/>
      <c r="AY20" s="693" t="str">
        <f ca="1">AE20</f>
        <v>Besucherverkehr</v>
      </c>
      <c r="AZ20" s="694"/>
      <c r="BA20" s="695"/>
      <c r="BB20" s="694" t="str">
        <f ca="1">AG20</f>
        <v>Bewohnerverkehr</v>
      </c>
      <c r="BC20" s="694"/>
      <c r="BD20" s="695"/>
      <c r="BE20" s="694" t="str">
        <f>AI20</f>
        <v>Wirtschaftsverkehr</v>
      </c>
      <c r="BF20" s="694"/>
      <c r="BG20" s="695"/>
      <c r="BH20" s="337" t="s">
        <v>122</v>
      </c>
      <c r="BI20" s="338" t="s">
        <v>123</v>
      </c>
      <c r="BJ20" s="339" t="s">
        <v>67</v>
      </c>
      <c r="BK20" s="280"/>
      <c r="BL20" s="693" t="str">
        <f ca="1">AE20</f>
        <v>Besucherverkehr</v>
      </c>
      <c r="BM20" s="694"/>
      <c r="BN20" s="695"/>
      <c r="BO20" s="694" t="str">
        <f ca="1">AG20</f>
        <v>Bewohnerverkehr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3</v>
      </c>
      <c r="C21" s="69">
        <f t="shared" ca="1" si="3"/>
        <v>3.5</v>
      </c>
      <c r="D21" s="683" t="str">
        <f t="shared" ca="1" si="4"/>
        <v/>
      </c>
      <c r="E21" s="683"/>
      <c r="F21" s="683"/>
      <c r="G21" s="684"/>
      <c r="H21" s="33"/>
      <c r="I21" s="246" t="s">
        <v>124</v>
      </c>
      <c r="J21" s="250" t="str">
        <f t="shared" ca="1" si="0"/>
        <v>Wegehäufigkeit je Bewohner</v>
      </c>
      <c r="K21" s="687" t="str">
        <f t="shared" ca="1" si="1"/>
        <v>3 - 3,5 Wege / Bewohner</v>
      </c>
      <c r="L21" s="687"/>
      <c r="M21" s="251">
        <v>3.25</v>
      </c>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2</v>
      </c>
      <c r="D22" s="683" t="str">
        <f t="shared" ca="1" si="4"/>
        <v/>
      </c>
      <c r="E22" s="683"/>
      <c r="F22" s="683"/>
      <c r="G22" s="684"/>
      <c r="H22" s="33"/>
      <c r="I22" s="246" t="s">
        <v>134</v>
      </c>
      <c r="J22" s="250" t="str">
        <f t="shared" ca="1" si="0"/>
        <v>Wegehäufigkeit je Besucher</v>
      </c>
      <c r="K22" s="687" t="str">
        <f t="shared" ca="1" si="1"/>
        <v>2 Wege / Besucher</v>
      </c>
      <c r="L22" s="687"/>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2</v>
      </c>
      <c r="AI22" s="278">
        <f t="shared" ca="1" si="5"/>
        <v>-0.65</v>
      </c>
      <c r="AJ22" s="279">
        <f t="shared" ca="1" si="5"/>
        <v>0</v>
      </c>
      <c r="AK22" s="280"/>
      <c r="AL22" s="281">
        <f ca="1">AL46</f>
        <v>0</v>
      </c>
      <c r="AM22" s="282">
        <f ca="1">AM46</f>
        <v>0</v>
      </c>
      <c r="AN22" s="283">
        <f t="shared" ref="AN22:AN46" ca="1" si="6">AL22+AM22</f>
        <v>0</v>
      </c>
      <c r="AO22" s="284">
        <f ca="1">AO46</f>
        <v>0</v>
      </c>
      <c r="AP22" s="282">
        <f ca="1">AP46</f>
        <v>0.89</v>
      </c>
      <c r="AQ22" s="283">
        <f t="shared" ref="AQ22:AQ46" ca="1" si="7">AO22+AP22</f>
        <v>0.89</v>
      </c>
      <c r="AR22" s="284">
        <f ca="1">AR46</f>
        <v>9.7500000000000017E-3</v>
      </c>
      <c r="AS22" s="282">
        <f ca="1">AS46</f>
        <v>0</v>
      </c>
      <c r="AT22" s="283">
        <f t="shared" ref="AT22:AT46" ca="1" si="8">AR22+AS22</f>
        <v>9.7500000000000017E-3</v>
      </c>
      <c r="AU22" s="284">
        <f t="shared" ref="AU22:AU46" ca="1" si="9">AL22+AO22+AR22</f>
        <v>9.7500000000000017E-3</v>
      </c>
      <c r="AV22" s="283">
        <f t="shared" ref="AV22:AV46" ca="1" si="10">AM22+AP22+AS22</f>
        <v>0.89</v>
      </c>
      <c r="AW22" s="285">
        <f t="shared" ref="AW22:AW46" ca="1" si="11">AU22+AV22</f>
        <v>0.89975000000000005</v>
      </c>
      <c r="AX22" s="286"/>
      <c r="AY22" s="281">
        <f ca="1">AY46</f>
        <v>0</v>
      </c>
      <c r="AZ22" s="282">
        <f ca="1">AZ46</f>
        <v>0</v>
      </c>
      <c r="BA22" s="283">
        <f ca="1">BA46</f>
        <v>0</v>
      </c>
      <c r="BB22" s="284">
        <f ca="1">BB46</f>
        <v>0</v>
      </c>
      <c r="BC22" s="282">
        <f ca="1">BC46</f>
        <v>0.89</v>
      </c>
      <c r="BD22" s="283">
        <f t="shared" ref="BD22:BD46" ca="1" si="12">BB22+BC22</f>
        <v>0.89</v>
      </c>
      <c r="BE22" s="284">
        <f ca="1">BE46</f>
        <v>9.7500000000000017E-3</v>
      </c>
      <c r="BF22" s="282">
        <f ca="1">BF46</f>
        <v>0</v>
      </c>
      <c r="BG22" s="283">
        <f t="shared" ref="BG22:BG46" ca="1" si="13">BE22+BF22</f>
        <v>9.7500000000000017E-3</v>
      </c>
      <c r="BH22" s="284">
        <f ca="1">BH46</f>
        <v>9.7500000000000017E-3</v>
      </c>
      <c r="BI22" s="283">
        <f ca="1">BI46</f>
        <v>0.89</v>
      </c>
      <c r="BJ22" s="285">
        <f t="shared" ref="BJ22:BJ46" ca="1" si="14">BH22+BI22</f>
        <v>0.89975000000000005</v>
      </c>
      <c r="BK22" s="286"/>
      <c r="BL22" s="281">
        <f ca="1">BL46</f>
        <v>0</v>
      </c>
      <c r="BM22" s="282">
        <f ca="1">BM46</f>
        <v>0</v>
      </c>
      <c r="BN22" s="283">
        <f t="shared" ref="BN22:BN46" ca="1" si="15">BL22+BM22</f>
        <v>0</v>
      </c>
      <c r="BO22" s="284">
        <f ca="1">BO46</f>
        <v>0</v>
      </c>
      <c r="BP22" s="282">
        <f ca="1">BP46</f>
        <v>0.89</v>
      </c>
      <c r="BQ22" s="283">
        <f t="shared" ref="BQ22:BQ46" ca="1" si="16">BO22+BP22</f>
        <v>0.89</v>
      </c>
      <c r="BR22" s="284">
        <f ca="1">BR46</f>
        <v>9.7500000000000017E-3</v>
      </c>
      <c r="BS22" s="282">
        <f ca="1">BS46</f>
        <v>0</v>
      </c>
      <c r="BT22" s="283">
        <f t="shared" ref="BT22:BT46" ca="1" si="17">BR22+BS22</f>
        <v>9.7500000000000017E-3</v>
      </c>
      <c r="BU22" s="284">
        <f t="shared" ref="BU22:BU46" ca="1" si="18">BL22+BO22+BR22</f>
        <v>9.7500000000000017E-3</v>
      </c>
      <c r="BV22" s="283">
        <f t="shared" ref="BV22:BV46" ca="1" si="19">BM22+BP22+BS22</f>
        <v>0.89</v>
      </c>
      <c r="BW22" s="285">
        <f t="shared" ref="BW22:BW46" ca="1" si="20">BU22+BV22</f>
        <v>0.89975000000000005</v>
      </c>
      <c r="BX22" s="286"/>
      <c r="BY22" s="287">
        <v>0</v>
      </c>
      <c r="BZ22" s="288">
        <v>3.0531133177191805E-16</v>
      </c>
      <c r="CA22" s="289">
        <v>2.6367796834847468E-16</v>
      </c>
      <c r="CB22" s="290">
        <f ca="1">CB46</f>
        <v>17.755500000000005</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0.7</v>
      </c>
      <c r="D23" s="683" t="str">
        <f t="shared" ca="1" si="4"/>
        <v/>
      </c>
      <c r="E23" s="683"/>
      <c r="F23" s="683"/>
      <c r="G23" s="684"/>
      <c r="H23" s="33"/>
      <c r="I23" s="246" t="s">
        <v>140</v>
      </c>
      <c r="J23" s="250" t="str">
        <f t="shared" ca="1" si="0"/>
        <v>MIV-Anteil bei den Bewohner</v>
      </c>
      <c r="K23" s="687" t="str">
        <f t="shared" ca="1" si="1"/>
        <v>0,3 - 0,7 MIV-Nutzer / Bewohner</v>
      </c>
      <c r="L23" s="687"/>
      <c r="M23" s="251">
        <v>0.5</v>
      </c>
      <c r="N23" s="23"/>
      <c r="O23" s="357" t="s">
        <v>23</v>
      </c>
      <c r="P23" s="247"/>
      <c r="Q23" s="360">
        <f t="shared" ref="Q23:Q46" ca="1" si="21">AU23</f>
        <v>0</v>
      </c>
      <c r="R23" s="351">
        <f t="shared" ref="R23:R46" ca="1" si="22">AV23</f>
        <v>0.11125</v>
      </c>
      <c r="S23" s="361">
        <f t="shared" ref="S23:S46" ca="1" si="23">SUM(Q23:R23)</f>
        <v>0.11125</v>
      </c>
      <c r="T23" s="247"/>
      <c r="U23" s="360">
        <f t="shared" ref="U23:U46" ca="1" si="24">BH23</f>
        <v>0</v>
      </c>
      <c r="V23" s="351">
        <f t="shared" ref="V23:V46" ca="1" si="25">BI23</f>
        <v>0.11125</v>
      </c>
      <c r="W23" s="361">
        <f t="shared" ref="W23:W46" ca="1" si="26">SUM(U23:V23)</f>
        <v>0.11125</v>
      </c>
      <c r="X23" s="247"/>
      <c r="Y23" s="360">
        <f t="shared" ref="Y23:Y46" ca="1" si="27">BU23</f>
        <v>0</v>
      </c>
      <c r="Z23" s="351">
        <f t="shared" ref="Z23:Z46" ca="1" si="28">BV23</f>
        <v>0.11125</v>
      </c>
      <c r="AA23" s="361">
        <f t="shared" ref="AA23:AA46" ca="1" si="29">SUM(Y23:Z23)</f>
        <v>0.11125</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0.25</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0.11125</v>
      </c>
      <c r="AQ23" s="297">
        <f t="shared" ca="1" si="7"/>
        <v>0.11125</v>
      </c>
      <c r="AR23" s="298">
        <f t="shared" ref="AR23:AR46" ca="1" si="41">-AI23*1/2*IF(ISERROR($M$31)=FALSE,$M$31,0)/100</f>
        <v>0</v>
      </c>
      <c r="AS23" s="296">
        <f t="shared" ref="AS23:AS46" ca="1" si="42">AJ23*1/2*IF(ISERROR($M$31)=FALSE,$M$31,0)/100</f>
        <v>0</v>
      </c>
      <c r="AT23" s="297">
        <f t="shared" ca="1" si="8"/>
        <v>0</v>
      </c>
      <c r="AU23" s="298">
        <f t="shared" ca="1" si="9"/>
        <v>0</v>
      </c>
      <c r="AV23" s="297">
        <f t="shared" ca="1" si="10"/>
        <v>0.11125</v>
      </c>
      <c r="AW23" s="299">
        <f t="shared" ca="1" si="11"/>
        <v>0.11125</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0.11125</v>
      </c>
      <c r="BD23" s="297">
        <f t="shared" ca="1" si="12"/>
        <v>0.11125</v>
      </c>
      <c r="BE23" s="298">
        <f t="shared" ref="BE23:BE46" ca="1" si="48">BR23</f>
        <v>0</v>
      </c>
      <c r="BF23" s="296">
        <f t="shared" ref="BF23:BF46" ca="1" si="49">BS23</f>
        <v>0</v>
      </c>
      <c r="BG23" s="297">
        <f t="shared" ca="1" si="13"/>
        <v>0</v>
      </c>
      <c r="BH23" s="298">
        <f t="shared" ref="BH23:BH46" ca="1" si="50">AY23+BB23+BE23</f>
        <v>0</v>
      </c>
      <c r="BI23" s="297">
        <f t="shared" ref="BI23:BI46" ca="1" si="51">AZ23+BC23+BF23</f>
        <v>0.11125</v>
      </c>
      <c r="BJ23" s="299">
        <f t="shared" ca="1" si="14"/>
        <v>0.11125</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0.11125</v>
      </c>
      <c r="BQ23" s="297">
        <f t="shared" ca="1" si="16"/>
        <v>0.11125</v>
      </c>
      <c r="BR23" s="298">
        <f t="shared" ref="BR23:BR46" ca="1" si="56">AR23</f>
        <v>0</v>
      </c>
      <c r="BS23" s="296">
        <f t="shared" ref="BS23:BS46" ca="1" si="57">AS23</f>
        <v>0</v>
      </c>
      <c r="BT23" s="297">
        <f t="shared" ca="1" si="17"/>
        <v>0</v>
      </c>
      <c r="BU23" s="298">
        <f t="shared" ca="1" si="18"/>
        <v>0</v>
      </c>
      <c r="BV23" s="297">
        <f t="shared" ca="1" si="19"/>
        <v>0.11125</v>
      </c>
      <c r="BW23" s="299">
        <f t="shared" ca="1" si="20"/>
        <v>0.11125</v>
      </c>
      <c r="BX23" s="286"/>
      <c r="BY23" s="300">
        <f ca="1">IF((-AY23+AZ23+BY22)&gt;=0,-AY23+AZ23+BY22,0)</f>
        <v>0</v>
      </c>
      <c r="BZ23" s="301">
        <f ca="1">IF((-BB23+BC23+BZ22)&gt;=0,-BB23+BC23+BZ22,0)</f>
        <v>0.11125000000000031</v>
      </c>
      <c r="CA23" s="301">
        <f ca="1">IF((-BE23+BF23+CA22)&gt;=0,-BE23+BF23+CA22,0)</f>
        <v>2.6367796834847468E-16</v>
      </c>
      <c r="CB23" s="302">
        <f t="shared" ref="CB23:CB46" ca="1" si="58">SUM(BY23:CA23)</f>
        <v>0.11125000000000057</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0.3</v>
      </c>
      <c r="C24" s="69">
        <f t="shared" ca="1" si="3"/>
        <v>0.9</v>
      </c>
      <c r="D24" s="683" t="str">
        <f t="shared" ca="1" si="4"/>
        <v/>
      </c>
      <c r="E24" s="683"/>
      <c r="F24" s="683"/>
      <c r="G24" s="684"/>
      <c r="H24" s="33"/>
      <c r="I24" s="246" t="s">
        <v>141</v>
      </c>
      <c r="J24" s="250" t="str">
        <f t="shared" ca="1" si="0"/>
        <v>MIV-Anteil  bei den Besucher</v>
      </c>
      <c r="K24" s="687" t="str">
        <f t="shared" ca="1" si="1"/>
        <v>0,3 - 0,9 MIV-Nutzer / Besucher</v>
      </c>
      <c r="L24" s="687"/>
      <c r="M24" s="251">
        <v>0.4</v>
      </c>
      <c r="N24" s="23"/>
      <c r="O24" s="358" t="s">
        <v>25</v>
      </c>
      <c r="P24" s="247"/>
      <c r="Q24" s="362">
        <f t="shared" ca="1" si="21"/>
        <v>0</v>
      </c>
      <c r="R24" s="248">
        <f t="shared" ca="1" si="22"/>
        <v>8.900000000000001E-2</v>
      </c>
      <c r="S24" s="363">
        <f t="shared" ca="1" si="23"/>
        <v>8.900000000000001E-2</v>
      </c>
      <c r="T24" s="247"/>
      <c r="U24" s="362">
        <f t="shared" ca="1" si="24"/>
        <v>0</v>
      </c>
      <c r="V24" s="248">
        <f t="shared" ca="1" si="25"/>
        <v>8.900000000000001E-2</v>
      </c>
      <c r="W24" s="363">
        <f t="shared" ca="1" si="26"/>
        <v>8.900000000000001E-2</v>
      </c>
      <c r="X24" s="247"/>
      <c r="Y24" s="362">
        <f t="shared" ca="1" si="27"/>
        <v>0</v>
      </c>
      <c r="Z24" s="248">
        <f t="shared" ca="1" si="28"/>
        <v>8.900000000000001E-2</v>
      </c>
      <c r="AA24" s="363">
        <f t="shared" ca="1" si="29"/>
        <v>8.900000000000001E-2</v>
      </c>
      <c r="AB24" s="58" t="str">
        <f t="shared" ca="1" si="30"/>
        <v/>
      </c>
      <c r="AC24" s="495" t="s">
        <v>25</v>
      </c>
      <c r="AD24" s="275"/>
      <c r="AE24" s="303">
        <f t="shared" ca="1" si="31"/>
        <v>0</v>
      </c>
      <c r="AF24" s="304">
        <f t="shared" ca="1" si="32"/>
        <v>0</v>
      </c>
      <c r="AG24" s="305">
        <f t="shared" ca="1" si="33"/>
        <v>0</v>
      </c>
      <c r="AH24" s="304">
        <f t="shared" ca="1" si="34"/>
        <v>0.2</v>
      </c>
      <c r="AI24" s="305">
        <f t="shared" ca="1" si="35"/>
        <v>0</v>
      </c>
      <c r="AJ24" s="306">
        <f t="shared" ca="1" si="36"/>
        <v>0</v>
      </c>
      <c r="AK24" s="280"/>
      <c r="AL24" s="307">
        <f t="shared" ca="1" si="37"/>
        <v>0</v>
      </c>
      <c r="AM24" s="308">
        <f t="shared" ca="1" si="38"/>
        <v>0</v>
      </c>
      <c r="AN24" s="309">
        <f t="shared" ca="1" si="6"/>
        <v>0</v>
      </c>
      <c r="AO24" s="310">
        <f t="shared" ca="1" si="39"/>
        <v>0</v>
      </c>
      <c r="AP24" s="308">
        <f t="shared" ca="1" si="40"/>
        <v>8.900000000000001E-2</v>
      </c>
      <c r="AQ24" s="309">
        <f t="shared" ca="1" si="7"/>
        <v>8.900000000000001E-2</v>
      </c>
      <c r="AR24" s="310">
        <f t="shared" ca="1" si="41"/>
        <v>0</v>
      </c>
      <c r="AS24" s="308">
        <f t="shared" ca="1" si="42"/>
        <v>0</v>
      </c>
      <c r="AT24" s="309">
        <f t="shared" ca="1" si="8"/>
        <v>0</v>
      </c>
      <c r="AU24" s="310">
        <f t="shared" ca="1" si="9"/>
        <v>0</v>
      </c>
      <c r="AV24" s="309">
        <f t="shared" ca="1" si="10"/>
        <v>8.900000000000001E-2</v>
      </c>
      <c r="AW24" s="311">
        <f t="shared" ca="1" si="11"/>
        <v>8.900000000000001E-2</v>
      </c>
      <c r="AX24" s="286"/>
      <c r="AY24" s="307">
        <f t="shared" ca="1" si="43"/>
        <v>0</v>
      </c>
      <c r="AZ24" s="308">
        <f t="shared" ca="1" si="44"/>
        <v>0</v>
      </c>
      <c r="BA24" s="309">
        <f t="shared" ca="1" si="45"/>
        <v>0</v>
      </c>
      <c r="BB24" s="310">
        <f t="shared" ca="1" si="46"/>
        <v>0</v>
      </c>
      <c r="BC24" s="308">
        <f t="shared" ca="1" si="47"/>
        <v>8.900000000000001E-2</v>
      </c>
      <c r="BD24" s="309">
        <f t="shared" ca="1" si="12"/>
        <v>8.900000000000001E-2</v>
      </c>
      <c r="BE24" s="310">
        <f t="shared" ca="1" si="48"/>
        <v>0</v>
      </c>
      <c r="BF24" s="308">
        <f t="shared" ca="1" si="49"/>
        <v>0</v>
      </c>
      <c r="BG24" s="309">
        <f t="shared" ca="1" si="13"/>
        <v>0</v>
      </c>
      <c r="BH24" s="310">
        <f t="shared" ca="1" si="50"/>
        <v>0</v>
      </c>
      <c r="BI24" s="309">
        <f t="shared" ca="1" si="51"/>
        <v>8.900000000000001E-2</v>
      </c>
      <c r="BJ24" s="311">
        <f t="shared" ca="1" si="14"/>
        <v>8.900000000000001E-2</v>
      </c>
      <c r="BK24" s="286"/>
      <c r="BL24" s="307">
        <f t="shared" ca="1" si="52"/>
        <v>0</v>
      </c>
      <c r="BM24" s="308">
        <f t="shared" ca="1" si="53"/>
        <v>0</v>
      </c>
      <c r="BN24" s="309">
        <f t="shared" ca="1" si="15"/>
        <v>0</v>
      </c>
      <c r="BO24" s="310">
        <f t="shared" ca="1" si="54"/>
        <v>0</v>
      </c>
      <c r="BP24" s="308">
        <f t="shared" ca="1" si="55"/>
        <v>8.900000000000001E-2</v>
      </c>
      <c r="BQ24" s="309">
        <f t="shared" ca="1" si="16"/>
        <v>8.900000000000001E-2</v>
      </c>
      <c r="BR24" s="310">
        <f t="shared" ca="1" si="56"/>
        <v>0</v>
      </c>
      <c r="BS24" s="308">
        <f t="shared" ca="1" si="57"/>
        <v>0</v>
      </c>
      <c r="BT24" s="309">
        <f t="shared" ca="1" si="17"/>
        <v>0</v>
      </c>
      <c r="BU24" s="310">
        <f t="shared" ca="1" si="18"/>
        <v>0</v>
      </c>
      <c r="BV24" s="309">
        <f t="shared" ca="1" si="19"/>
        <v>8.900000000000001E-2</v>
      </c>
      <c r="BW24" s="311">
        <f t="shared" ca="1" si="20"/>
        <v>8.900000000000001E-2</v>
      </c>
      <c r="BX24" s="286"/>
      <c r="BY24" s="300">
        <f t="shared" ref="BY24:BY46" ca="1" si="59">IF((-AY24+AZ24+BY23)&gt;=0,-AY24+AZ24+BY23,0)</f>
        <v>0</v>
      </c>
      <c r="BZ24" s="301">
        <f t="shared" ref="BZ24:BZ46" ca="1" si="60">IF((-BB24+BC24+BZ23)&gt;=0,-BB24+BC24+BZ23,0)</f>
        <v>0.20025000000000032</v>
      </c>
      <c r="CA24" s="301">
        <f t="shared" ref="CA24:CA46" ca="1" si="61">IF((-BE24+BF24+CA23)&gt;=0,-BE24+BF24+CA23,0)</f>
        <v>2.6367796834847468E-16</v>
      </c>
      <c r="CB24" s="312">
        <f t="shared" ca="1" si="58"/>
        <v>0.20025000000000059</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1.2</v>
      </c>
      <c r="C25" s="69">
        <f t="shared" ca="1" si="3"/>
        <v>1.2</v>
      </c>
      <c r="D25" s="683" t="str">
        <f t="shared" ca="1" si="4"/>
        <v/>
      </c>
      <c r="E25" s="683"/>
      <c r="F25" s="683"/>
      <c r="G25" s="684"/>
      <c r="H25" s="33"/>
      <c r="I25" s="246" t="s">
        <v>142</v>
      </c>
      <c r="J25" s="250" t="str">
        <f t="shared" ca="1" si="0"/>
        <v>Kfz-Besetzungsgrad Bewohner</v>
      </c>
      <c r="K25" s="687" t="str">
        <f t="shared" ca="1" si="1"/>
        <v>1,2 Bewohner / Kfz</v>
      </c>
      <c r="L25" s="687"/>
      <c r="M25" s="251">
        <v>1.2</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0.20025000000000032</v>
      </c>
      <c r="CA25" s="301">
        <f t="shared" ca="1" si="61"/>
        <v>2.6367796834847468E-16</v>
      </c>
      <c r="CB25" s="312">
        <f t="shared" ca="1" si="58"/>
        <v>0.20025000000000059</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1.2</v>
      </c>
      <c r="C26" s="69">
        <f t="shared" ca="1" si="3"/>
        <v>1.2</v>
      </c>
      <c r="D26" s="683" t="str">
        <f t="shared" ca="1" si="4"/>
        <v/>
      </c>
      <c r="E26" s="683"/>
      <c r="F26" s="683"/>
      <c r="G26" s="684"/>
      <c r="H26" s="33"/>
      <c r="I26" s="246" t="s">
        <v>143</v>
      </c>
      <c r="J26" s="250" t="str">
        <f t="shared" ca="1" si="0"/>
        <v>Kfz-Besetzungsgrad Besucher</v>
      </c>
      <c r="K26" s="687" t="str">
        <f t="shared" ca="1" si="1"/>
        <v>1,2 Besucher / Kfz</v>
      </c>
      <c r="L26" s="687"/>
      <c r="M26" s="251">
        <v>1.2</v>
      </c>
      <c r="N26" s="23"/>
      <c r="O26" s="358" t="s">
        <v>27</v>
      </c>
      <c r="P26" s="247"/>
      <c r="Q26" s="362">
        <f t="shared" ca="1" si="21"/>
        <v>0.11125</v>
      </c>
      <c r="R26" s="248">
        <f t="shared" ca="1" si="22"/>
        <v>0</v>
      </c>
      <c r="S26" s="363">
        <f t="shared" ca="1" si="23"/>
        <v>0.11125</v>
      </c>
      <c r="T26" s="247"/>
      <c r="U26" s="362">
        <f t="shared" ca="1" si="24"/>
        <v>0.11125</v>
      </c>
      <c r="V26" s="248">
        <f t="shared" ca="1" si="25"/>
        <v>0</v>
      </c>
      <c r="W26" s="363">
        <f t="shared" ca="1" si="26"/>
        <v>0.11125</v>
      </c>
      <c r="X26" s="247"/>
      <c r="Y26" s="362">
        <f t="shared" ca="1" si="27"/>
        <v>0.11125</v>
      </c>
      <c r="Z26" s="248">
        <f t="shared" ca="1" si="28"/>
        <v>0</v>
      </c>
      <c r="AA26" s="363">
        <f t="shared" ca="1" si="29"/>
        <v>0.11125</v>
      </c>
      <c r="AB26" s="58" t="str">
        <f t="shared" ca="1" si="30"/>
        <v/>
      </c>
      <c r="AC26" s="495" t="s">
        <v>27</v>
      </c>
      <c r="AD26" s="275"/>
      <c r="AE26" s="303">
        <f t="shared" ca="1" si="31"/>
        <v>0</v>
      </c>
      <c r="AF26" s="304">
        <f t="shared" ca="1" si="32"/>
        <v>0</v>
      </c>
      <c r="AG26" s="305">
        <f t="shared" ca="1" si="33"/>
        <v>-0.25</v>
      </c>
      <c r="AH26" s="304">
        <f t="shared" ca="1" si="34"/>
        <v>0</v>
      </c>
      <c r="AI26" s="305">
        <f t="shared" ca="1" si="35"/>
        <v>0</v>
      </c>
      <c r="AJ26" s="306">
        <f t="shared" ca="1" si="36"/>
        <v>0</v>
      </c>
      <c r="AK26" s="280"/>
      <c r="AL26" s="307">
        <f t="shared" ca="1" si="37"/>
        <v>0</v>
      </c>
      <c r="AM26" s="308">
        <f t="shared" ca="1" si="38"/>
        <v>0</v>
      </c>
      <c r="AN26" s="309">
        <f t="shared" ca="1" si="6"/>
        <v>0</v>
      </c>
      <c r="AO26" s="310">
        <f t="shared" ca="1" si="39"/>
        <v>0.11125</v>
      </c>
      <c r="AP26" s="308">
        <f t="shared" ca="1" si="40"/>
        <v>0</v>
      </c>
      <c r="AQ26" s="309">
        <f t="shared" ca="1" si="7"/>
        <v>0.11125</v>
      </c>
      <c r="AR26" s="310">
        <f t="shared" ca="1" si="41"/>
        <v>0</v>
      </c>
      <c r="AS26" s="308">
        <f t="shared" ca="1" si="42"/>
        <v>0</v>
      </c>
      <c r="AT26" s="309">
        <f t="shared" ca="1" si="8"/>
        <v>0</v>
      </c>
      <c r="AU26" s="310">
        <f t="shared" ca="1" si="9"/>
        <v>0.11125</v>
      </c>
      <c r="AV26" s="309">
        <f t="shared" ca="1" si="10"/>
        <v>0</v>
      </c>
      <c r="AW26" s="311">
        <f t="shared" ca="1" si="11"/>
        <v>0.11125</v>
      </c>
      <c r="AX26" s="286"/>
      <c r="AY26" s="307">
        <f t="shared" ca="1" si="43"/>
        <v>0</v>
      </c>
      <c r="AZ26" s="308">
        <f t="shared" ca="1" si="44"/>
        <v>0</v>
      </c>
      <c r="BA26" s="309">
        <f t="shared" ca="1" si="45"/>
        <v>0</v>
      </c>
      <c r="BB26" s="310">
        <f t="shared" ca="1" si="46"/>
        <v>0.11125</v>
      </c>
      <c r="BC26" s="308">
        <f t="shared" ca="1" si="47"/>
        <v>0</v>
      </c>
      <c r="BD26" s="309">
        <f t="shared" ca="1" si="12"/>
        <v>0.11125</v>
      </c>
      <c r="BE26" s="310">
        <f t="shared" ca="1" si="48"/>
        <v>0</v>
      </c>
      <c r="BF26" s="308">
        <f t="shared" ca="1" si="49"/>
        <v>0</v>
      </c>
      <c r="BG26" s="309">
        <f t="shared" ca="1" si="13"/>
        <v>0</v>
      </c>
      <c r="BH26" s="310">
        <f t="shared" ca="1" si="50"/>
        <v>0.11125</v>
      </c>
      <c r="BI26" s="309">
        <f t="shared" ca="1" si="51"/>
        <v>0</v>
      </c>
      <c r="BJ26" s="311">
        <f t="shared" ca="1" si="14"/>
        <v>0.11125</v>
      </c>
      <c r="BK26" s="286"/>
      <c r="BL26" s="307">
        <f t="shared" ca="1" si="52"/>
        <v>0</v>
      </c>
      <c r="BM26" s="308">
        <f t="shared" ca="1" si="53"/>
        <v>0</v>
      </c>
      <c r="BN26" s="309">
        <f t="shared" ca="1" si="15"/>
        <v>0</v>
      </c>
      <c r="BO26" s="310">
        <f t="shared" ca="1" si="54"/>
        <v>0.11125</v>
      </c>
      <c r="BP26" s="308">
        <f t="shared" ca="1" si="55"/>
        <v>0</v>
      </c>
      <c r="BQ26" s="309">
        <f t="shared" ca="1" si="16"/>
        <v>0.11125</v>
      </c>
      <c r="BR26" s="310">
        <f t="shared" ca="1" si="56"/>
        <v>0</v>
      </c>
      <c r="BS26" s="308">
        <f t="shared" ca="1" si="57"/>
        <v>0</v>
      </c>
      <c r="BT26" s="309">
        <f t="shared" ca="1" si="17"/>
        <v>0</v>
      </c>
      <c r="BU26" s="310">
        <f t="shared" ca="1" si="18"/>
        <v>0.11125</v>
      </c>
      <c r="BV26" s="309">
        <f t="shared" ca="1" si="19"/>
        <v>0</v>
      </c>
      <c r="BW26" s="311">
        <f t="shared" ca="1" si="20"/>
        <v>0.11125</v>
      </c>
      <c r="BX26" s="286"/>
      <c r="BY26" s="300">
        <f t="shared" ca="1" si="59"/>
        <v>0</v>
      </c>
      <c r="BZ26" s="301">
        <f t="shared" ca="1" si="60"/>
        <v>8.9000000000000315E-2</v>
      </c>
      <c r="CA26" s="301">
        <f t="shared" ca="1" si="61"/>
        <v>2.6367796834847468E-16</v>
      </c>
      <c r="CB26" s="312">
        <f t="shared" ca="1" si="58"/>
        <v>8.9000000000000579E-2</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0.05</v>
      </c>
      <c r="C27" s="69">
        <f t="shared" ca="1" si="3"/>
        <v>0.05</v>
      </c>
      <c r="D27" s="683" t="str">
        <f t="shared" ca="1" si="4"/>
        <v/>
      </c>
      <c r="E27" s="683"/>
      <c r="F27" s="683"/>
      <c r="G27" s="684"/>
      <c r="H27" s="33"/>
      <c r="I27" s="258" t="s">
        <v>144</v>
      </c>
      <c r="J27" s="265" t="str">
        <f t="shared" ca="1" si="0"/>
        <v>Wirtschaftsverkehr je Bewohner</v>
      </c>
      <c r="K27" s="733" t="str">
        <f t="shared" ca="1" si="1"/>
        <v>0,05 Fahrten / Bewohner</v>
      </c>
      <c r="L27" s="733"/>
      <c r="M27" s="266">
        <v>0.05</v>
      </c>
      <c r="N27" s="23"/>
      <c r="O27" s="358" t="s">
        <v>28</v>
      </c>
      <c r="P27" s="247"/>
      <c r="Q27" s="362">
        <f t="shared" ca="1" si="21"/>
        <v>0.44500000000000001</v>
      </c>
      <c r="R27" s="248">
        <f t="shared" ca="1" si="22"/>
        <v>3.7499999999999999E-3</v>
      </c>
      <c r="S27" s="363">
        <f t="shared" ca="1" si="23"/>
        <v>0.44874999999999998</v>
      </c>
      <c r="T27" s="247"/>
      <c r="U27" s="362">
        <f t="shared" ca="1" si="24"/>
        <v>0.44500000000000001</v>
      </c>
      <c r="V27" s="248">
        <f t="shared" ca="1" si="25"/>
        <v>3.7499999999999999E-3</v>
      </c>
      <c r="W27" s="363">
        <f t="shared" ca="1" si="26"/>
        <v>0.44874999999999998</v>
      </c>
      <c r="X27" s="247"/>
      <c r="Y27" s="362">
        <f t="shared" ca="1" si="27"/>
        <v>0.44500000000000001</v>
      </c>
      <c r="Z27" s="248">
        <f t="shared" ca="1" si="28"/>
        <v>3.7499999999999999E-3</v>
      </c>
      <c r="AA27" s="363">
        <f t="shared" ca="1" si="29"/>
        <v>0.44874999999999998</v>
      </c>
      <c r="AB27" s="58" t="str">
        <f t="shared" ca="1" si="30"/>
        <v/>
      </c>
      <c r="AC27" s="495" t="s">
        <v>28</v>
      </c>
      <c r="AD27" s="275"/>
      <c r="AE27" s="303">
        <f t="shared" ca="1" si="31"/>
        <v>0</v>
      </c>
      <c r="AF27" s="304">
        <f t="shared" ca="1" si="32"/>
        <v>0</v>
      </c>
      <c r="AG27" s="305">
        <f t="shared" ca="1" si="33"/>
        <v>-1</v>
      </c>
      <c r="AH27" s="304">
        <f t="shared" ca="1" si="34"/>
        <v>0</v>
      </c>
      <c r="AI27" s="305">
        <f t="shared" ca="1" si="35"/>
        <v>0</v>
      </c>
      <c r="AJ27" s="306">
        <f t="shared" ca="1" si="36"/>
        <v>0.25</v>
      </c>
      <c r="AK27" s="280"/>
      <c r="AL27" s="307">
        <f t="shared" ca="1" si="37"/>
        <v>0</v>
      </c>
      <c r="AM27" s="308">
        <f t="shared" ca="1" si="38"/>
        <v>0</v>
      </c>
      <c r="AN27" s="309">
        <f t="shared" ca="1" si="6"/>
        <v>0</v>
      </c>
      <c r="AO27" s="310">
        <f t="shared" ca="1" si="39"/>
        <v>0.44500000000000001</v>
      </c>
      <c r="AP27" s="308">
        <f t="shared" ca="1" si="40"/>
        <v>0</v>
      </c>
      <c r="AQ27" s="309">
        <f t="shared" ca="1" si="7"/>
        <v>0.44500000000000001</v>
      </c>
      <c r="AR27" s="310">
        <f t="shared" ca="1" si="41"/>
        <v>0</v>
      </c>
      <c r="AS27" s="308">
        <f t="shared" ca="1" si="42"/>
        <v>3.7499999999999999E-3</v>
      </c>
      <c r="AT27" s="309">
        <f t="shared" ca="1" si="8"/>
        <v>3.7499999999999999E-3</v>
      </c>
      <c r="AU27" s="310">
        <f t="shared" ca="1" si="9"/>
        <v>0.44500000000000001</v>
      </c>
      <c r="AV27" s="309">
        <f t="shared" ca="1" si="10"/>
        <v>3.7499999999999999E-3</v>
      </c>
      <c r="AW27" s="311">
        <f t="shared" ca="1" si="11"/>
        <v>0.44874999999999998</v>
      </c>
      <c r="AX27" s="286"/>
      <c r="AY27" s="307">
        <f t="shared" ca="1" si="43"/>
        <v>0</v>
      </c>
      <c r="AZ27" s="308">
        <f t="shared" ca="1" si="44"/>
        <v>0</v>
      </c>
      <c r="BA27" s="309">
        <f t="shared" ca="1" si="45"/>
        <v>0</v>
      </c>
      <c r="BB27" s="310">
        <f t="shared" ca="1" si="46"/>
        <v>0.44500000000000001</v>
      </c>
      <c r="BC27" s="308">
        <f t="shared" ca="1" si="47"/>
        <v>0</v>
      </c>
      <c r="BD27" s="309">
        <f t="shared" ca="1" si="12"/>
        <v>0.44500000000000001</v>
      </c>
      <c r="BE27" s="310">
        <f t="shared" ca="1" si="48"/>
        <v>0</v>
      </c>
      <c r="BF27" s="308">
        <f t="shared" ca="1" si="49"/>
        <v>3.7499999999999999E-3</v>
      </c>
      <c r="BG27" s="309">
        <f t="shared" ca="1" si="13"/>
        <v>3.7499999999999999E-3</v>
      </c>
      <c r="BH27" s="310">
        <f t="shared" ca="1" si="50"/>
        <v>0.44500000000000001</v>
      </c>
      <c r="BI27" s="309">
        <f t="shared" ca="1" si="51"/>
        <v>3.7499999999999999E-3</v>
      </c>
      <c r="BJ27" s="311">
        <f t="shared" ca="1" si="14"/>
        <v>0.44874999999999998</v>
      </c>
      <c r="BK27" s="286"/>
      <c r="BL27" s="307">
        <f t="shared" ca="1" si="52"/>
        <v>0</v>
      </c>
      <c r="BM27" s="308">
        <f t="shared" ca="1" si="53"/>
        <v>0</v>
      </c>
      <c r="BN27" s="309">
        <f t="shared" ca="1" si="15"/>
        <v>0</v>
      </c>
      <c r="BO27" s="310">
        <f t="shared" ca="1" si="54"/>
        <v>0.44500000000000001</v>
      </c>
      <c r="BP27" s="308">
        <f t="shared" ca="1" si="55"/>
        <v>0</v>
      </c>
      <c r="BQ27" s="309">
        <f t="shared" ca="1" si="16"/>
        <v>0.44500000000000001</v>
      </c>
      <c r="BR27" s="310">
        <f t="shared" ca="1" si="56"/>
        <v>0</v>
      </c>
      <c r="BS27" s="308">
        <f t="shared" ca="1" si="57"/>
        <v>3.7499999999999999E-3</v>
      </c>
      <c r="BT27" s="309">
        <f t="shared" ca="1" si="17"/>
        <v>3.7499999999999999E-3</v>
      </c>
      <c r="BU27" s="310">
        <f t="shared" ca="1" si="18"/>
        <v>0.44500000000000001</v>
      </c>
      <c r="BV27" s="309">
        <f t="shared" ca="1" si="19"/>
        <v>3.7499999999999999E-3</v>
      </c>
      <c r="BW27" s="311">
        <f t="shared" ca="1" si="20"/>
        <v>0.44874999999999998</v>
      </c>
      <c r="BX27" s="286"/>
      <c r="BY27" s="300">
        <f t="shared" ca="1" si="59"/>
        <v>0</v>
      </c>
      <c r="BZ27" s="301">
        <f t="shared" ca="1" si="60"/>
        <v>0</v>
      </c>
      <c r="CA27" s="301">
        <f t="shared" ca="1" si="61"/>
        <v>3.7500000000002635E-3</v>
      </c>
      <c r="CB27" s="312">
        <f t="shared" ca="1" si="58"/>
        <v>3.7500000000002635E-3</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2</v>
      </c>
      <c r="D28" s="679" t="s">
        <v>145</v>
      </c>
      <c r="E28" s="679"/>
      <c r="F28" s="679"/>
      <c r="G28" s="682"/>
      <c r="H28" s="33"/>
      <c r="I28" s="689" t="s">
        <v>15</v>
      </c>
      <c r="J28" s="689"/>
      <c r="K28" s="689"/>
      <c r="L28" s="689"/>
      <c r="M28" s="689"/>
      <c r="N28" s="23"/>
      <c r="O28" s="358" t="s">
        <v>29</v>
      </c>
      <c r="P28" s="247"/>
      <c r="Q28" s="362">
        <f t="shared" ca="1" si="21"/>
        <v>2.0175000000000001</v>
      </c>
      <c r="R28" s="248">
        <f t="shared" ca="1" si="22"/>
        <v>0.13375000000000001</v>
      </c>
      <c r="S28" s="363">
        <f t="shared" ca="1" si="23"/>
        <v>2.1512500000000001</v>
      </c>
      <c r="T28" s="247"/>
      <c r="U28" s="362">
        <f t="shared" ca="1" si="24"/>
        <v>2.0175000000000001</v>
      </c>
      <c r="V28" s="248">
        <f t="shared" ca="1" si="25"/>
        <v>0.13375000000000001</v>
      </c>
      <c r="W28" s="363">
        <f t="shared" ca="1" si="26"/>
        <v>2.1512500000000001</v>
      </c>
      <c r="X28" s="247"/>
      <c r="Y28" s="362">
        <f t="shared" ca="1" si="27"/>
        <v>2.0175000000000001</v>
      </c>
      <c r="Z28" s="248">
        <f t="shared" ca="1" si="28"/>
        <v>0.13375000000000001</v>
      </c>
      <c r="AA28" s="363">
        <f t="shared" ca="1" si="29"/>
        <v>2.1512500000000001</v>
      </c>
      <c r="AB28" s="58" t="str">
        <f t="shared" ca="1" si="30"/>
        <v/>
      </c>
      <c r="AC28" s="495" t="s">
        <v>29</v>
      </c>
      <c r="AD28" s="275"/>
      <c r="AE28" s="303">
        <f t="shared" ca="1" si="31"/>
        <v>0</v>
      </c>
      <c r="AF28" s="304">
        <f t="shared" ca="1" si="32"/>
        <v>0</v>
      </c>
      <c r="AG28" s="305">
        <f t="shared" ca="1" si="33"/>
        <v>-4.5</v>
      </c>
      <c r="AH28" s="304">
        <f t="shared" ca="1" si="34"/>
        <v>0.25</v>
      </c>
      <c r="AI28" s="305">
        <f t="shared" ca="1" si="35"/>
        <v>-1</v>
      </c>
      <c r="AJ28" s="306">
        <f t="shared" ca="1" si="36"/>
        <v>1.5</v>
      </c>
      <c r="AK28" s="280"/>
      <c r="AL28" s="307">
        <f t="shared" ca="1" si="37"/>
        <v>0</v>
      </c>
      <c r="AM28" s="308">
        <f t="shared" ca="1" si="38"/>
        <v>0</v>
      </c>
      <c r="AN28" s="309">
        <f t="shared" ca="1" si="6"/>
        <v>0</v>
      </c>
      <c r="AO28" s="310">
        <f t="shared" ca="1" si="39"/>
        <v>2.0024999999999999</v>
      </c>
      <c r="AP28" s="308">
        <f t="shared" ca="1" si="40"/>
        <v>0.11125</v>
      </c>
      <c r="AQ28" s="309">
        <f t="shared" ca="1" si="7"/>
        <v>2.11375</v>
      </c>
      <c r="AR28" s="310">
        <f t="shared" ca="1" si="41"/>
        <v>1.4999999999999999E-2</v>
      </c>
      <c r="AS28" s="308">
        <f t="shared" ca="1" si="42"/>
        <v>2.2499999999999999E-2</v>
      </c>
      <c r="AT28" s="309">
        <f t="shared" ca="1" si="8"/>
        <v>3.7499999999999999E-2</v>
      </c>
      <c r="AU28" s="310">
        <f t="shared" ca="1" si="9"/>
        <v>2.0175000000000001</v>
      </c>
      <c r="AV28" s="309">
        <f t="shared" ca="1" si="10"/>
        <v>0.13375000000000001</v>
      </c>
      <c r="AW28" s="311">
        <f t="shared" ca="1" si="11"/>
        <v>2.1512500000000001</v>
      </c>
      <c r="AX28" s="286"/>
      <c r="AY28" s="307">
        <f t="shared" ca="1" si="43"/>
        <v>0</v>
      </c>
      <c r="AZ28" s="308">
        <f t="shared" ca="1" si="44"/>
        <v>0</v>
      </c>
      <c r="BA28" s="309">
        <f t="shared" ca="1" si="45"/>
        <v>0</v>
      </c>
      <c r="BB28" s="310">
        <f t="shared" ca="1" si="46"/>
        <v>2.0024999999999999</v>
      </c>
      <c r="BC28" s="308">
        <f t="shared" ca="1" si="47"/>
        <v>0.11125</v>
      </c>
      <c r="BD28" s="309">
        <f t="shared" ca="1" si="12"/>
        <v>2.11375</v>
      </c>
      <c r="BE28" s="310">
        <f t="shared" ca="1" si="48"/>
        <v>1.4999999999999999E-2</v>
      </c>
      <c r="BF28" s="308">
        <f t="shared" ca="1" si="49"/>
        <v>2.2499999999999999E-2</v>
      </c>
      <c r="BG28" s="309">
        <f t="shared" ca="1" si="13"/>
        <v>3.7499999999999999E-2</v>
      </c>
      <c r="BH28" s="310">
        <f t="shared" ca="1" si="50"/>
        <v>2.0175000000000001</v>
      </c>
      <c r="BI28" s="309">
        <f t="shared" ca="1" si="51"/>
        <v>0.13375000000000001</v>
      </c>
      <c r="BJ28" s="311">
        <f t="shared" ca="1" si="14"/>
        <v>2.1512500000000001</v>
      </c>
      <c r="BK28" s="286"/>
      <c r="BL28" s="307">
        <f t="shared" ca="1" si="52"/>
        <v>0</v>
      </c>
      <c r="BM28" s="308">
        <f t="shared" ca="1" si="53"/>
        <v>0</v>
      </c>
      <c r="BN28" s="309">
        <f t="shared" ca="1" si="15"/>
        <v>0</v>
      </c>
      <c r="BO28" s="310">
        <f t="shared" ca="1" si="54"/>
        <v>2.0024999999999999</v>
      </c>
      <c r="BP28" s="308">
        <f t="shared" ca="1" si="55"/>
        <v>0.11125</v>
      </c>
      <c r="BQ28" s="309">
        <f t="shared" ca="1" si="16"/>
        <v>2.11375</v>
      </c>
      <c r="BR28" s="310">
        <f t="shared" ca="1" si="56"/>
        <v>1.4999999999999999E-2</v>
      </c>
      <c r="BS28" s="308">
        <f t="shared" ca="1" si="57"/>
        <v>2.2499999999999999E-2</v>
      </c>
      <c r="BT28" s="309">
        <f t="shared" ca="1" si="17"/>
        <v>3.7499999999999999E-2</v>
      </c>
      <c r="BU28" s="310">
        <f t="shared" ca="1" si="18"/>
        <v>2.0175000000000001</v>
      </c>
      <c r="BV28" s="309">
        <f t="shared" ca="1" si="19"/>
        <v>0.13375000000000001</v>
      </c>
      <c r="BW28" s="311">
        <f t="shared" ca="1" si="20"/>
        <v>2.1512500000000001</v>
      </c>
      <c r="BX28" s="286"/>
      <c r="BY28" s="300">
        <f t="shared" ca="1" si="59"/>
        <v>0</v>
      </c>
      <c r="BZ28" s="301">
        <f t="shared" ca="1" si="60"/>
        <v>0</v>
      </c>
      <c r="CA28" s="301">
        <f t="shared" ca="1" si="61"/>
        <v>1.1250000000000263E-2</v>
      </c>
      <c r="CB28" s="312">
        <f t="shared" ca="1" si="58"/>
        <v>1.1250000000000263E-2</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Bewohnerverkehr</v>
      </c>
      <c r="K29" s="725" t="s">
        <v>147</v>
      </c>
      <c r="L29" s="725"/>
      <c r="M29" s="268">
        <f>IF(OR(K4="",K4=0,K4="keine Nutzung")=TRUE,0,IF(AND(M25&lt;&gt;0,OR(M18=0,M18="-")=TRUE)=TRUE,ROUND(M19*M21*M23/M25,0),IF(AND(M19&lt;&gt;0,M19&lt;&gt;"-",M25&lt;&gt;0)=TRUE,ROUND(M18/M19*M21*M23/M25,0),0)))</f>
        <v>89</v>
      </c>
      <c r="N29" s="24"/>
      <c r="O29" s="358" t="s">
        <v>30</v>
      </c>
      <c r="P29" s="247"/>
      <c r="Q29" s="362">
        <f t="shared" ca="1" si="21"/>
        <v>6.7012499999999999</v>
      </c>
      <c r="R29" s="248">
        <f t="shared" ca="1" si="22"/>
        <v>0.44550000000000001</v>
      </c>
      <c r="S29" s="363">
        <f t="shared" ca="1" si="23"/>
        <v>7.1467499999999999</v>
      </c>
      <c r="T29" s="247"/>
      <c r="U29" s="362">
        <f t="shared" ca="1" si="24"/>
        <v>6.7012499999999999</v>
      </c>
      <c r="V29" s="248">
        <f t="shared" ca="1" si="25"/>
        <v>0.44550000000000001</v>
      </c>
      <c r="W29" s="363">
        <f t="shared" ca="1" si="26"/>
        <v>7.1467499999999999</v>
      </c>
      <c r="X29" s="247"/>
      <c r="Y29" s="362">
        <f t="shared" ca="1" si="27"/>
        <v>6.7012499999999999</v>
      </c>
      <c r="Z29" s="248">
        <f t="shared" ca="1" si="28"/>
        <v>0.44550000000000001</v>
      </c>
      <c r="AA29" s="363">
        <f t="shared" ca="1" si="29"/>
        <v>7.1467499999999999</v>
      </c>
      <c r="AB29" s="58" t="str">
        <f t="shared" ca="1" si="30"/>
        <v/>
      </c>
      <c r="AC29" s="495" t="s">
        <v>30</v>
      </c>
      <c r="AD29" s="275"/>
      <c r="AE29" s="303">
        <f t="shared" ca="1" si="31"/>
        <v>0</v>
      </c>
      <c r="AF29" s="304">
        <f t="shared" ca="1" si="32"/>
        <v>0</v>
      </c>
      <c r="AG29" s="305">
        <f t="shared" ca="1" si="33"/>
        <v>-15</v>
      </c>
      <c r="AH29" s="304">
        <f t="shared" ca="1" si="34"/>
        <v>0.9</v>
      </c>
      <c r="AI29" s="305">
        <f t="shared" ca="1" si="35"/>
        <v>-1.75</v>
      </c>
      <c r="AJ29" s="306">
        <f t="shared" ca="1" si="36"/>
        <v>3</v>
      </c>
      <c r="AK29" s="280"/>
      <c r="AL29" s="307">
        <f t="shared" ca="1" si="37"/>
        <v>0</v>
      </c>
      <c r="AM29" s="308">
        <f t="shared" ca="1" si="38"/>
        <v>0</v>
      </c>
      <c r="AN29" s="309">
        <f t="shared" ca="1" si="6"/>
        <v>0</v>
      </c>
      <c r="AO29" s="310">
        <f t="shared" ca="1" si="39"/>
        <v>6.6749999999999998</v>
      </c>
      <c r="AP29" s="308">
        <f t="shared" ca="1" si="40"/>
        <v>0.40050000000000002</v>
      </c>
      <c r="AQ29" s="309">
        <f t="shared" ca="1" si="7"/>
        <v>7.0754999999999999</v>
      </c>
      <c r="AR29" s="310">
        <f t="shared" ca="1" si="41"/>
        <v>2.6249999999999999E-2</v>
      </c>
      <c r="AS29" s="308">
        <f t="shared" ca="1" si="42"/>
        <v>4.4999999999999998E-2</v>
      </c>
      <c r="AT29" s="309">
        <f t="shared" ca="1" si="8"/>
        <v>7.1249999999999994E-2</v>
      </c>
      <c r="AU29" s="310">
        <f t="shared" ca="1" si="9"/>
        <v>6.7012499999999999</v>
      </c>
      <c r="AV29" s="309">
        <f t="shared" ca="1" si="10"/>
        <v>0.44550000000000001</v>
      </c>
      <c r="AW29" s="311">
        <f t="shared" ca="1" si="11"/>
        <v>7.1467499999999999</v>
      </c>
      <c r="AX29" s="286"/>
      <c r="AY29" s="307">
        <f t="shared" ca="1" si="43"/>
        <v>0</v>
      </c>
      <c r="AZ29" s="308">
        <f t="shared" ca="1" si="44"/>
        <v>0</v>
      </c>
      <c r="BA29" s="309">
        <f t="shared" ca="1" si="45"/>
        <v>0</v>
      </c>
      <c r="BB29" s="310">
        <f t="shared" ca="1" si="46"/>
        <v>6.6749999999999998</v>
      </c>
      <c r="BC29" s="308">
        <f t="shared" ca="1" si="47"/>
        <v>0.40050000000000002</v>
      </c>
      <c r="BD29" s="309">
        <f t="shared" ca="1" si="12"/>
        <v>7.0754999999999999</v>
      </c>
      <c r="BE29" s="310">
        <f t="shared" ca="1" si="48"/>
        <v>2.6249999999999999E-2</v>
      </c>
      <c r="BF29" s="308">
        <f t="shared" ca="1" si="49"/>
        <v>4.4999999999999998E-2</v>
      </c>
      <c r="BG29" s="309">
        <f t="shared" ca="1" si="13"/>
        <v>7.1249999999999994E-2</v>
      </c>
      <c r="BH29" s="310">
        <f t="shared" ca="1" si="50"/>
        <v>6.7012499999999999</v>
      </c>
      <c r="BI29" s="309">
        <f t="shared" ca="1" si="51"/>
        <v>0.44550000000000001</v>
      </c>
      <c r="BJ29" s="311">
        <f t="shared" ca="1" si="14"/>
        <v>7.1467499999999999</v>
      </c>
      <c r="BK29" s="286"/>
      <c r="BL29" s="307">
        <f t="shared" ca="1" si="52"/>
        <v>0</v>
      </c>
      <c r="BM29" s="308">
        <f t="shared" ca="1" si="53"/>
        <v>0</v>
      </c>
      <c r="BN29" s="309">
        <f t="shared" ca="1" si="15"/>
        <v>0</v>
      </c>
      <c r="BO29" s="310">
        <f t="shared" ca="1" si="54"/>
        <v>6.6749999999999998</v>
      </c>
      <c r="BP29" s="308">
        <f t="shared" ca="1" si="55"/>
        <v>0.40050000000000002</v>
      </c>
      <c r="BQ29" s="309">
        <f t="shared" ca="1" si="16"/>
        <v>7.0754999999999999</v>
      </c>
      <c r="BR29" s="310">
        <f t="shared" ca="1" si="56"/>
        <v>2.6249999999999999E-2</v>
      </c>
      <c r="BS29" s="308">
        <f t="shared" ca="1" si="57"/>
        <v>4.4999999999999998E-2</v>
      </c>
      <c r="BT29" s="309">
        <f t="shared" ca="1" si="17"/>
        <v>7.1249999999999994E-2</v>
      </c>
      <c r="BU29" s="310">
        <f t="shared" ca="1" si="18"/>
        <v>6.7012499999999999</v>
      </c>
      <c r="BV29" s="309">
        <f t="shared" ca="1" si="19"/>
        <v>0.44550000000000001</v>
      </c>
      <c r="BW29" s="311">
        <f t="shared" ca="1" si="20"/>
        <v>7.1467499999999999</v>
      </c>
      <c r="BX29" s="286"/>
      <c r="BY29" s="300">
        <f t="shared" ca="1" si="59"/>
        <v>0</v>
      </c>
      <c r="BZ29" s="301">
        <f t="shared" ca="1" si="60"/>
        <v>0</v>
      </c>
      <c r="CA29" s="301">
        <f t="shared" ca="1" si="61"/>
        <v>3.0000000000000263E-2</v>
      </c>
      <c r="CB29" s="312">
        <f t="shared" ca="1" si="58"/>
        <v>3.0000000000000263E-2</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Besucherverkehr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4</v>
      </c>
      <c r="N30" s="25"/>
      <c r="O30" s="358" t="s">
        <v>31</v>
      </c>
      <c r="P30" s="247"/>
      <c r="Q30" s="362">
        <f t="shared" ca="1" si="21"/>
        <v>6.3140500000000008</v>
      </c>
      <c r="R30" s="248">
        <f t="shared" ca="1" si="22"/>
        <v>1.0295999999999998</v>
      </c>
      <c r="S30" s="363">
        <f t="shared" ca="1" si="23"/>
        <v>7.3436500000000002</v>
      </c>
      <c r="T30" s="247"/>
      <c r="U30" s="362">
        <f t="shared" ca="1" si="24"/>
        <v>6.3140500000000008</v>
      </c>
      <c r="V30" s="248">
        <f t="shared" ca="1" si="25"/>
        <v>1.0295999999999998</v>
      </c>
      <c r="W30" s="363">
        <f t="shared" ca="1" si="26"/>
        <v>7.3436500000000002</v>
      </c>
      <c r="X30" s="247"/>
      <c r="Y30" s="362">
        <f t="shared" ca="1" si="27"/>
        <v>6.3140500000000008</v>
      </c>
      <c r="Z30" s="248">
        <f t="shared" ca="1" si="28"/>
        <v>1.0295999999999998</v>
      </c>
      <c r="AA30" s="363">
        <f t="shared" ca="1" si="29"/>
        <v>7.3436500000000002</v>
      </c>
      <c r="AB30" s="58" t="str">
        <f t="shared" ca="1" si="30"/>
        <v>morgendliche
Spitzenstunde</v>
      </c>
      <c r="AC30" s="495" t="s">
        <v>31</v>
      </c>
      <c r="AD30" s="275"/>
      <c r="AE30" s="303">
        <f t="shared" ca="1" si="31"/>
        <v>-0.64</v>
      </c>
      <c r="AF30" s="304">
        <f t="shared" ca="1" si="32"/>
        <v>0.98</v>
      </c>
      <c r="AG30" s="305">
        <f t="shared" ca="1" si="33"/>
        <v>-14</v>
      </c>
      <c r="AH30" s="304">
        <f t="shared" ca="1" si="34"/>
        <v>2</v>
      </c>
      <c r="AI30" s="305">
        <f t="shared" ca="1" si="35"/>
        <v>-4.75</v>
      </c>
      <c r="AJ30" s="306">
        <f t="shared" ca="1" si="36"/>
        <v>8</v>
      </c>
      <c r="AK30" s="280"/>
      <c r="AL30" s="307">
        <f t="shared" ca="1" si="37"/>
        <v>1.2800000000000001E-2</v>
      </c>
      <c r="AM30" s="308">
        <f t="shared" ca="1" si="38"/>
        <v>1.9599999999999999E-2</v>
      </c>
      <c r="AN30" s="309">
        <f t="shared" ca="1" si="6"/>
        <v>3.2399999999999998E-2</v>
      </c>
      <c r="AO30" s="310">
        <f t="shared" ca="1" si="39"/>
        <v>6.23</v>
      </c>
      <c r="AP30" s="308">
        <f t="shared" ca="1" si="40"/>
        <v>0.89</v>
      </c>
      <c r="AQ30" s="309">
        <f t="shared" ca="1" si="7"/>
        <v>7.12</v>
      </c>
      <c r="AR30" s="310">
        <f t="shared" ca="1" si="41"/>
        <v>7.1249999999999994E-2</v>
      </c>
      <c r="AS30" s="308">
        <f t="shared" ca="1" si="42"/>
        <v>0.12</v>
      </c>
      <c r="AT30" s="309">
        <f t="shared" ca="1" si="8"/>
        <v>0.19124999999999998</v>
      </c>
      <c r="AU30" s="310">
        <f t="shared" ca="1" si="9"/>
        <v>6.3140500000000008</v>
      </c>
      <c r="AV30" s="309">
        <f t="shared" ca="1" si="10"/>
        <v>1.0295999999999998</v>
      </c>
      <c r="AW30" s="311">
        <f t="shared" ca="1" si="11"/>
        <v>7.3436500000000002</v>
      </c>
      <c r="AX30" s="286"/>
      <c r="AY30" s="307">
        <f t="shared" ca="1" si="43"/>
        <v>1.2800000000000001E-2</v>
      </c>
      <c r="AZ30" s="308">
        <f t="shared" ca="1" si="44"/>
        <v>1.9599999999999999E-2</v>
      </c>
      <c r="BA30" s="309">
        <f t="shared" ca="1" si="45"/>
        <v>3.2399999999999998E-2</v>
      </c>
      <c r="BB30" s="310">
        <f t="shared" ca="1" si="46"/>
        <v>6.23</v>
      </c>
      <c r="BC30" s="308">
        <f t="shared" ca="1" si="47"/>
        <v>0.89</v>
      </c>
      <c r="BD30" s="309">
        <f t="shared" ca="1" si="12"/>
        <v>7.12</v>
      </c>
      <c r="BE30" s="310">
        <f t="shared" ca="1" si="48"/>
        <v>7.1249999999999994E-2</v>
      </c>
      <c r="BF30" s="308">
        <f t="shared" ca="1" si="49"/>
        <v>0.12</v>
      </c>
      <c r="BG30" s="309">
        <f t="shared" ca="1" si="13"/>
        <v>0.19124999999999998</v>
      </c>
      <c r="BH30" s="310">
        <f t="shared" ca="1" si="50"/>
        <v>6.3140500000000008</v>
      </c>
      <c r="BI30" s="309">
        <f t="shared" ca="1" si="51"/>
        <v>1.0295999999999998</v>
      </c>
      <c r="BJ30" s="311">
        <f t="shared" ca="1" si="14"/>
        <v>7.3436500000000002</v>
      </c>
      <c r="BK30" s="286"/>
      <c r="BL30" s="307">
        <f t="shared" ca="1" si="52"/>
        <v>1.2800000000000001E-2</v>
      </c>
      <c r="BM30" s="308">
        <f t="shared" ca="1" si="53"/>
        <v>1.9599999999999999E-2</v>
      </c>
      <c r="BN30" s="309">
        <f t="shared" ca="1" si="15"/>
        <v>3.2399999999999998E-2</v>
      </c>
      <c r="BO30" s="310">
        <f t="shared" ca="1" si="54"/>
        <v>6.23</v>
      </c>
      <c r="BP30" s="308">
        <f t="shared" ca="1" si="55"/>
        <v>0.89</v>
      </c>
      <c r="BQ30" s="309">
        <f t="shared" ca="1" si="16"/>
        <v>7.12</v>
      </c>
      <c r="BR30" s="310">
        <f t="shared" ca="1" si="56"/>
        <v>7.1249999999999994E-2</v>
      </c>
      <c r="BS30" s="308">
        <f t="shared" ca="1" si="57"/>
        <v>0.12</v>
      </c>
      <c r="BT30" s="309">
        <f t="shared" ca="1" si="17"/>
        <v>0.19124999999999998</v>
      </c>
      <c r="BU30" s="310">
        <f t="shared" ca="1" si="18"/>
        <v>6.3140500000000008</v>
      </c>
      <c r="BV30" s="309">
        <f t="shared" ca="1" si="19"/>
        <v>1.0295999999999998</v>
      </c>
      <c r="BW30" s="311">
        <f t="shared" ca="1" si="20"/>
        <v>7.3436500000000002</v>
      </c>
      <c r="BX30" s="286"/>
      <c r="BY30" s="300">
        <f t="shared" ca="1" si="59"/>
        <v>6.7999999999999988E-3</v>
      </c>
      <c r="BZ30" s="301">
        <f t="shared" ca="1" si="60"/>
        <v>0</v>
      </c>
      <c r="CA30" s="301">
        <f t="shared" ca="1" si="61"/>
        <v>7.8750000000000264E-2</v>
      </c>
      <c r="CB30" s="312">
        <f t="shared" ca="1" si="58"/>
        <v>8.5550000000000265E-2</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3</v>
      </c>
      <c r="N31" s="25"/>
      <c r="O31" s="358" t="s">
        <v>32</v>
      </c>
      <c r="P31" s="247"/>
      <c r="Q31" s="362">
        <f t="shared" ca="1" si="21"/>
        <v>3.7153</v>
      </c>
      <c r="R31" s="248">
        <f t="shared" ca="1" si="22"/>
        <v>1.3831000000000002</v>
      </c>
      <c r="S31" s="363">
        <f t="shared" ca="1" si="23"/>
        <v>5.0983999999999998</v>
      </c>
      <c r="T31" s="247"/>
      <c r="U31" s="362">
        <f t="shared" ca="1" si="24"/>
        <v>3.7153</v>
      </c>
      <c r="V31" s="248">
        <f t="shared" ca="1" si="25"/>
        <v>1.3831000000000002</v>
      </c>
      <c r="W31" s="363">
        <f t="shared" ca="1" si="26"/>
        <v>5.0983999999999998</v>
      </c>
      <c r="X31" s="247"/>
      <c r="Y31" s="362">
        <f t="shared" ca="1" si="27"/>
        <v>3.7153</v>
      </c>
      <c r="Z31" s="248">
        <f t="shared" ca="1" si="28"/>
        <v>1.3831000000000002</v>
      </c>
      <c r="AA31" s="363">
        <f t="shared" ca="1" si="29"/>
        <v>5.0983999999999998</v>
      </c>
      <c r="AB31" s="58" t="str">
        <f t="shared" ca="1" si="30"/>
        <v/>
      </c>
      <c r="AC31" s="495" t="s">
        <v>32</v>
      </c>
      <c r="AD31" s="275"/>
      <c r="AE31" s="303">
        <f t="shared" ca="1" si="31"/>
        <v>-2.89</v>
      </c>
      <c r="AF31" s="304">
        <f t="shared" ca="1" si="32"/>
        <v>5.73</v>
      </c>
      <c r="AG31" s="305">
        <f t="shared" ca="1" si="33"/>
        <v>-8</v>
      </c>
      <c r="AH31" s="304">
        <f t="shared" ca="1" si="34"/>
        <v>2.5</v>
      </c>
      <c r="AI31" s="305">
        <f t="shared" ca="1" si="35"/>
        <v>-6.5</v>
      </c>
      <c r="AJ31" s="306">
        <f t="shared" ca="1" si="36"/>
        <v>10.4</v>
      </c>
      <c r="AK31" s="280"/>
      <c r="AL31" s="307">
        <f t="shared" ca="1" si="37"/>
        <v>5.7800000000000004E-2</v>
      </c>
      <c r="AM31" s="308">
        <f t="shared" ca="1" si="38"/>
        <v>0.11460000000000001</v>
      </c>
      <c r="AN31" s="309">
        <f t="shared" ca="1" si="6"/>
        <v>0.1724</v>
      </c>
      <c r="AO31" s="310">
        <f t="shared" ca="1" si="39"/>
        <v>3.56</v>
      </c>
      <c r="AP31" s="308">
        <f t="shared" ca="1" si="40"/>
        <v>1.1125</v>
      </c>
      <c r="AQ31" s="309">
        <f t="shared" ca="1" si="7"/>
        <v>4.6725000000000003</v>
      </c>
      <c r="AR31" s="310">
        <f t="shared" ca="1" si="41"/>
        <v>9.7500000000000003E-2</v>
      </c>
      <c r="AS31" s="308">
        <f t="shared" ca="1" si="42"/>
        <v>0.15600000000000003</v>
      </c>
      <c r="AT31" s="309">
        <f t="shared" ca="1" si="8"/>
        <v>0.25350000000000006</v>
      </c>
      <c r="AU31" s="310">
        <f t="shared" ca="1" si="9"/>
        <v>3.7153</v>
      </c>
      <c r="AV31" s="309">
        <f t="shared" ca="1" si="10"/>
        <v>1.3831000000000002</v>
      </c>
      <c r="AW31" s="311">
        <f t="shared" ca="1" si="11"/>
        <v>5.0983999999999998</v>
      </c>
      <c r="AX31" s="286"/>
      <c r="AY31" s="307">
        <f t="shared" ca="1" si="43"/>
        <v>5.7800000000000004E-2</v>
      </c>
      <c r="AZ31" s="308">
        <f t="shared" ca="1" si="44"/>
        <v>0.11460000000000001</v>
      </c>
      <c r="BA31" s="309">
        <f t="shared" ca="1" si="45"/>
        <v>0.1724</v>
      </c>
      <c r="BB31" s="310">
        <f t="shared" ca="1" si="46"/>
        <v>3.56</v>
      </c>
      <c r="BC31" s="308">
        <f t="shared" ca="1" si="47"/>
        <v>1.1125</v>
      </c>
      <c r="BD31" s="309">
        <f t="shared" ca="1" si="12"/>
        <v>4.6725000000000003</v>
      </c>
      <c r="BE31" s="310">
        <f t="shared" ca="1" si="48"/>
        <v>9.7500000000000003E-2</v>
      </c>
      <c r="BF31" s="308">
        <f t="shared" ca="1" si="49"/>
        <v>0.15600000000000003</v>
      </c>
      <c r="BG31" s="309">
        <f t="shared" ca="1" si="13"/>
        <v>0.25350000000000006</v>
      </c>
      <c r="BH31" s="310">
        <f t="shared" ca="1" si="50"/>
        <v>3.7153</v>
      </c>
      <c r="BI31" s="309">
        <f t="shared" ca="1" si="51"/>
        <v>1.3831000000000002</v>
      </c>
      <c r="BJ31" s="311">
        <f t="shared" ca="1" si="14"/>
        <v>5.0983999999999998</v>
      </c>
      <c r="BK31" s="286"/>
      <c r="BL31" s="307">
        <f t="shared" ca="1" si="52"/>
        <v>5.7800000000000004E-2</v>
      </c>
      <c r="BM31" s="308">
        <f t="shared" ca="1" si="53"/>
        <v>0.11460000000000001</v>
      </c>
      <c r="BN31" s="309">
        <f t="shared" ca="1" si="15"/>
        <v>0.1724</v>
      </c>
      <c r="BO31" s="310">
        <f t="shared" ca="1" si="54"/>
        <v>3.56</v>
      </c>
      <c r="BP31" s="308">
        <f t="shared" ca="1" si="55"/>
        <v>1.1125</v>
      </c>
      <c r="BQ31" s="309">
        <f t="shared" ca="1" si="16"/>
        <v>4.6725000000000003</v>
      </c>
      <c r="BR31" s="310">
        <f t="shared" ca="1" si="56"/>
        <v>9.7500000000000003E-2</v>
      </c>
      <c r="BS31" s="308">
        <f t="shared" ca="1" si="57"/>
        <v>0.15600000000000003</v>
      </c>
      <c r="BT31" s="309">
        <f t="shared" ca="1" si="17"/>
        <v>0.25350000000000006</v>
      </c>
      <c r="BU31" s="310">
        <f t="shared" ca="1" si="18"/>
        <v>3.7153</v>
      </c>
      <c r="BV31" s="309">
        <f t="shared" ca="1" si="19"/>
        <v>1.3831000000000002</v>
      </c>
      <c r="BW31" s="311">
        <f t="shared" ca="1" si="20"/>
        <v>5.0983999999999998</v>
      </c>
      <c r="BX31" s="286"/>
      <c r="BY31" s="300">
        <f t="shared" ca="1" si="59"/>
        <v>6.3600000000000004E-2</v>
      </c>
      <c r="BZ31" s="301">
        <f t="shared" ca="1" si="60"/>
        <v>0</v>
      </c>
      <c r="CA31" s="301">
        <f t="shared" ca="1" si="61"/>
        <v>0.13725000000000029</v>
      </c>
      <c r="CB31" s="312">
        <f t="shared" ca="1" si="58"/>
        <v>0.20085000000000031</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96</v>
      </c>
      <c r="N32" s="25"/>
      <c r="O32" s="358" t="s">
        <v>33</v>
      </c>
      <c r="P32" s="247"/>
      <c r="Q32" s="362">
        <f t="shared" ca="1" si="21"/>
        <v>2.6309999999999998</v>
      </c>
      <c r="R32" s="248">
        <f t="shared" ca="1" si="22"/>
        <v>1.5306</v>
      </c>
      <c r="S32" s="363">
        <f t="shared" ca="1" si="23"/>
        <v>4.1616</v>
      </c>
      <c r="T32" s="247"/>
      <c r="U32" s="362">
        <f t="shared" ca="1" si="24"/>
        <v>2.6309999999999998</v>
      </c>
      <c r="V32" s="248">
        <f t="shared" ca="1" si="25"/>
        <v>1.5306</v>
      </c>
      <c r="W32" s="363">
        <f t="shared" ca="1" si="26"/>
        <v>4.1616</v>
      </c>
      <c r="X32" s="247"/>
      <c r="Y32" s="362">
        <f t="shared" ca="1" si="27"/>
        <v>2.6309999999999998</v>
      </c>
      <c r="Z32" s="248">
        <f t="shared" ca="1" si="28"/>
        <v>1.5306</v>
      </c>
      <c r="AA32" s="363">
        <f t="shared" ca="1" si="29"/>
        <v>4.1616</v>
      </c>
      <c r="AB32" s="58" t="str">
        <f t="shared" ca="1" si="30"/>
        <v/>
      </c>
      <c r="AC32" s="495" t="s">
        <v>33</v>
      </c>
      <c r="AD32" s="275"/>
      <c r="AE32" s="303">
        <f t="shared" ca="1" si="31"/>
        <v>-8.5500000000000007</v>
      </c>
      <c r="AF32" s="304">
        <f t="shared" ca="1" si="32"/>
        <v>8.7799999999999994</v>
      </c>
      <c r="AG32" s="305">
        <f t="shared" ca="1" si="33"/>
        <v>-5.25</v>
      </c>
      <c r="AH32" s="304">
        <f t="shared" ca="1" si="34"/>
        <v>2.75</v>
      </c>
      <c r="AI32" s="305">
        <f t="shared" ca="1" si="35"/>
        <v>-8.25</v>
      </c>
      <c r="AJ32" s="306">
        <f t="shared" ca="1" si="36"/>
        <v>8.75</v>
      </c>
      <c r="AK32" s="280"/>
      <c r="AL32" s="307">
        <f t="shared" ca="1" si="37"/>
        <v>0.17100000000000001</v>
      </c>
      <c r="AM32" s="308">
        <f t="shared" ca="1" si="38"/>
        <v>0.17559999999999998</v>
      </c>
      <c r="AN32" s="309">
        <f t="shared" ca="1" si="6"/>
        <v>0.34660000000000002</v>
      </c>
      <c r="AO32" s="310">
        <f t="shared" ca="1" si="39"/>
        <v>2.3362500000000002</v>
      </c>
      <c r="AP32" s="308">
        <f t="shared" ca="1" si="40"/>
        <v>1.2237499999999999</v>
      </c>
      <c r="AQ32" s="309">
        <f t="shared" ca="1" si="7"/>
        <v>3.56</v>
      </c>
      <c r="AR32" s="310">
        <f t="shared" ca="1" si="41"/>
        <v>0.12375</v>
      </c>
      <c r="AS32" s="308">
        <f t="shared" ca="1" si="42"/>
        <v>0.13125000000000001</v>
      </c>
      <c r="AT32" s="309">
        <f t="shared" ca="1" si="8"/>
        <v>0.255</v>
      </c>
      <c r="AU32" s="310">
        <f t="shared" ca="1" si="9"/>
        <v>2.6309999999999998</v>
      </c>
      <c r="AV32" s="309">
        <f t="shared" ca="1" si="10"/>
        <v>1.5306</v>
      </c>
      <c r="AW32" s="311">
        <f t="shared" ca="1" si="11"/>
        <v>4.1616</v>
      </c>
      <c r="AX32" s="286"/>
      <c r="AY32" s="307">
        <f t="shared" ca="1" si="43"/>
        <v>0.17100000000000001</v>
      </c>
      <c r="AZ32" s="308">
        <f t="shared" ca="1" si="44"/>
        <v>0.17559999999999998</v>
      </c>
      <c r="BA32" s="309">
        <f t="shared" ca="1" si="45"/>
        <v>0.34660000000000002</v>
      </c>
      <c r="BB32" s="310">
        <f t="shared" ca="1" si="46"/>
        <v>2.3362500000000002</v>
      </c>
      <c r="BC32" s="308">
        <f t="shared" ca="1" si="47"/>
        <v>1.2237499999999999</v>
      </c>
      <c r="BD32" s="309">
        <f t="shared" ca="1" si="12"/>
        <v>3.56</v>
      </c>
      <c r="BE32" s="310">
        <f t="shared" ca="1" si="48"/>
        <v>0.12375</v>
      </c>
      <c r="BF32" s="308">
        <f t="shared" ca="1" si="49"/>
        <v>0.13125000000000001</v>
      </c>
      <c r="BG32" s="309">
        <f t="shared" ca="1" si="13"/>
        <v>0.255</v>
      </c>
      <c r="BH32" s="310">
        <f t="shared" ca="1" si="50"/>
        <v>2.6309999999999998</v>
      </c>
      <c r="BI32" s="309">
        <f t="shared" ca="1" si="51"/>
        <v>1.5306</v>
      </c>
      <c r="BJ32" s="311">
        <f t="shared" ca="1" si="14"/>
        <v>4.1616</v>
      </c>
      <c r="BK32" s="286"/>
      <c r="BL32" s="307">
        <f t="shared" ca="1" si="52"/>
        <v>0.17100000000000001</v>
      </c>
      <c r="BM32" s="308">
        <f t="shared" ca="1" si="53"/>
        <v>0.17559999999999998</v>
      </c>
      <c r="BN32" s="309">
        <f t="shared" ca="1" si="15"/>
        <v>0.34660000000000002</v>
      </c>
      <c r="BO32" s="310">
        <f t="shared" ca="1" si="54"/>
        <v>2.3362500000000002</v>
      </c>
      <c r="BP32" s="308">
        <f t="shared" ca="1" si="55"/>
        <v>1.2237499999999999</v>
      </c>
      <c r="BQ32" s="309">
        <f t="shared" ca="1" si="16"/>
        <v>3.56</v>
      </c>
      <c r="BR32" s="310">
        <f t="shared" ca="1" si="56"/>
        <v>0.12375</v>
      </c>
      <c r="BS32" s="308">
        <f t="shared" ca="1" si="57"/>
        <v>0.13125000000000001</v>
      </c>
      <c r="BT32" s="309">
        <f t="shared" ca="1" si="17"/>
        <v>0.255</v>
      </c>
      <c r="BU32" s="310">
        <f t="shared" ca="1" si="18"/>
        <v>2.6309999999999998</v>
      </c>
      <c r="BV32" s="309">
        <f t="shared" ca="1" si="19"/>
        <v>1.5306</v>
      </c>
      <c r="BW32" s="311">
        <f t="shared" ca="1" si="20"/>
        <v>4.1616</v>
      </c>
      <c r="BX32" s="286"/>
      <c r="BY32" s="300">
        <f t="shared" ca="1" si="59"/>
        <v>6.8199999999999969E-2</v>
      </c>
      <c r="BZ32" s="301">
        <f t="shared" ca="1" si="60"/>
        <v>0</v>
      </c>
      <c r="CA32" s="301">
        <f t="shared" ca="1" si="61"/>
        <v>0.1447500000000003</v>
      </c>
      <c r="CB32" s="312">
        <f t="shared" ca="1" si="58"/>
        <v>0.21295000000000025</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2.2124500000000005</v>
      </c>
      <c r="R33" s="248">
        <f t="shared" ca="1" si="22"/>
        <v>1.9404500000000002</v>
      </c>
      <c r="S33" s="363">
        <f t="shared" ca="1" si="23"/>
        <v>4.1529000000000007</v>
      </c>
      <c r="T33" s="247"/>
      <c r="U33" s="362">
        <f t="shared" ca="1" si="24"/>
        <v>2.2124500000000005</v>
      </c>
      <c r="V33" s="248">
        <f t="shared" ca="1" si="25"/>
        <v>1.9404500000000002</v>
      </c>
      <c r="W33" s="363">
        <f t="shared" ca="1" si="26"/>
        <v>4.1529000000000007</v>
      </c>
      <c r="X33" s="247"/>
      <c r="Y33" s="362">
        <f t="shared" ca="1" si="27"/>
        <v>2.2124500000000005</v>
      </c>
      <c r="Z33" s="248">
        <f t="shared" ca="1" si="28"/>
        <v>1.9404500000000002</v>
      </c>
      <c r="AA33" s="363">
        <f t="shared" ca="1" si="29"/>
        <v>4.1529000000000007</v>
      </c>
      <c r="AB33" s="58" t="str">
        <f t="shared" ca="1" si="30"/>
        <v/>
      </c>
      <c r="AC33" s="495" t="s">
        <v>34</v>
      </c>
      <c r="AD33" s="275"/>
      <c r="AE33" s="303">
        <f t="shared" ca="1" si="31"/>
        <v>-9.31</v>
      </c>
      <c r="AF33" s="304">
        <f t="shared" ca="1" si="32"/>
        <v>11.46</v>
      </c>
      <c r="AG33" s="305">
        <f t="shared" ca="1" si="33"/>
        <v>-4.25</v>
      </c>
      <c r="AH33" s="304">
        <f t="shared" ca="1" si="34"/>
        <v>3.5</v>
      </c>
      <c r="AI33" s="305">
        <f t="shared" ca="1" si="35"/>
        <v>-9</v>
      </c>
      <c r="AJ33" s="306">
        <f t="shared" ca="1" si="36"/>
        <v>10.25</v>
      </c>
      <c r="AK33" s="280"/>
      <c r="AL33" s="307">
        <f t="shared" ca="1" si="37"/>
        <v>0.1862</v>
      </c>
      <c r="AM33" s="308">
        <f t="shared" ca="1" si="38"/>
        <v>0.22920000000000001</v>
      </c>
      <c r="AN33" s="309">
        <f t="shared" ca="1" si="6"/>
        <v>0.41539999999999999</v>
      </c>
      <c r="AO33" s="310">
        <f t="shared" ca="1" si="39"/>
        <v>1.8912500000000001</v>
      </c>
      <c r="AP33" s="308">
        <f t="shared" ca="1" si="40"/>
        <v>1.5575000000000001</v>
      </c>
      <c r="AQ33" s="309">
        <f t="shared" ca="1" si="7"/>
        <v>3.4487500000000004</v>
      </c>
      <c r="AR33" s="310">
        <f t="shared" ca="1" si="41"/>
        <v>0.13500000000000001</v>
      </c>
      <c r="AS33" s="308">
        <f t="shared" ca="1" si="42"/>
        <v>0.15375</v>
      </c>
      <c r="AT33" s="309">
        <f t="shared" ca="1" si="8"/>
        <v>0.28875000000000001</v>
      </c>
      <c r="AU33" s="310">
        <f t="shared" ca="1" si="9"/>
        <v>2.2124500000000005</v>
      </c>
      <c r="AV33" s="309">
        <f t="shared" ca="1" si="10"/>
        <v>1.9404500000000002</v>
      </c>
      <c r="AW33" s="311">
        <f t="shared" ca="1" si="11"/>
        <v>4.1529000000000007</v>
      </c>
      <c r="AX33" s="286"/>
      <c r="AY33" s="307">
        <f t="shared" ca="1" si="43"/>
        <v>0.1862</v>
      </c>
      <c r="AZ33" s="308">
        <f t="shared" ca="1" si="44"/>
        <v>0.22920000000000001</v>
      </c>
      <c r="BA33" s="309">
        <f t="shared" ca="1" si="45"/>
        <v>0.41539999999999999</v>
      </c>
      <c r="BB33" s="310">
        <f t="shared" ca="1" si="46"/>
        <v>1.8912500000000001</v>
      </c>
      <c r="BC33" s="308">
        <f t="shared" ca="1" si="47"/>
        <v>1.5575000000000001</v>
      </c>
      <c r="BD33" s="309">
        <f t="shared" ca="1" si="12"/>
        <v>3.4487500000000004</v>
      </c>
      <c r="BE33" s="310">
        <f t="shared" ca="1" si="48"/>
        <v>0.13500000000000001</v>
      </c>
      <c r="BF33" s="308">
        <f t="shared" ca="1" si="49"/>
        <v>0.15375</v>
      </c>
      <c r="BG33" s="309">
        <f t="shared" ca="1" si="13"/>
        <v>0.28875000000000001</v>
      </c>
      <c r="BH33" s="310">
        <f t="shared" ca="1" si="50"/>
        <v>2.2124500000000005</v>
      </c>
      <c r="BI33" s="309">
        <f t="shared" ca="1" si="51"/>
        <v>1.9404500000000002</v>
      </c>
      <c r="BJ33" s="311">
        <f t="shared" ca="1" si="14"/>
        <v>4.1529000000000007</v>
      </c>
      <c r="BK33" s="286"/>
      <c r="BL33" s="307">
        <f t="shared" ca="1" si="52"/>
        <v>0.1862</v>
      </c>
      <c r="BM33" s="308">
        <f t="shared" ca="1" si="53"/>
        <v>0.22920000000000001</v>
      </c>
      <c r="BN33" s="309">
        <f t="shared" ca="1" si="15"/>
        <v>0.41539999999999999</v>
      </c>
      <c r="BO33" s="310">
        <f t="shared" ca="1" si="54"/>
        <v>1.8912500000000001</v>
      </c>
      <c r="BP33" s="308">
        <f t="shared" ca="1" si="55"/>
        <v>1.5575000000000001</v>
      </c>
      <c r="BQ33" s="309">
        <f t="shared" ca="1" si="16"/>
        <v>3.4487500000000004</v>
      </c>
      <c r="BR33" s="310">
        <f t="shared" ca="1" si="56"/>
        <v>0.13500000000000001</v>
      </c>
      <c r="BS33" s="308">
        <f t="shared" ca="1" si="57"/>
        <v>0.15375</v>
      </c>
      <c r="BT33" s="309">
        <f t="shared" ca="1" si="17"/>
        <v>0.28875000000000001</v>
      </c>
      <c r="BU33" s="310">
        <f t="shared" ca="1" si="18"/>
        <v>2.2124500000000005</v>
      </c>
      <c r="BV33" s="309">
        <f t="shared" ca="1" si="19"/>
        <v>1.9404500000000002</v>
      </c>
      <c r="BW33" s="311">
        <f t="shared" ca="1" si="20"/>
        <v>4.1529000000000007</v>
      </c>
      <c r="BX33" s="286"/>
      <c r="BY33" s="300">
        <f t="shared" ca="1" si="59"/>
        <v>0.11119999999999998</v>
      </c>
      <c r="BZ33" s="301">
        <f t="shared" ca="1" si="60"/>
        <v>0</v>
      </c>
      <c r="CA33" s="301">
        <f t="shared" ca="1" si="61"/>
        <v>0.16350000000000028</v>
      </c>
      <c r="CB33" s="312">
        <f t="shared" ca="1" si="58"/>
        <v>0.27470000000000028</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1.7075499999999999</v>
      </c>
      <c r="R34" s="248">
        <f t="shared" ca="1" si="22"/>
        <v>2.6677499999999998</v>
      </c>
      <c r="S34" s="363">
        <f t="shared" ca="1" si="23"/>
        <v>4.3752999999999993</v>
      </c>
      <c r="T34" s="247"/>
      <c r="U34" s="362">
        <f t="shared" ca="1" si="24"/>
        <v>1.7075499999999999</v>
      </c>
      <c r="V34" s="248">
        <f t="shared" ca="1" si="25"/>
        <v>2.6677499999999998</v>
      </c>
      <c r="W34" s="363">
        <f t="shared" ca="1" si="26"/>
        <v>4.3752999999999993</v>
      </c>
      <c r="X34" s="247"/>
      <c r="Y34" s="362">
        <f t="shared" ca="1" si="27"/>
        <v>1.7075499999999999</v>
      </c>
      <c r="Z34" s="248">
        <f t="shared" ca="1" si="28"/>
        <v>2.6677499999999998</v>
      </c>
      <c r="AA34" s="363">
        <f t="shared" ca="1" si="29"/>
        <v>4.3752999999999993</v>
      </c>
      <c r="AB34" s="58" t="str">
        <f t="shared" ca="1" si="30"/>
        <v/>
      </c>
      <c r="AC34" s="495" t="s">
        <v>35</v>
      </c>
      <c r="AD34" s="275"/>
      <c r="AE34" s="303">
        <f t="shared" ca="1" si="31"/>
        <v>-10.94</v>
      </c>
      <c r="AF34" s="304">
        <f t="shared" ca="1" si="32"/>
        <v>9.15</v>
      </c>
      <c r="AG34" s="305">
        <f t="shared" ca="1" si="33"/>
        <v>-3</v>
      </c>
      <c r="AH34" s="304">
        <f t="shared" ca="1" si="34"/>
        <v>5.25</v>
      </c>
      <c r="AI34" s="305">
        <f t="shared" ca="1" si="35"/>
        <v>-10.25</v>
      </c>
      <c r="AJ34" s="306">
        <f t="shared" ca="1" si="36"/>
        <v>9.9</v>
      </c>
      <c r="AK34" s="280"/>
      <c r="AL34" s="307">
        <f t="shared" ca="1" si="37"/>
        <v>0.21879999999999999</v>
      </c>
      <c r="AM34" s="308">
        <f t="shared" ca="1" si="38"/>
        <v>0.183</v>
      </c>
      <c r="AN34" s="309">
        <f t="shared" ca="1" si="6"/>
        <v>0.40179999999999999</v>
      </c>
      <c r="AO34" s="310">
        <f t="shared" ca="1" si="39"/>
        <v>1.335</v>
      </c>
      <c r="AP34" s="308">
        <f t="shared" ca="1" si="40"/>
        <v>2.3362500000000002</v>
      </c>
      <c r="AQ34" s="309">
        <f t="shared" ca="1" si="7"/>
        <v>3.6712500000000001</v>
      </c>
      <c r="AR34" s="310">
        <f t="shared" ca="1" si="41"/>
        <v>0.15375</v>
      </c>
      <c r="AS34" s="308">
        <f t="shared" ca="1" si="42"/>
        <v>0.14850000000000002</v>
      </c>
      <c r="AT34" s="309">
        <f t="shared" ca="1" si="8"/>
        <v>0.30225000000000002</v>
      </c>
      <c r="AU34" s="310">
        <f t="shared" ca="1" si="9"/>
        <v>1.7075499999999999</v>
      </c>
      <c r="AV34" s="309">
        <f t="shared" ca="1" si="10"/>
        <v>2.6677499999999998</v>
      </c>
      <c r="AW34" s="311">
        <f t="shared" ca="1" si="11"/>
        <v>4.3752999999999993</v>
      </c>
      <c r="AX34" s="286"/>
      <c r="AY34" s="307">
        <f t="shared" ca="1" si="43"/>
        <v>0.21879999999999999</v>
      </c>
      <c r="AZ34" s="308">
        <f t="shared" ca="1" si="44"/>
        <v>0.183</v>
      </c>
      <c r="BA34" s="309">
        <f t="shared" ca="1" si="45"/>
        <v>0.40179999999999999</v>
      </c>
      <c r="BB34" s="310">
        <f t="shared" ca="1" si="46"/>
        <v>1.335</v>
      </c>
      <c r="BC34" s="308">
        <f t="shared" ca="1" si="47"/>
        <v>2.3362500000000002</v>
      </c>
      <c r="BD34" s="309">
        <f t="shared" ca="1" si="12"/>
        <v>3.6712500000000001</v>
      </c>
      <c r="BE34" s="310">
        <f t="shared" ca="1" si="48"/>
        <v>0.15375</v>
      </c>
      <c r="BF34" s="308">
        <f t="shared" ca="1" si="49"/>
        <v>0.14850000000000002</v>
      </c>
      <c r="BG34" s="309">
        <f t="shared" ca="1" si="13"/>
        <v>0.30225000000000002</v>
      </c>
      <c r="BH34" s="310">
        <f t="shared" ca="1" si="50"/>
        <v>1.7075499999999999</v>
      </c>
      <c r="BI34" s="309">
        <f t="shared" ca="1" si="51"/>
        <v>2.6677499999999998</v>
      </c>
      <c r="BJ34" s="311">
        <f t="shared" ca="1" si="14"/>
        <v>4.3752999999999993</v>
      </c>
      <c r="BK34" s="286"/>
      <c r="BL34" s="307">
        <f t="shared" ca="1" si="52"/>
        <v>0.21879999999999999</v>
      </c>
      <c r="BM34" s="308">
        <f t="shared" ca="1" si="53"/>
        <v>0.183</v>
      </c>
      <c r="BN34" s="309">
        <f t="shared" ca="1" si="15"/>
        <v>0.40179999999999999</v>
      </c>
      <c r="BO34" s="310">
        <f t="shared" ca="1" si="54"/>
        <v>1.335</v>
      </c>
      <c r="BP34" s="308">
        <f t="shared" ca="1" si="55"/>
        <v>2.3362500000000002</v>
      </c>
      <c r="BQ34" s="309">
        <f t="shared" ca="1" si="16"/>
        <v>3.6712500000000001</v>
      </c>
      <c r="BR34" s="310">
        <f t="shared" ca="1" si="56"/>
        <v>0.15375</v>
      </c>
      <c r="BS34" s="308">
        <f t="shared" ca="1" si="57"/>
        <v>0.14850000000000002</v>
      </c>
      <c r="BT34" s="309">
        <f t="shared" ca="1" si="17"/>
        <v>0.30225000000000002</v>
      </c>
      <c r="BU34" s="310">
        <f t="shared" ca="1" si="18"/>
        <v>1.7075499999999999</v>
      </c>
      <c r="BV34" s="309">
        <f t="shared" ca="1" si="19"/>
        <v>2.6677499999999998</v>
      </c>
      <c r="BW34" s="311">
        <f t="shared" ca="1" si="20"/>
        <v>4.3752999999999993</v>
      </c>
      <c r="BX34" s="286"/>
      <c r="BY34" s="300">
        <f t="shared" ca="1" si="59"/>
        <v>7.5399999999999981E-2</v>
      </c>
      <c r="BZ34" s="301">
        <f t="shared" ca="1" si="60"/>
        <v>1.0012500000000002</v>
      </c>
      <c r="CA34" s="301">
        <f t="shared" ca="1" si="61"/>
        <v>0.15825000000000031</v>
      </c>
      <c r="CB34" s="312">
        <f t="shared" ca="1" si="58"/>
        <v>1.2349000000000003</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1.7869500000000003</v>
      </c>
      <c r="R35" s="248">
        <f t="shared" ca="1" si="22"/>
        <v>3.5547</v>
      </c>
      <c r="S35" s="363">
        <f t="shared" ca="1" si="23"/>
        <v>5.3416500000000005</v>
      </c>
      <c r="T35" s="247"/>
      <c r="U35" s="362">
        <f t="shared" ca="1" si="24"/>
        <v>1.7869500000000003</v>
      </c>
      <c r="V35" s="248">
        <f t="shared" ca="1" si="25"/>
        <v>3.5547</v>
      </c>
      <c r="W35" s="363">
        <f t="shared" ca="1" si="26"/>
        <v>5.3416500000000005</v>
      </c>
      <c r="X35" s="247"/>
      <c r="Y35" s="362">
        <f t="shared" ca="1" si="27"/>
        <v>1.7869500000000003</v>
      </c>
      <c r="Z35" s="248">
        <f t="shared" ca="1" si="28"/>
        <v>3.5547</v>
      </c>
      <c r="AA35" s="363">
        <f t="shared" ca="1" si="29"/>
        <v>5.3416500000000005</v>
      </c>
      <c r="AB35" s="58" t="str">
        <f t="shared" ref="AB35:AB46" ca="1" si="62">IF(AND(AA35=MAX($AA$35:$AA$46),AA35&gt;0)=TRUE,"nachmittägliche
Spitzenstunde","")</f>
        <v/>
      </c>
      <c r="AC35" s="495" t="s">
        <v>36</v>
      </c>
      <c r="AD35" s="275"/>
      <c r="AE35" s="303">
        <f t="shared" ca="1" si="31"/>
        <v>-4.91</v>
      </c>
      <c r="AF35" s="304">
        <f t="shared" ca="1" si="32"/>
        <v>5.61</v>
      </c>
      <c r="AG35" s="305">
        <f t="shared" ca="1" si="33"/>
        <v>-3.5</v>
      </c>
      <c r="AH35" s="304">
        <f t="shared" ca="1" si="34"/>
        <v>7.5</v>
      </c>
      <c r="AI35" s="305">
        <f t="shared" ca="1" si="35"/>
        <v>-8.75</v>
      </c>
      <c r="AJ35" s="306">
        <f t="shared" ca="1" si="36"/>
        <v>7</v>
      </c>
      <c r="AK35" s="313"/>
      <c r="AL35" s="307">
        <f t="shared" ca="1" si="37"/>
        <v>9.820000000000001E-2</v>
      </c>
      <c r="AM35" s="308">
        <f t="shared" ca="1" si="38"/>
        <v>0.11220000000000001</v>
      </c>
      <c r="AN35" s="309">
        <f t="shared" ca="1" si="6"/>
        <v>0.21040000000000003</v>
      </c>
      <c r="AO35" s="310">
        <f t="shared" ca="1" si="39"/>
        <v>1.5575000000000001</v>
      </c>
      <c r="AP35" s="308">
        <f t="shared" ca="1" si="40"/>
        <v>3.3374999999999999</v>
      </c>
      <c r="AQ35" s="309">
        <f t="shared" ca="1" si="7"/>
        <v>4.8949999999999996</v>
      </c>
      <c r="AR35" s="310">
        <f t="shared" ca="1" si="41"/>
        <v>0.13125000000000001</v>
      </c>
      <c r="AS35" s="308">
        <f t="shared" ca="1" si="42"/>
        <v>0.105</v>
      </c>
      <c r="AT35" s="309">
        <f t="shared" ca="1" si="8"/>
        <v>0.23625000000000002</v>
      </c>
      <c r="AU35" s="310">
        <f t="shared" ca="1" si="9"/>
        <v>1.7869500000000003</v>
      </c>
      <c r="AV35" s="309">
        <f t="shared" ca="1" si="10"/>
        <v>3.5547</v>
      </c>
      <c r="AW35" s="311">
        <f t="shared" ca="1" si="11"/>
        <v>5.3416500000000005</v>
      </c>
      <c r="AX35" s="314"/>
      <c r="AY35" s="307">
        <f t="shared" ca="1" si="43"/>
        <v>9.820000000000001E-2</v>
      </c>
      <c r="AZ35" s="308">
        <f t="shared" ca="1" si="44"/>
        <v>0.11220000000000001</v>
      </c>
      <c r="BA35" s="309">
        <f t="shared" ca="1" si="45"/>
        <v>0.21040000000000003</v>
      </c>
      <c r="BB35" s="310">
        <f t="shared" ca="1" si="46"/>
        <v>1.5575000000000001</v>
      </c>
      <c r="BC35" s="308">
        <f t="shared" ca="1" si="47"/>
        <v>3.3374999999999999</v>
      </c>
      <c r="BD35" s="309">
        <f t="shared" ca="1" si="12"/>
        <v>4.8949999999999996</v>
      </c>
      <c r="BE35" s="310">
        <f t="shared" ca="1" si="48"/>
        <v>0.13125000000000001</v>
      </c>
      <c r="BF35" s="308">
        <f t="shared" ca="1" si="49"/>
        <v>0.105</v>
      </c>
      <c r="BG35" s="309">
        <f t="shared" ca="1" si="13"/>
        <v>0.23625000000000002</v>
      </c>
      <c r="BH35" s="310">
        <f t="shared" ca="1" si="50"/>
        <v>1.7869500000000003</v>
      </c>
      <c r="BI35" s="309">
        <f t="shared" ca="1" si="51"/>
        <v>3.5547</v>
      </c>
      <c r="BJ35" s="311">
        <f t="shared" ca="1" si="14"/>
        <v>5.3416500000000005</v>
      </c>
      <c r="BK35" s="314"/>
      <c r="BL35" s="307">
        <f t="shared" ca="1" si="52"/>
        <v>9.820000000000001E-2</v>
      </c>
      <c r="BM35" s="308">
        <f t="shared" ca="1" si="53"/>
        <v>0.11220000000000001</v>
      </c>
      <c r="BN35" s="309">
        <f t="shared" ca="1" si="15"/>
        <v>0.21040000000000003</v>
      </c>
      <c r="BO35" s="310">
        <f t="shared" ca="1" si="54"/>
        <v>1.5575000000000001</v>
      </c>
      <c r="BP35" s="308">
        <f t="shared" ca="1" si="55"/>
        <v>3.3374999999999999</v>
      </c>
      <c r="BQ35" s="309">
        <f t="shared" ca="1" si="16"/>
        <v>4.8949999999999996</v>
      </c>
      <c r="BR35" s="310">
        <f t="shared" ca="1" si="56"/>
        <v>0.13125000000000001</v>
      </c>
      <c r="BS35" s="308">
        <f t="shared" ca="1" si="57"/>
        <v>0.105</v>
      </c>
      <c r="BT35" s="309">
        <f t="shared" ca="1" si="17"/>
        <v>0.23625000000000002</v>
      </c>
      <c r="BU35" s="310">
        <f t="shared" ca="1" si="18"/>
        <v>1.7869500000000003</v>
      </c>
      <c r="BV35" s="309">
        <f t="shared" ca="1" si="19"/>
        <v>3.5547</v>
      </c>
      <c r="BW35" s="311">
        <f t="shared" ca="1" si="20"/>
        <v>5.3416500000000005</v>
      </c>
      <c r="BX35" s="314"/>
      <c r="BY35" s="300">
        <f t="shared" ca="1" si="59"/>
        <v>8.9399999999999979E-2</v>
      </c>
      <c r="BZ35" s="301">
        <f t="shared" ca="1" si="60"/>
        <v>2.78125</v>
      </c>
      <c r="CA35" s="301">
        <f t="shared" ca="1" si="61"/>
        <v>0.13200000000000028</v>
      </c>
      <c r="CB35" s="312">
        <f t="shared" ca="1" si="58"/>
        <v>3.00265</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2.7347499999999996</v>
      </c>
      <c r="R36" s="248">
        <f t="shared" ca="1" si="22"/>
        <v>3.3613000000000004</v>
      </c>
      <c r="S36" s="363">
        <f t="shared" ca="1" si="23"/>
        <v>6.09605</v>
      </c>
      <c r="T36" s="247"/>
      <c r="U36" s="362">
        <f t="shared" ca="1" si="24"/>
        <v>2.7347499999999996</v>
      </c>
      <c r="V36" s="248">
        <f t="shared" ca="1" si="25"/>
        <v>3.3613000000000004</v>
      </c>
      <c r="W36" s="363">
        <f t="shared" ca="1" si="26"/>
        <v>6.09605</v>
      </c>
      <c r="X36" s="247"/>
      <c r="Y36" s="362">
        <f t="shared" ca="1" si="27"/>
        <v>2.7347499999999996</v>
      </c>
      <c r="Z36" s="248">
        <f t="shared" ca="1" si="28"/>
        <v>3.3613000000000004</v>
      </c>
      <c r="AA36" s="363">
        <f t="shared" ca="1" si="29"/>
        <v>6.09605</v>
      </c>
      <c r="AB36" s="58" t="str">
        <f t="shared" ca="1" si="62"/>
        <v/>
      </c>
      <c r="AC36" s="495" t="s">
        <v>37</v>
      </c>
      <c r="AD36" s="275"/>
      <c r="AE36" s="303">
        <f t="shared" ca="1" si="31"/>
        <v>-8.5500000000000007</v>
      </c>
      <c r="AF36" s="304">
        <f t="shared" ca="1" si="32"/>
        <v>7.44</v>
      </c>
      <c r="AG36" s="305">
        <f t="shared" ca="1" si="33"/>
        <v>-5.5</v>
      </c>
      <c r="AH36" s="304">
        <f t="shared" ca="1" si="34"/>
        <v>7</v>
      </c>
      <c r="AI36" s="305">
        <f t="shared" ca="1" si="35"/>
        <v>-7.75</v>
      </c>
      <c r="AJ36" s="306">
        <f t="shared" ca="1" si="36"/>
        <v>6.5</v>
      </c>
      <c r="AK36" s="280"/>
      <c r="AL36" s="307">
        <f t="shared" ca="1" si="37"/>
        <v>0.17100000000000001</v>
      </c>
      <c r="AM36" s="308">
        <f t="shared" ca="1" si="38"/>
        <v>0.14880000000000002</v>
      </c>
      <c r="AN36" s="309">
        <f t="shared" ca="1" si="6"/>
        <v>0.31980000000000003</v>
      </c>
      <c r="AO36" s="310">
        <f t="shared" ca="1" si="39"/>
        <v>2.4474999999999998</v>
      </c>
      <c r="AP36" s="308">
        <f t="shared" ca="1" si="40"/>
        <v>3.1150000000000002</v>
      </c>
      <c r="AQ36" s="309">
        <f t="shared" ca="1" si="7"/>
        <v>5.5625</v>
      </c>
      <c r="AR36" s="310">
        <f t="shared" ca="1" si="41"/>
        <v>0.11625000000000001</v>
      </c>
      <c r="AS36" s="308">
        <f t="shared" ca="1" si="42"/>
        <v>9.7500000000000003E-2</v>
      </c>
      <c r="AT36" s="309">
        <f t="shared" ca="1" si="8"/>
        <v>0.21375</v>
      </c>
      <c r="AU36" s="310">
        <f t="shared" ca="1" si="9"/>
        <v>2.7347499999999996</v>
      </c>
      <c r="AV36" s="309">
        <f t="shared" ca="1" si="10"/>
        <v>3.3613000000000004</v>
      </c>
      <c r="AW36" s="311">
        <f t="shared" ca="1" si="11"/>
        <v>6.09605</v>
      </c>
      <c r="AX36" s="286"/>
      <c r="AY36" s="307">
        <f t="shared" ca="1" si="43"/>
        <v>0.17100000000000001</v>
      </c>
      <c r="AZ36" s="308">
        <f t="shared" ca="1" si="44"/>
        <v>0.14880000000000002</v>
      </c>
      <c r="BA36" s="309">
        <f t="shared" ca="1" si="45"/>
        <v>0.31980000000000003</v>
      </c>
      <c r="BB36" s="310">
        <f t="shared" ca="1" si="46"/>
        <v>2.4474999999999998</v>
      </c>
      <c r="BC36" s="308">
        <f t="shared" ca="1" si="47"/>
        <v>3.1150000000000002</v>
      </c>
      <c r="BD36" s="309">
        <f t="shared" ca="1" si="12"/>
        <v>5.5625</v>
      </c>
      <c r="BE36" s="310">
        <f t="shared" ca="1" si="48"/>
        <v>0.11625000000000001</v>
      </c>
      <c r="BF36" s="308">
        <f t="shared" ca="1" si="49"/>
        <v>9.7500000000000003E-2</v>
      </c>
      <c r="BG36" s="309">
        <f t="shared" ca="1" si="13"/>
        <v>0.21375</v>
      </c>
      <c r="BH36" s="310">
        <f t="shared" ca="1" si="50"/>
        <v>2.7347499999999996</v>
      </c>
      <c r="BI36" s="309">
        <f t="shared" ca="1" si="51"/>
        <v>3.3613000000000004</v>
      </c>
      <c r="BJ36" s="311">
        <f t="shared" ca="1" si="14"/>
        <v>6.09605</v>
      </c>
      <c r="BK36" s="286"/>
      <c r="BL36" s="307">
        <f t="shared" ca="1" si="52"/>
        <v>0.17100000000000001</v>
      </c>
      <c r="BM36" s="308">
        <f t="shared" ca="1" si="53"/>
        <v>0.14880000000000002</v>
      </c>
      <c r="BN36" s="309">
        <f t="shared" ca="1" si="15"/>
        <v>0.31980000000000003</v>
      </c>
      <c r="BO36" s="310">
        <f t="shared" ca="1" si="54"/>
        <v>2.4474999999999998</v>
      </c>
      <c r="BP36" s="308">
        <f t="shared" ca="1" si="55"/>
        <v>3.1150000000000002</v>
      </c>
      <c r="BQ36" s="309">
        <f t="shared" ca="1" si="16"/>
        <v>5.5625</v>
      </c>
      <c r="BR36" s="310">
        <f t="shared" ca="1" si="56"/>
        <v>0.11625000000000001</v>
      </c>
      <c r="BS36" s="308">
        <f t="shared" ca="1" si="57"/>
        <v>9.7500000000000003E-2</v>
      </c>
      <c r="BT36" s="309">
        <f t="shared" ca="1" si="17"/>
        <v>0.21375</v>
      </c>
      <c r="BU36" s="310">
        <f t="shared" ca="1" si="18"/>
        <v>2.7347499999999996</v>
      </c>
      <c r="BV36" s="309">
        <f t="shared" ca="1" si="19"/>
        <v>3.3613000000000004</v>
      </c>
      <c r="BW36" s="311">
        <f t="shared" ca="1" si="20"/>
        <v>6.09605</v>
      </c>
      <c r="BX36" s="286"/>
      <c r="BY36" s="300">
        <f t="shared" ca="1" si="59"/>
        <v>6.7199999999999982E-2</v>
      </c>
      <c r="BZ36" s="301">
        <f t="shared" ca="1" si="60"/>
        <v>3.4487500000000004</v>
      </c>
      <c r="CA36" s="301">
        <f t="shared" ca="1" si="61"/>
        <v>0.11325000000000028</v>
      </c>
      <c r="CB36" s="312">
        <f t="shared" ca="1" si="58"/>
        <v>3.6292000000000009</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2.9401999999999999</v>
      </c>
      <c r="R37" s="248">
        <f t="shared" ca="1" si="22"/>
        <v>2.1544499999999998</v>
      </c>
      <c r="S37" s="363">
        <f t="shared" ca="1" si="23"/>
        <v>5.0946499999999997</v>
      </c>
      <c r="T37" s="247"/>
      <c r="U37" s="362">
        <f t="shared" ca="1" si="24"/>
        <v>2.9401999999999999</v>
      </c>
      <c r="V37" s="248">
        <f t="shared" ca="1" si="25"/>
        <v>2.1544499999999998</v>
      </c>
      <c r="W37" s="363">
        <f t="shared" ca="1" si="26"/>
        <v>5.0946499999999997</v>
      </c>
      <c r="X37" s="247"/>
      <c r="Y37" s="362">
        <f t="shared" ca="1" si="27"/>
        <v>2.9401999999999999</v>
      </c>
      <c r="Z37" s="248">
        <f t="shared" ca="1" si="28"/>
        <v>2.1544499999999998</v>
      </c>
      <c r="AA37" s="363">
        <f t="shared" ca="1" si="29"/>
        <v>5.0946499999999997</v>
      </c>
      <c r="AB37" s="58" t="str">
        <f t="shared" ca="1" si="62"/>
        <v/>
      </c>
      <c r="AC37" s="495" t="s">
        <v>38</v>
      </c>
      <c r="AD37" s="275"/>
      <c r="AE37" s="303">
        <f t="shared" ca="1" si="31"/>
        <v>-9.31</v>
      </c>
      <c r="AF37" s="304">
        <f t="shared" ca="1" si="32"/>
        <v>8.66</v>
      </c>
      <c r="AG37" s="305">
        <f t="shared" ca="1" si="33"/>
        <v>-6</v>
      </c>
      <c r="AH37" s="304">
        <f t="shared" ca="1" si="34"/>
        <v>4.25</v>
      </c>
      <c r="AI37" s="305">
        <f t="shared" ca="1" si="35"/>
        <v>-5.6</v>
      </c>
      <c r="AJ37" s="306">
        <f t="shared" ca="1" si="36"/>
        <v>6</v>
      </c>
      <c r="AK37" s="280"/>
      <c r="AL37" s="307">
        <f t="shared" ca="1" si="37"/>
        <v>0.1862</v>
      </c>
      <c r="AM37" s="308">
        <f t="shared" ca="1" si="38"/>
        <v>0.17319999999999999</v>
      </c>
      <c r="AN37" s="309">
        <f t="shared" ca="1" si="6"/>
        <v>0.3594</v>
      </c>
      <c r="AO37" s="310">
        <f t="shared" ca="1" si="39"/>
        <v>2.67</v>
      </c>
      <c r="AP37" s="308">
        <f t="shared" ca="1" si="40"/>
        <v>1.8912500000000001</v>
      </c>
      <c r="AQ37" s="309">
        <f t="shared" ca="1" si="7"/>
        <v>4.5612500000000002</v>
      </c>
      <c r="AR37" s="310">
        <f t="shared" ca="1" si="41"/>
        <v>8.3999999999999991E-2</v>
      </c>
      <c r="AS37" s="308">
        <f t="shared" ca="1" si="42"/>
        <v>0.09</v>
      </c>
      <c r="AT37" s="309">
        <f t="shared" ca="1" si="8"/>
        <v>0.17399999999999999</v>
      </c>
      <c r="AU37" s="310">
        <f t="shared" ca="1" si="9"/>
        <v>2.9401999999999999</v>
      </c>
      <c r="AV37" s="309">
        <f t="shared" ca="1" si="10"/>
        <v>2.1544499999999998</v>
      </c>
      <c r="AW37" s="311">
        <f t="shared" ca="1" si="11"/>
        <v>5.0946499999999997</v>
      </c>
      <c r="AX37" s="286"/>
      <c r="AY37" s="307">
        <f t="shared" ca="1" si="43"/>
        <v>0.1862</v>
      </c>
      <c r="AZ37" s="308">
        <f t="shared" ca="1" si="44"/>
        <v>0.17319999999999999</v>
      </c>
      <c r="BA37" s="309">
        <f t="shared" ca="1" si="45"/>
        <v>0.3594</v>
      </c>
      <c r="BB37" s="310">
        <f t="shared" ca="1" si="46"/>
        <v>2.67</v>
      </c>
      <c r="BC37" s="308">
        <f t="shared" ca="1" si="47"/>
        <v>1.8912500000000001</v>
      </c>
      <c r="BD37" s="309">
        <f t="shared" ca="1" si="12"/>
        <v>4.5612500000000002</v>
      </c>
      <c r="BE37" s="310">
        <f t="shared" ca="1" si="48"/>
        <v>8.3999999999999991E-2</v>
      </c>
      <c r="BF37" s="308">
        <f t="shared" ca="1" si="49"/>
        <v>0.09</v>
      </c>
      <c r="BG37" s="309">
        <f t="shared" ca="1" si="13"/>
        <v>0.17399999999999999</v>
      </c>
      <c r="BH37" s="310">
        <f t="shared" ca="1" si="50"/>
        <v>2.9401999999999999</v>
      </c>
      <c r="BI37" s="309">
        <f t="shared" ca="1" si="51"/>
        <v>2.1544499999999998</v>
      </c>
      <c r="BJ37" s="311">
        <f t="shared" ca="1" si="14"/>
        <v>5.0946499999999997</v>
      </c>
      <c r="BK37" s="286"/>
      <c r="BL37" s="307">
        <f t="shared" ca="1" si="52"/>
        <v>0.1862</v>
      </c>
      <c r="BM37" s="308">
        <f t="shared" ca="1" si="53"/>
        <v>0.17319999999999999</v>
      </c>
      <c r="BN37" s="309">
        <f t="shared" ca="1" si="15"/>
        <v>0.3594</v>
      </c>
      <c r="BO37" s="310">
        <f t="shared" ca="1" si="54"/>
        <v>2.67</v>
      </c>
      <c r="BP37" s="308">
        <f t="shared" ca="1" si="55"/>
        <v>1.8912500000000001</v>
      </c>
      <c r="BQ37" s="309">
        <f t="shared" ca="1" si="16"/>
        <v>4.5612500000000002</v>
      </c>
      <c r="BR37" s="310">
        <f t="shared" ca="1" si="56"/>
        <v>8.3999999999999991E-2</v>
      </c>
      <c r="BS37" s="308">
        <f t="shared" ca="1" si="57"/>
        <v>0.09</v>
      </c>
      <c r="BT37" s="309">
        <f t="shared" ca="1" si="17"/>
        <v>0.17399999999999999</v>
      </c>
      <c r="BU37" s="310">
        <f t="shared" ca="1" si="18"/>
        <v>2.9401999999999999</v>
      </c>
      <c r="BV37" s="309">
        <f t="shared" ca="1" si="19"/>
        <v>2.1544499999999998</v>
      </c>
      <c r="BW37" s="311">
        <f t="shared" ca="1" si="20"/>
        <v>5.0946499999999997</v>
      </c>
      <c r="BX37" s="286"/>
      <c r="BY37" s="300">
        <f t="shared" ca="1" si="59"/>
        <v>5.419999999999997E-2</v>
      </c>
      <c r="BZ37" s="301">
        <f t="shared" ca="1" si="60"/>
        <v>2.6700000000000008</v>
      </c>
      <c r="CA37" s="301">
        <f t="shared" ca="1" si="61"/>
        <v>0.11925000000000029</v>
      </c>
      <c r="CB37" s="312">
        <f t="shared" ca="1" si="58"/>
        <v>2.8434500000000007</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2.3873500000000001</v>
      </c>
      <c r="R38" s="248">
        <f t="shared" ca="1" si="22"/>
        <v>3.1819500000000001</v>
      </c>
      <c r="S38" s="363">
        <f t="shared" ca="1" si="23"/>
        <v>5.5693000000000001</v>
      </c>
      <c r="T38" s="247"/>
      <c r="U38" s="362">
        <f t="shared" ca="1" si="24"/>
        <v>2.3873500000000001</v>
      </c>
      <c r="V38" s="248">
        <f t="shared" ca="1" si="25"/>
        <v>3.1819500000000001</v>
      </c>
      <c r="W38" s="363">
        <f t="shared" ca="1" si="26"/>
        <v>5.5693000000000001</v>
      </c>
      <c r="X38" s="247"/>
      <c r="Y38" s="362">
        <f t="shared" ca="1" si="27"/>
        <v>2.3873500000000001</v>
      </c>
      <c r="Z38" s="248">
        <f t="shared" ca="1" si="28"/>
        <v>3.1819500000000001</v>
      </c>
      <c r="AA38" s="363">
        <f t="shared" ca="1" si="29"/>
        <v>5.5693000000000001</v>
      </c>
      <c r="AB38" s="58" t="str">
        <f t="shared" ca="1" si="62"/>
        <v/>
      </c>
      <c r="AC38" s="495" t="s">
        <v>39</v>
      </c>
      <c r="AD38" s="275"/>
      <c r="AE38" s="303">
        <f t="shared" ca="1" si="31"/>
        <v>-8.43</v>
      </c>
      <c r="AF38" s="304">
        <f t="shared" ca="1" si="32"/>
        <v>8.66</v>
      </c>
      <c r="AG38" s="305">
        <f t="shared" ca="1" si="33"/>
        <v>-4.75</v>
      </c>
      <c r="AH38" s="304">
        <f t="shared" ca="1" si="34"/>
        <v>6.5</v>
      </c>
      <c r="AI38" s="305">
        <f t="shared" ca="1" si="35"/>
        <v>-7</v>
      </c>
      <c r="AJ38" s="306">
        <f t="shared" ca="1" si="36"/>
        <v>7.75</v>
      </c>
      <c r="AK38" s="280"/>
      <c r="AL38" s="307">
        <f t="shared" ca="1" si="37"/>
        <v>0.1686</v>
      </c>
      <c r="AM38" s="308">
        <f t="shared" ca="1" si="38"/>
        <v>0.17319999999999999</v>
      </c>
      <c r="AN38" s="309">
        <f t="shared" ca="1" si="6"/>
        <v>0.34179999999999999</v>
      </c>
      <c r="AO38" s="310">
        <f t="shared" ca="1" si="39"/>
        <v>2.11375</v>
      </c>
      <c r="AP38" s="308">
        <f t="shared" ca="1" si="40"/>
        <v>2.8925000000000001</v>
      </c>
      <c r="AQ38" s="309">
        <f t="shared" ca="1" si="7"/>
        <v>5.0062499999999996</v>
      </c>
      <c r="AR38" s="310">
        <f t="shared" ca="1" si="41"/>
        <v>0.105</v>
      </c>
      <c r="AS38" s="308">
        <f t="shared" ca="1" si="42"/>
        <v>0.11625000000000001</v>
      </c>
      <c r="AT38" s="309">
        <f t="shared" ca="1" si="8"/>
        <v>0.22125</v>
      </c>
      <c r="AU38" s="310">
        <f t="shared" ca="1" si="9"/>
        <v>2.3873500000000001</v>
      </c>
      <c r="AV38" s="309">
        <f t="shared" ca="1" si="10"/>
        <v>3.1819500000000001</v>
      </c>
      <c r="AW38" s="311">
        <f t="shared" ca="1" si="11"/>
        <v>5.5693000000000001</v>
      </c>
      <c r="AX38" s="286"/>
      <c r="AY38" s="307">
        <f t="shared" ca="1" si="43"/>
        <v>0.1686</v>
      </c>
      <c r="AZ38" s="308">
        <f t="shared" ca="1" si="44"/>
        <v>0.17319999999999999</v>
      </c>
      <c r="BA38" s="309">
        <f t="shared" ca="1" si="45"/>
        <v>0.34179999999999999</v>
      </c>
      <c r="BB38" s="310">
        <f t="shared" ca="1" si="46"/>
        <v>2.11375</v>
      </c>
      <c r="BC38" s="308">
        <f t="shared" ca="1" si="47"/>
        <v>2.8925000000000001</v>
      </c>
      <c r="BD38" s="309">
        <f t="shared" ca="1" si="12"/>
        <v>5.0062499999999996</v>
      </c>
      <c r="BE38" s="310">
        <f t="shared" ca="1" si="48"/>
        <v>0.105</v>
      </c>
      <c r="BF38" s="308">
        <f t="shared" ca="1" si="49"/>
        <v>0.11625000000000001</v>
      </c>
      <c r="BG38" s="309">
        <f t="shared" ca="1" si="13"/>
        <v>0.22125</v>
      </c>
      <c r="BH38" s="310">
        <f t="shared" ca="1" si="50"/>
        <v>2.3873500000000001</v>
      </c>
      <c r="BI38" s="309">
        <f t="shared" ca="1" si="51"/>
        <v>3.1819500000000001</v>
      </c>
      <c r="BJ38" s="311">
        <f t="shared" ca="1" si="14"/>
        <v>5.5693000000000001</v>
      </c>
      <c r="BK38" s="286"/>
      <c r="BL38" s="307">
        <f t="shared" ca="1" si="52"/>
        <v>0.1686</v>
      </c>
      <c r="BM38" s="308">
        <f t="shared" ca="1" si="53"/>
        <v>0.17319999999999999</v>
      </c>
      <c r="BN38" s="309">
        <f t="shared" ca="1" si="15"/>
        <v>0.34179999999999999</v>
      </c>
      <c r="BO38" s="310">
        <f t="shared" ca="1" si="54"/>
        <v>2.11375</v>
      </c>
      <c r="BP38" s="308">
        <f t="shared" ca="1" si="55"/>
        <v>2.8925000000000001</v>
      </c>
      <c r="BQ38" s="309">
        <f t="shared" ca="1" si="16"/>
        <v>5.0062499999999996</v>
      </c>
      <c r="BR38" s="310">
        <f t="shared" ca="1" si="56"/>
        <v>0.105</v>
      </c>
      <c r="BS38" s="308">
        <f t="shared" ca="1" si="57"/>
        <v>0.11625000000000001</v>
      </c>
      <c r="BT38" s="309">
        <f t="shared" ca="1" si="17"/>
        <v>0.22125</v>
      </c>
      <c r="BU38" s="310">
        <f t="shared" ca="1" si="18"/>
        <v>2.3873500000000001</v>
      </c>
      <c r="BV38" s="309">
        <f t="shared" ca="1" si="19"/>
        <v>3.1819500000000001</v>
      </c>
      <c r="BW38" s="311">
        <f t="shared" ca="1" si="20"/>
        <v>5.5693000000000001</v>
      </c>
      <c r="BX38" s="286"/>
      <c r="BY38" s="300">
        <f t="shared" ca="1" si="59"/>
        <v>5.8799999999999963E-2</v>
      </c>
      <c r="BZ38" s="301">
        <f t="shared" ca="1" si="60"/>
        <v>3.4487500000000009</v>
      </c>
      <c r="CA38" s="301">
        <f t="shared" ca="1" si="61"/>
        <v>0.13050000000000028</v>
      </c>
      <c r="CB38" s="312">
        <f t="shared" ca="1" si="58"/>
        <v>3.6380500000000016</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3.0226500000000001</v>
      </c>
      <c r="R39" s="248">
        <f t="shared" ca="1" si="22"/>
        <v>6.5776500000000011</v>
      </c>
      <c r="S39" s="363">
        <f t="shared" ca="1" si="23"/>
        <v>9.6003000000000007</v>
      </c>
      <c r="T39" s="247"/>
      <c r="U39" s="362">
        <f t="shared" ca="1" si="24"/>
        <v>3.0226500000000001</v>
      </c>
      <c r="V39" s="248">
        <f t="shared" ca="1" si="25"/>
        <v>6.5776500000000011</v>
      </c>
      <c r="W39" s="363">
        <f t="shared" ca="1" si="26"/>
        <v>9.6003000000000007</v>
      </c>
      <c r="X39" s="247"/>
      <c r="Y39" s="362">
        <f t="shared" ca="1" si="27"/>
        <v>3.0226500000000001</v>
      </c>
      <c r="Z39" s="248">
        <f t="shared" ca="1" si="28"/>
        <v>6.5776500000000011</v>
      </c>
      <c r="AA39" s="363">
        <f t="shared" ca="1" si="29"/>
        <v>9.6003000000000007</v>
      </c>
      <c r="AB39" s="58" t="str">
        <f t="shared" ca="1" si="62"/>
        <v/>
      </c>
      <c r="AC39" s="495" t="s">
        <v>40</v>
      </c>
      <c r="AD39" s="275"/>
      <c r="AE39" s="303">
        <f t="shared" ca="1" si="31"/>
        <v>-11.07</v>
      </c>
      <c r="AF39" s="304">
        <f t="shared" ca="1" si="32"/>
        <v>12.32</v>
      </c>
      <c r="AG39" s="305">
        <f t="shared" ca="1" si="33"/>
        <v>-6</v>
      </c>
      <c r="AH39" s="304">
        <f t="shared" ca="1" si="34"/>
        <v>14</v>
      </c>
      <c r="AI39" s="305">
        <f t="shared" ca="1" si="35"/>
        <v>-8.75</v>
      </c>
      <c r="AJ39" s="306">
        <f t="shared" ca="1" si="36"/>
        <v>6.75</v>
      </c>
      <c r="AK39" s="280"/>
      <c r="AL39" s="307">
        <f t="shared" ca="1" si="37"/>
        <v>0.22140000000000001</v>
      </c>
      <c r="AM39" s="308">
        <f t="shared" ca="1" si="38"/>
        <v>0.24640000000000001</v>
      </c>
      <c r="AN39" s="309">
        <f t="shared" ca="1" si="6"/>
        <v>0.46779999999999999</v>
      </c>
      <c r="AO39" s="310">
        <f t="shared" ca="1" si="39"/>
        <v>2.67</v>
      </c>
      <c r="AP39" s="308">
        <f t="shared" ca="1" si="40"/>
        <v>6.23</v>
      </c>
      <c r="AQ39" s="309">
        <f t="shared" ca="1" si="7"/>
        <v>8.9</v>
      </c>
      <c r="AR39" s="310">
        <f t="shared" ca="1" si="41"/>
        <v>0.13125000000000001</v>
      </c>
      <c r="AS39" s="308">
        <f t="shared" ca="1" si="42"/>
        <v>0.10125000000000001</v>
      </c>
      <c r="AT39" s="309">
        <f t="shared" ca="1" si="8"/>
        <v>0.23250000000000001</v>
      </c>
      <c r="AU39" s="310">
        <f t="shared" ca="1" si="9"/>
        <v>3.0226500000000001</v>
      </c>
      <c r="AV39" s="309">
        <f t="shared" ca="1" si="10"/>
        <v>6.5776500000000011</v>
      </c>
      <c r="AW39" s="311">
        <f t="shared" ca="1" si="11"/>
        <v>9.6003000000000007</v>
      </c>
      <c r="AX39" s="286"/>
      <c r="AY39" s="307">
        <f t="shared" ca="1" si="43"/>
        <v>0.22140000000000001</v>
      </c>
      <c r="AZ39" s="308">
        <f t="shared" ca="1" si="44"/>
        <v>0.24640000000000001</v>
      </c>
      <c r="BA39" s="309">
        <f t="shared" ca="1" si="45"/>
        <v>0.46779999999999999</v>
      </c>
      <c r="BB39" s="310">
        <f t="shared" ca="1" si="46"/>
        <v>2.67</v>
      </c>
      <c r="BC39" s="308">
        <f t="shared" ca="1" si="47"/>
        <v>6.23</v>
      </c>
      <c r="BD39" s="309">
        <f t="shared" ca="1" si="12"/>
        <v>8.9</v>
      </c>
      <c r="BE39" s="310">
        <f t="shared" ca="1" si="48"/>
        <v>0.13125000000000001</v>
      </c>
      <c r="BF39" s="308">
        <f t="shared" ca="1" si="49"/>
        <v>0.10125000000000001</v>
      </c>
      <c r="BG39" s="309">
        <f t="shared" ca="1" si="13"/>
        <v>0.23250000000000001</v>
      </c>
      <c r="BH39" s="310">
        <f t="shared" ca="1" si="50"/>
        <v>3.0226500000000001</v>
      </c>
      <c r="BI39" s="309">
        <f t="shared" ca="1" si="51"/>
        <v>6.5776500000000011</v>
      </c>
      <c r="BJ39" s="311">
        <f t="shared" ca="1" si="14"/>
        <v>9.6003000000000007</v>
      </c>
      <c r="BK39" s="286"/>
      <c r="BL39" s="307">
        <f t="shared" ca="1" si="52"/>
        <v>0.22140000000000001</v>
      </c>
      <c r="BM39" s="308">
        <f t="shared" ca="1" si="53"/>
        <v>0.24640000000000001</v>
      </c>
      <c r="BN39" s="309">
        <f t="shared" ca="1" si="15"/>
        <v>0.46779999999999999</v>
      </c>
      <c r="BO39" s="310">
        <f t="shared" ca="1" si="54"/>
        <v>2.67</v>
      </c>
      <c r="BP39" s="308">
        <f t="shared" ca="1" si="55"/>
        <v>6.23</v>
      </c>
      <c r="BQ39" s="309">
        <f t="shared" ca="1" si="16"/>
        <v>8.9</v>
      </c>
      <c r="BR39" s="310">
        <f t="shared" ca="1" si="56"/>
        <v>0.13125000000000001</v>
      </c>
      <c r="BS39" s="308">
        <f t="shared" ca="1" si="57"/>
        <v>0.10125000000000001</v>
      </c>
      <c r="BT39" s="309">
        <f t="shared" ca="1" si="17"/>
        <v>0.23250000000000001</v>
      </c>
      <c r="BU39" s="310">
        <f t="shared" ca="1" si="18"/>
        <v>3.0226500000000001</v>
      </c>
      <c r="BV39" s="309">
        <f t="shared" ca="1" si="19"/>
        <v>6.5776500000000011</v>
      </c>
      <c r="BW39" s="311">
        <f t="shared" ca="1" si="20"/>
        <v>9.6003000000000007</v>
      </c>
      <c r="BX39" s="286"/>
      <c r="BY39" s="300">
        <f t="shared" ca="1" si="59"/>
        <v>8.3799999999999958E-2</v>
      </c>
      <c r="BZ39" s="301">
        <f t="shared" ca="1" si="60"/>
        <v>7.0087500000000009</v>
      </c>
      <c r="CA39" s="301">
        <f t="shared" ca="1" si="61"/>
        <v>0.10050000000000028</v>
      </c>
      <c r="CB39" s="312">
        <f t="shared" ca="1" si="58"/>
        <v>7.1930500000000013</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3.7443</v>
      </c>
      <c r="R40" s="248">
        <f t="shared" ca="1" si="22"/>
        <v>6.4619500000000007</v>
      </c>
      <c r="S40" s="363">
        <f t="shared" ca="1" si="23"/>
        <v>10.206250000000001</v>
      </c>
      <c r="T40" s="247"/>
      <c r="U40" s="362">
        <f t="shared" ca="1" si="24"/>
        <v>3.7443</v>
      </c>
      <c r="V40" s="248">
        <f t="shared" ca="1" si="25"/>
        <v>6.4619500000000007</v>
      </c>
      <c r="W40" s="363">
        <f t="shared" ca="1" si="26"/>
        <v>10.206250000000001</v>
      </c>
      <c r="X40" s="247"/>
      <c r="Y40" s="362">
        <f t="shared" ca="1" si="27"/>
        <v>3.7443</v>
      </c>
      <c r="Z40" s="248">
        <f t="shared" ca="1" si="28"/>
        <v>6.4619500000000007</v>
      </c>
      <c r="AA40" s="363">
        <f t="shared" ca="1" si="29"/>
        <v>10.206250000000001</v>
      </c>
      <c r="AB40" s="58" t="str">
        <f t="shared" ca="1" si="62"/>
        <v>nachmittägliche
Spitzenstunde</v>
      </c>
      <c r="AC40" s="495" t="s">
        <v>41</v>
      </c>
      <c r="AD40" s="275"/>
      <c r="AE40" s="303">
        <f t="shared" ca="1" si="31"/>
        <v>-15.09</v>
      </c>
      <c r="AF40" s="304">
        <f t="shared" ca="1" si="32"/>
        <v>13.41</v>
      </c>
      <c r="AG40" s="305">
        <f t="shared" ca="1" si="33"/>
        <v>-7.5</v>
      </c>
      <c r="AH40" s="304">
        <f t="shared" ca="1" si="34"/>
        <v>13.75</v>
      </c>
      <c r="AI40" s="305">
        <f t="shared" ca="1" si="35"/>
        <v>-7</v>
      </c>
      <c r="AJ40" s="306">
        <f t="shared" ca="1" si="36"/>
        <v>5</v>
      </c>
      <c r="AK40" s="280"/>
      <c r="AL40" s="307">
        <f t="shared" ca="1" si="37"/>
        <v>0.30180000000000001</v>
      </c>
      <c r="AM40" s="308">
        <f t="shared" ca="1" si="38"/>
        <v>0.26819999999999999</v>
      </c>
      <c r="AN40" s="309">
        <f t="shared" ca="1" si="6"/>
        <v>0.57000000000000006</v>
      </c>
      <c r="AO40" s="310">
        <f t="shared" ca="1" si="39"/>
        <v>3.3374999999999999</v>
      </c>
      <c r="AP40" s="308">
        <f t="shared" ca="1" si="40"/>
        <v>6.1187500000000004</v>
      </c>
      <c r="AQ40" s="309">
        <f t="shared" ca="1" si="7"/>
        <v>9.4562500000000007</v>
      </c>
      <c r="AR40" s="310">
        <f t="shared" ca="1" si="41"/>
        <v>0.105</v>
      </c>
      <c r="AS40" s="308">
        <f t="shared" ca="1" si="42"/>
        <v>7.4999999999999997E-2</v>
      </c>
      <c r="AT40" s="309">
        <f t="shared" ca="1" si="8"/>
        <v>0.18</v>
      </c>
      <c r="AU40" s="310">
        <f t="shared" ca="1" si="9"/>
        <v>3.7443</v>
      </c>
      <c r="AV40" s="309">
        <f t="shared" ca="1" si="10"/>
        <v>6.4619500000000007</v>
      </c>
      <c r="AW40" s="311">
        <f t="shared" ca="1" si="11"/>
        <v>10.206250000000001</v>
      </c>
      <c r="AX40" s="286"/>
      <c r="AY40" s="307">
        <f t="shared" ca="1" si="43"/>
        <v>0.30180000000000001</v>
      </c>
      <c r="AZ40" s="308">
        <f t="shared" ca="1" si="44"/>
        <v>0.26819999999999999</v>
      </c>
      <c r="BA40" s="309">
        <f t="shared" ca="1" si="45"/>
        <v>0.57000000000000006</v>
      </c>
      <c r="BB40" s="310">
        <f t="shared" ca="1" si="46"/>
        <v>3.3374999999999999</v>
      </c>
      <c r="BC40" s="308">
        <f t="shared" ca="1" si="47"/>
        <v>6.1187500000000004</v>
      </c>
      <c r="BD40" s="309">
        <f t="shared" ca="1" si="12"/>
        <v>9.4562500000000007</v>
      </c>
      <c r="BE40" s="310">
        <f t="shared" ca="1" si="48"/>
        <v>0.105</v>
      </c>
      <c r="BF40" s="308">
        <f t="shared" ca="1" si="49"/>
        <v>7.4999999999999997E-2</v>
      </c>
      <c r="BG40" s="309">
        <f t="shared" ca="1" si="13"/>
        <v>0.18</v>
      </c>
      <c r="BH40" s="310">
        <f t="shared" ca="1" si="50"/>
        <v>3.7443</v>
      </c>
      <c r="BI40" s="309">
        <f t="shared" ca="1" si="51"/>
        <v>6.4619500000000007</v>
      </c>
      <c r="BJ40" s="311">
        <f t="shared" ca="1" si="14"/>
        <v>10.206250000000001</v>
      </c>
      <c r="BK40" s="286"/>
      <c r="BL40" s="307">
        <f t="shared" ca="1" si="52"/>
        <v>0.30180000000000001</v>
      </c>
      <c r="BM40" s="308">
        <f t="shared" ca="1" si="53"/>
        <v>0.26819999999999999</v>
      </c>
      <c r="BN40" s="309">
        <f t="shared" ca="1" si="15"/>
        <v>0.57000000000000006</v>
      </c>
      <c r="BO40" s="310">
        <f t="shared" ca="1" si="54"/>
        <v>3.3374999999999999</v>
      </c>
      <c r="BP40" s="308">
        <f t="shared" ca="1" si="55"/>
        <v>6.1187500000000004</v>
      </c>
      <c r="BQ40" s="309">
        <f t="shared" ca="1" si="16"/>
        <v>9.4562500000000007</v>
      </c>
      <c r="BR40" s="310">
        <f t="shared" ca="1" si="56"/>
        <v>0.105</v>
      </c>
      <c r="BS40" s="308">
        <f t="shared" ca="1" si="57"/>
        <v>7.4999999999999997E-2</v>
      </c>
      <c r="BT40" s="309">
        <f t="shared" ca="1" si="17"/>
        <v>0.18</v>
      </c>
      <c r="BU40" s="310">
        <f t="shared" ca="1" si="18"/>
        <v>3.7443</v>
      </c>
      <c r="BV40" s="309">
        <f t="shared" ca="1" si="19"/>
        <v>6.4619500000000007</v>
      </c>
      <c r="BW40" s="311">
        <f t="shared" ca="1" si="20"/>
        <v>10.206250000000001</v>
      </c>
      <c r="BX40" s="286"/>
      <c r="BY40" s="300">
        <f t="shared" ca="1" si="59"/>
        <v>5.0199999999999939E-2</v>
      </c>
      <c r="BZ40" s="301">
        <f t="shared" ca="1" si="60"/>
        <v>9.7900000000000009</v>
      </c>
      <c r="CA40" s="301">
        <f t="shared" ca="1" si="61"/>
        <v>7.0500000000000285E-2</v>
      </c>
      <c r="CB40" s="312">
        <f t="shared" ca="1" si="58"/>
        <v>9.9107000000000021</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2.2874499999999998</v>
      </c>
      <c r="R41" s="248">
        <f t="shared" ca="1" si="22"/>
        <v>4.8402500000000002</v>
      </c>
      <c r="S41" s="363">
        <f t="shared" ca="1" si="23"/>
        <v>7.1276999999999999</v>
      </c>
      <c r="T41" s="247"/>
      <c r="U41" s="362">
        <f t="shared" ca="1" si="24"/>
        <v>2.2874499999999998</v>
      </c>
      <c r="V41" s="248">
        <f t="shared" ca="1" si="25"/>
        <v>4.8402500000000002</v>
      </c>
      <c r="W41" s="363">
        <f t="shared" ca="1" si="26"/>
        <v>7.1276999999999999</v>
      </c>
      <c r="X41" s="247"/>
      <c r="Y41" s="362">
        <f t="shared" ca="1" si="27"/>
        <v>2.2874499999999998</v>
      </c>
      <c r="Z41" s="248">
        <f t="shared" ca="1" si="28"/>
        <v>4.8402500000000002</v>
      </c>
      <c r="AA41" s="363">
        <f t="shared" ca="1" si="29"/>
        <v>7.1276999999999999</v>
      </c>
      <c r="AB41" s="58" t="str">
        <f t="shared" ca="1" si="62"/>
        <v/>
      </c>
      <c r="AC41" s="495" t="s">
        <v>42</v>
      </c>
      <c r="AD41" s="275"/>
      <c r="AE41" s="303">
        <f t="shared" ca="1" si="31"/>
        <v>-10.31</v>
      </c>
      <c r="AF41" s="304">
        <f t="shared" ca="1" si="32"/>
        <v>7.8</v>
      </c>
      <c r="AG41" s="305">
        <f t="shared" ca="1" si="33"/>
        <v>-4.5</v>
      </c>
      <c r="AH41" s="304">
        <f t="shared" ca="1" si="34"/>
        <v>10.4</v>
      </c>
      <c r="AI41" s="305">
        <f t="shared" ca="1" si="35"/>
        <v>-5.25</v>
      </c>
      <c r="AJ41" s="306">
        <f t="shared" ca="1" si="36"/>
        <v>3.75</v>
      </c>
      <c r="AK41" s="280"/>
      <c r="AL41" s="307">
        <f t="shared" ca="1" si="37"/>
        <v>0.20620000000000002</v>
      </c>
      <c r="AM41" s="308">
        <f t="shared" ca="1" si="38"/>
        <v>0.156</v>
      </c>
      <c r="AN41" s="309">
        <f t="shared" ca="1" si="6"/>
        <v>0.36220000000000002</v>
      </c>
      <c r="AO41" s="310">
        <f t="shared" ca="1" si="39"/>
        <v>2.0024999999999999</v>
      </c>
      <c r="AP41" s="308">
        <f t="shared" ca="1" si="40"/>
        <v>4.6280000000000001</v>
      </c>
      <c r="AQ41" s="309">
        <f t="shared" ca="1" si="7"/>
        <v>6.6304999999999996</v>
      </c>
      <c r="AR41" s="310">
        <f t="shared" ca="1" si="41"/>
        <v>7.8750000000000001E-2</v>
      </c>
      <c r="AS41" s="308">
        <f t="shared" ca="1" si="42"/>
        <v>5.6250000000000001E-2</v>
      </c>
      <c r="AT41" s="309">
        <f t="shared" ca="1" si="8"/>
        <v>0.13500000000000001</v>
      </c>
      <c r="AU41" s="310">
        <f t="shared" ca="1" si="9"/>
        <v>2.2874499999999998</v>
      </c>
      <c r="AV41" s="309">
        <f t="shared" ca="1" si="10"/>
        <v>4.8402500000000002</v>
      </c>
      <c r="AW41" s="311">
        <f t="shared" ca="1" si="11"/>
        <v>7.1276999999999999</v>
      </c>
      <c r="AX41" s="286"/>
      <c r="AY41" s="307">
        <f t="shared" ca="1" si="43"/>
        <v>0.20620000000000002</v>
      </c>
      <c r="AZ41" s="308">
        <f t="shared" ca="1" si="44"/>
        <v>0.156</v>
      </c>
      <c r="BA41" s="309">
        <f t="shared" ca="1" si="45"/>
        <v>0.36220000000000002</v>
      </c>
      <c r="BB41" s="310">
        <f t="shared" ca="1" si="46"/>
        <v>2.0024999999999999</v>
      </c>
      <c r="BC41" s="308">
        <f t="shared" ca="1" si="47"/>
        <v>4.6280000000000001</v>
      </c>
      <c r="BD41" s="309">
        <f t="shared" ca="1" si="12"/>
        <v>6.6304999999999996</v>
      </c>
      <c r="BE41" s="310">
        <f t="shared" ca="1" si="48"/>
        <v>7.8750000000000001E-2</v>
      </c>
      <c r="BF41" s="308">
        <f t="shared" ca="1" si="49"/>
        <v>5.6250000000000001E-2</v>
      </c>
      <c r="BG41" s="309">
        <f t="shared" ca="1" si="13"/>
        <v>0.13500000000000001</v>
      </c>
      <c r="BH41" s="310">
        <f t="shared" ca="1" si="50"/>
        <v>2.2874499999999998</v>
      </c>
      <c r="BI41" s="309">
        <f t="shared" ca="1" si="51"/>
        <v>4.8402500000000002</v>
      </c>
      <c r="BJ41" s="311">
        <f t="shared" ca="1" si="14"/>
        <v>7.1276999999999999</v>
      </c>
      <c r="BK41" s="286"/>
      <c r="BL41" s="307">
        <f t="shared" ca="1" si="52"/>
        <v>0.20620000000000002</v>
      </c>
      <c r="BM41" s="308">
        <f t="shared" ca="1" si="53"/>
        <v>0.156</v>
      </c>
      <c r="BN41" s="309">
        <f t="shared" ca="1" si="15"/>
        <v>0.36220000000000002</v>
      </c>
      <c r="BO41" s="310">
        <f t="shared" ca="1" si="54"/>
        <v>2.0024999999999999</v>
      </c>
      <c r="BP41" s="308">
        <f t="shared" ca="1" si="55"/>
        <v>4.6280000000000001</v>
      </c>
      <c r="BQ41" s="309">
        <f t="shared" ca="1" si="16"/>
        <v>6.6304999999999996</v>
      </c>
      <c r="BR41" s="310">
        <f t="shared" ca="1" si="56"/>
        <v>7.8750000000000001E-2</v>
      </c>
      <c r="BS41" s="308">
        <f t="shared" ca="1" si="57"/>
        <v>5.6250000000000001E-2</v>
      </c>
      <c r="BT41" s="309">
        <f t="shared" ca="1" si="17"/>
        <v>0.13500000000000001</v>
      </c>
      <c r="BU41" s="310">
        <f t="shared" ca="1" si="18"/>
        <v>2.2874499999999998</v>
      </c>
      <c r="BV41" s="309">
        <f t="shared" ca="1" si="19"/>
        <v>4.8402500000000002</v>
      </c>
      <c r="BW41" s="311">
        <f t="shared" ca="1" si="20"/>
        <v>7.1276999999999999</v>
      </c>
      <c r="BX41" s="286"/>
      <c r="BY41" s="300">
        <f t="shared" ca="1" si="59"/>
        <v>0</v>
      </c>
      <c r="BZ41" s="301">
        <f t="shared" ca="1" si="60"/>
        <v>12.415500000000002</v>
      </c>
      <c r="CA41" s="301">
        <f t="shared" ca="1" si="61"/>
        <v>4.8000000000000285E-2</v>
      </c>
      <c r="CB41" s="312">
        <f t="shared" ca="1" si="58"/>
        <v>12.463500000000002</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1.9475</v>
      </c>
      <c r="R42" s="248">
        <f t="shared" ca="1" si="22"/>
        <v>2.71875</v>
      </c>
      <c r="S42" s="363">
        <f t="shared" ca="1" si="23"/>
        <v>4.6662499999999998</v>
      </c>
      <c r="T42" s="247"/>
      <c r="U42" s="362">
        <f t="shared" ca="1" si="24"/>
        <v>1.9475</v>
      </c>
      <c r="V42" s="248">
        <f t="shared" ca="1" si="25"/>
        <v>2.71875</v>
      </c>
      <c r="W42" s="363">
        <f t="shared" ca="1" si="26"/>
        <v>4.6662499999999998</v>
      </c>
      <c r="X42" s="247"/>
      <c r="Y42" s="362">
        <f t="shared" ca="1" si="27"/>
        <v>1.9475</v>
      </c>
      <c r="Z42" s="248">
        <f t="shared" ca="1" si="28"/>
        <v>2.71875</v>
      </c>
      <c r="AA42" s="363">
        <f t="shared" ca="1" si="29"/>
        <v>4.6662499999999998</v>
      </c>
      <c r="AB42" s="58" t="str">
        <f t="shared" ca="1" si="62"/>
        <v/>
      </c>
      <c r="AC42" s="495" t="s">
        <v>43</v>
      </c>
      <c r="AD42" s="275"/>
      <c r="AE42" s="303">
        <f t="shared" ca="1" si="31"/>
        <v>0</v>
      </c>
      <c r="AF42" s="304">
        <f t="shared" ca="1" si="32"/>
        <v>0</v>
      </c>
      <c r="AG42" s="305">
        <f t="shared" ca="1" si="33"/>
        <v>-4.25</v>
      </c>
      <c r="AH42" s="304">
        <f t="shared" ca="1" si="34"/>
        <v>6</v>
      </c>
      <c r="AI42" s="305">
        <f t="shared" ca="1" si="35"/>
        <v>-3.75</v>
      </c>
      <c r="AJ42" s="306">
        <f t="shared" ca="1" si="36"/>
        <v>3.25</v>
      </c>
      <c r="AK42" s="280"/>
      <c r="AL42" s="307">
        <f t="shared" ca="1" si="37"/>
        <v>0</v>
      </c>
      <c r="AM42" s="308">
        <f t="shared" ca="1" si="38"/>
        <v>0</v>
      </c>
      <c r="AN42" s="309">
        <f t="shared" ca="1" si="6"/>
        <v>0</v>
      </c>
      <c r="AO42" s="310">
        <f t="shared" ca="1" si="39"/>
        <v>1.8912500000000001</v>
      </c>
      <c r="AP42" s="308">
        <f t="shared" ca="1" si="40"/>
        <v>2.67</v>
      </c>
      <c r="AQ42" s="309">
        <f t="shared" ca="1" si="7"/>
        <v>4.5612500000000002</v>
      </c>
      <c r="AR42" s="310">
        <f t="shared" ca="1" si="41"/>
        <v>5.6250000000000001E-2</v>
      </c>
      <c r="AS42" s="308">
        <f t="shared" ca="1" si="42"/>
        <v>4.8750000000000002E-2</v>
      </c>
      <c r="AT42" s="309">
        <f t="shared" ca="1" si="8"/>
        <v>0.10500000000000001</v>
      </c>
      <c r="AU42" s="310">
        <f t="shared" ca="1" si="9"/>
        <v>1.9475</v>
      </c>
      <c r="AV42" s="309">
        <f t="shared" ca="1" si="10"/>
        <v>2.71875</v>
      </c>
      <c r="AW42" s="311">
        <f t="shared" ca="1" si="11"/>
        <v>4.6662499999999998</v>
      </c>
      <c r="AX42" s="286"/>
      <c r="AY42" s="307">
        <f t="shared" ca="1" si="43"/>
        <v>0</v>
      </c>
      <c r="AZ42" s="308">
        <f t="shared" ca="1" si="44"/>
        <v>0</v>
      </c>
      <c r="BA42" s="309">
        <f t="shared" ca="1" si="45"/>
        <v>0</v>
      </c>
      <c r="BB42" s="310">
        <f t="shared" ca="1" si="46"/>
        <v>1.8912500000000001</v>
      </c>
      <c r="BC42" s="308">
        <f t="shared" ca="1" si="47"/>
        <v>2.67</v>
      </c>
      <c r="BD42" s="309">
        <f t="shared" ca="1" si="12"/>
        <v>4.5612500000000002</v>
      </c>
      <c r="BE42" s="310">
        <f t="shared" ca="1" si="48"/>
        <v>5.6250000000000001E-2</v>
      </c>
      <c r="BF42" s="308">
        <f t="shared" ca="1" si="49"/>
        <v>4.8750000000000002E-2</v>
      </c>
      <c r="BG42" s="309">
        <f t="shared" ca="1" si="13"/>
        <v>0.10500000000000001</v>
      </c>
      <c r="BH42" s="310">
        <f t="shared" ca="1" si="50"/>
        <v>1.9475</v>
      </c>
      <c r="BI42" s="309">
        <f t="shared" ca="1" si="51"/>
        <v>2.71875</v>
      </c>
      <c r="BJ42" s="311">
        <f t="shared" ca="1" si="14"/>
        <v>4.6662499999999998</v>
      </c>
      <c r="BK42" s="286"/>
      <c r="BL42" s="307">
        <f t="shared" ca="1" si="52"/>
        <v>0</v>
      </c>
      <c r="BM42" s="308">
        <f t="shared" ca="1" si="53"/>
        <v>0</v>
      </c>
      <c r="BN42" s="309">
        <f t="shared" ca="1" si="15"/>
        <v>0</v>
      </c>
      <c r="BO42" s="310">
        <f t="shared" ca="1" si="54"/>
        <v>1.8912500000000001</v>
      </c>
      <c r="BP42" s="308">
        <f t="shared" ca="1" si="55"/>
        <v>2.67</v>
      </c>
      <c r="BQ42" s="309">
        <f t="shared" ca="1" si="16"/>
        <v>4.5612500000000002</v>
      </c>
      <c r="BR42" s="310">
        <f t="shared" ca="1" si="56"/>
        <v>5.6250000000000001E-2</v>
      </c>
      <c r="BS42" s="308">
        <f t="shared" ca="1" si="57"/>
        <v>4.8750000000000002E-2</v>
      </c>
      <c r="BT42" s="309">
        <f t="shared" ca="1" si="17"/>
        <v>0.10500000000000001</v>
      </c>
      <c r="BU42" s="310">
        <f t="shared" ca="1" si="18"/>
        <v>1.9475</v>
      </c>
      <c r="BV42" s="309">
        <f t="shared" ca="1" si="19"/>
        <v>2.71875</v>
      </c>
      <c r="BW42" s="311">
        <f t="shared" ca="1" si="20"/>
        <v>4.6662499999999998</v>
      </c>
      <c r="BX42" s="286"/>
      <c r="BY42" s="300">
        <f t="shared" ca="1" si="59"/>
        <v>0</v>
      </c>
      <c r="BZ42" s="301">
        <f t="shared" ca="1" si="60"/>
        <v>13.194250000000002</v>
      </c>
      <c r="CA42" s="301">
        <f t="shared" ca="1" si="61"/>
        <v>4.0500000000000286E-2</v>
      </c>
      <c r="CB42" s="312">
        <f t="shared" ca="1" si="58"/>
        <v>13.234750000000002</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0.91625000000000001</v>
      </c>
      <c r="R43" s="248">
        <f t="shared" ca="1" si="22"/>
        <v>1.6904999999999999</v>
      </c>
      <c r="S43" s="363">
        <f t="shared" ca="1" si="23"/>
        <v>2.6067499999999999</v>
      </c>
      <c r="T43" s="247"/>
      <c r="U43" s="362">
        <f t="shared" ca="1" si="24"/>
        <v>0.91625000000000001</v>
      </c>
      <c r="V43" s="248">
        <f t="shared" ca="1" si="25"/>
        <v>1.6904999999999999</v>
      </c>
      <c r="W43" s="363">
        <f t="shared" ca="1" si="26"/>
        <v>2.6067499999999999</v>
      </c>
      <c r="X43" s="247"/>
      <c r="Y43" s="362">
        <f t="shared" ca="1" si="27"/>
        <v>0.91625000000000001</v>
      </c>
      <c r="Z43" s="248">
        <f t="shared" ca="1" si="28"/>
        <v>1.6904999999999999</v>
      </c>
      <c r="AA43" s="363">
        <f t="shared" ca="1" si="29"/>
        <v>2.6067499999999999</v>
      </c>
      <c r="AB43" s="58" t="str">
        <f t="shared" ca="1" si="62"/>
        <v/>
      </c>
      <c r="AC43" s="495" t="s">
        <v>44</v>
      </c>
      <c r="AD43" s="275"/>
      <c r="AE43" s="303">
        <f t="shared" ca="1" si="31"/>
        <v>0</v>
      </c>
      <c r="AF43" s="304">
        <f t="shared" ca="1" si="32"/>
        <v>0</v>
      </c>
      <c r="AG43" s="305">
        <f t="shared" ca="1" si="33"/>
        <v>-2</v>
      </c>
      <c r="AH43" s="304">
        <f t="shared" ca="1" si="34"/>
        <v>3.75</v>
      </c>
      <c r="AI43" s="305">
        <f t="shared" ca="1" si="35"/>
        <v>-1.75</v>
      </c>
      <c r="AJ43" s="306">
        <f t="shared" ca="1" si="36"/>
        <v>1.45</v>
      </c>
      <c r="AK43" s="280"/>
      <c r="AL43" s="307">
        <f t="shared" ca="1" si="37"/>
        <v>0</v>
      </c>
      <c r="AM43" s="308">
        <f t="shared" ca="1" si="38"/>
        <v>0</v>
      </c>
      <c r="AN43" s="309">
        <f t="shared" ca="1" si="6"/>
        <v>0</v>
      </c>
      <c r="AO43" s="310">
        <f t="shared" ca="1" si="39"/>
        <v>0.89</v>
      </c>
      <c r="AP43" s="308">
        <f t="shared" ca="1" si="40"/>
        <v>1.66875</v>
      </c>
      <c r="AQ43" s="309">
        <f t="shared" ca="1" si="7"/>
        <v>2.5587499999999999</v>
      </c>
      <c r="AR43" s="310">
        <f t="shared" ca="1" si="41"/>
        <v>2.6249999999999999E-2</v>
      </c>
      <c r="AS43" s="308">
        <f t="shared" ca="1" si="42"/>
        <v>2.1749999999999999E-2</v>
      </c>
      <c r="AT43" s="309">
        <f t="shared" ca="1" si="8"/>
        <v>4.8000000000000001E-2</v>
      </c>
      <c r="AU43" s="310">
        <f t="shared" ca="1" si="9"/>
        <v>0.91625000000000001</v>
      </c>
      <c r="AV43" s="309">
        <f t="shared" ca="1" si="10"/>
        <v>1.6904999999999999</v>
      </c>
      <c r="AW43" s="311">
        <f t="shared" ca="1" si="11"/>
        <v>2.6067499999999999</v>
      </c>
      <c r="AX43" s="286"/>
      <c r="AY43" s="307">
        <f t="shared" ca="1" si="43"/>
        <v>0</v>
      </c>
      <c r="AZ43" s="308">
        <f t="shared" ca="1" si="44"/>
        <v>0</v>
      </c>
      <c r="BA43" s="309">
        <f t="shared" ca="1" si="45"/>
        <v>0</v>
      </c>
      <c r="BB43" s="310">
        <f t="shared" ca="1" si="46"/>
        <v>0.89</v>
      </c>
      <c r="BC43" s="308">
        <f t="shared" ca="1" si="47"/>
        <v>1.66875</v>
      </c>
      <c r="BD43" s="309">
        <f t="shared" ca="1" si="12"/>
        <v>2.5587499999999999</v>
      </c>
      <c r="BE43" s="310">
        <f t="shared" ca="1" si="48"/>
        <v>2.6249999999999999E-2</v>
      </c>
      <c r="BF43" s="308">
        <f t="shared" ca="1" si="49"/>
        <v>2.1749999999999999E-2</v>
      </c>
      <c r="BG43" s="309">
        <f t="shared" ca="1" si="13"/>
        <v>4.8000000000000001E-2</v>
      </c>
      <c r="BH43" s="310">
        <f t="shared" ca="1" si="50"/>
        <v>0.91625000000000001</v>
      </c>
      <c r="BI43" s="309">
        <f t="shared" ca="1" si="51"/>
        <v>1.6904999999999999</v>
      </c>
      <c r="BJ43" s="311">
        <f t="shared" ca="1" si="14"/>
        <v>2.6067499999999999</v>
      </c>
      <c r="BK43" s="286"/>
      <c r="BL43" s="307">
        <f t="shared" ca="1" si="52"/>
        <v>0</v>
      </c>
      <c r="BM43" s="308">
        <f t="shared" ca="1" si="53"/>
        <v>0</v>
      </c>
      <c r="BN43" s="309">
        <f t="shared" ca="1" si="15"/>
        <v>0</v>
      </c>
      <c r="BO43" s="310">
        <f t="shared" ca="1" si="54"/>
        <v>0.89</v>
      </c>
      <c r="BP43" s="308">
        <f t="shared" ca="1" si="55"/>
        <v>1.66875</v>
      </c>
      <c r="BQ43" s="309">
        <f t="shared" ca="1" si="16"/>
        <v>2.5587499999999999</v>
      </c>
      <c r="BR43" s="310">
        <f t="shared" ca="1" si="56"/>
        <v>2.6249999999999999E-2</v>
      </c>
      <c r="BS43" s="308">
        <f t="shared" ca="1" si="57"/>
        <v>2.1749999999999999E-2</v>
      </c>
      <c r="BT43" s="309">
        <f t="shared" ca="1" si="17"/>
        <v>4.8000000000000001E-2</v>
      </c>
      <c r="BU43" s="310">
        <f t="shared" ca="1" si="18"/>
        <v>0.91625000000000001</v>
      </c>
      <c r="BV43" s="309">
        <f t="shared" ca="1" si="19"/>
        <v>1.6904999999999999</v>
      </c>
      <c r="BW43" s="311">
        <f t="shared" ca="1" si="20"/>
        <v>2.6067499999999999</v>
      </c>
      <c r="BX43" s="286"/>
      <c r="BY43" s="300">
        <f t="shared" ca="1" si="59"/>
        <v>0</v>
      </c>
      <c r="BZ43" s="301">
        <f t="shared" ca="1" si="60"/>
        <v>13.973000000000003</v>
      </c>
      <c r="CA43" s="301">
        <f t="shared" ca="1" si="61"/>
        <v>3.6000000000000282E-2</v>
      </c>
      <c r="CB43" s="312">
        <f t="shared" ca="1" si="58"/>
        <v>14.009000000000002</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89</v>
      </c>
      <c r="M44" s="254">
        <f ca="1">BQ47</f>
        <v>89</v>
      </c>
      <c r="N44" s="25"/>
      <c r="O44" s="358" t="s">
        <v>45</v>
      </c>
      <c r="P44" s="247"/>
      <c r="Q44" s="362">
        <f t="shared" ca="1" si="21"/>
        <v>0.23749999999999999</v>
      </c>
      <c r="R44" s="248">
        <f t="shared" ca="1" si="22"/>
        <v>1.56125</v>
      </c>
      <c r="S44" s="363">
        <f t="shared" ca="1" si="23"/>
        <v>1.7987500000000001</v>
      </c>
      <c r="T44" s="247"/>
      <c r="U44" s="362">
        <f t="shared" ca="1" si="24"/>
        <v>0.23749999999999999</v>
      </c>
      <c r="V44" s="248">
        <f t="shared" ca="1" si="25"/>
        <v>1.56125</v>
      </c>
      <c r="W44" s="363">
        <f t="shared" ca="1" si="26"/>
        <v>1.7987500000000001</v>
      </c>
      <c r="X44" s="247"/>
      <c r="Y44" s="362">
        <f t="shared" ca="1" si="27"/>
        <v>0.23749999999999999</v>
      </c>
      <c r="Z44" s="248">
        <f t="shared" ca="1" si="28"/>
        <v>1.56125</v>
      </c>
      <c r="AA44" s="363">
        <f t="shared" ca="1" si="29"/>
        <v>1.7987500000000001</v>
      </c>
      <c r="AB44" s="58" t="str">
        <f t="shared" ca="1" si="62"/>
        <v/>
      </c>
      <c r="AC44" s="495" t="s">
        <v>45</v>
      </c>
      <c r="AD44" s="275"/>
      <c r="AE44" s="303">
        <f t="shared" ca="1" si="31"/>
        <v>0</v>
      </c>
      <c r="AF44" s="304">
        <f t="shared" ca="1" si="32"/>
        <v>0</v>
      </c>
      <c r="AG44" s="305">
        <f t="shared" ca="1" si="33"/>
        <v>-0.5</v>
      </c>
      <c r="AH44" s="304">
        <f t="shared" ca="1" si="34"/>
        <v>3.5</v>
      </c>
      <c r="AI44" s="305">
        <f t="shared" ca="1" si="35"/>
        <v>-1</v>
      </c>
      <c r="AJ44" s="306">
        <f t="shared" ca="1" si="36"/>
        <v>0.25</v>
      </c>
      <c r="AK44" s="280"/>
      <c r="AL44" s="307">
        <f t="shared" ca="1" si="37"/>
        <v>0</v>
      </c>
      <c r="AM44" s="308">
        <f t="shared" ca="1" si="38"/>
        <v>0</v>
      </c>
      <c r="AN44" s="309">
        <f t="shared" ca="1" si="6"/>
        <v>0</v>
      </c>
      <c r="AO44" s="310">
        <f t="shared" ca="1" si="39"/>
        <v>0.2225</v>
      </c>
      <c r="AP44" s="308">
        <f t="shared" ca="1" si="40"/>
        <v>1.5575000000000001</v>
      </c>
      <c r="AQ44" s="309">
        <f t="shared" ca="1" si="7"/>
        <v>1.78</v>
      </c>
      <c r="AR44" s="310">
        <f t="shared" ca="1" si="41"/>
        <v>1.4999999999999999E-2</v>
      </c>
      <c r="AS44" s="308">
        <f t="shared" ca="1" si="42"/>
        <v>3.7499999999999999E-3</v>
      </c>
      <c r="AT44" s="309">
        <f t="shared" ca="1" si="8"/>
        <v>1.8749999999999999E-2</v>
      </c>
      <c r="AU44" s="310">
        <f t="shared" ca="1" si="9"/>
        <v>0.23749999999999999</v>
      </c>
      <c r="AV44" s="309">
        <f t="shared" ca="1" si="10"/>
        <v>1.56125</v>
      </c>
      <c r="AW44" s="311">
        <f t="shared" ca="1" si="11"/>
        <v>1.7987500000000001</v>
      </c>
      <c r="AX44" s="286"/>
      <c r="AY44" s="307">
        <f t="shared" ca="1" si="43"/>
        <v>0</v>
      </c>
      <c r="AZ44" s="308">
        <f t="shared" ca="1" si="44"/>
        <v>0</v>
      </c>
      <c r="BA44" s="309">
        <f t="shared" ca="1" si="45"/>
        <v>0</v>
      </c>
      <c r="BB44" s="310">
        <f t="shared" ca="1" si="46"/>
        <v>0.2225</v>
      </c>
      <c r="BC44" s="308">
        <f t="shared" ca="1" si="47"/>
        <v>1.5575000000000001</v>
      </c>
      <c r="BD44" s="309">
        <f t="shared" ca="1" si="12"/>
        <v>1.78</v>
      </c>
      <c r="BE44" s="310">
        <f t="shared" ca="1" si="48"/>
        <v>1.4999999999999999E-2</v>
      </c>
      <c r="BF44" s="308">
        <f t="shared" ca="1" si="49"/>
        <v>3.7499999999999999E-3</v>
      </c>
      <c r="BG44" s="309">
        <f t="shared" ca="1" si="13"/>
        <v>1.8749999999999999E-2</v>
      </c>
      <c r="BH44" s="310">
        <f t="shared" ca="1" si="50"/>
        <v>0.23749999999999999</v>
      </c>
      <c r="BI44" s="309">
        <f t="shared" ca="1" si="51"/>
        <v>1.56125</v>
      </c>
      <c r="BJ44" s="311">
        <f t="shared" ca="1" si="14"/>
        <v>1.7987500000000001</v>
      </c>
      <c r="BK44" s="286"/>
      <c r="BL44" s="307">
        <f t="shared" ca="1" si="52"/>
        <v>0</v>
      </c>
      <c r="BM44" s="308">
        <f t="shared" ca="1" si="53"/>
        <v>0</v>
      </c>
      <c r="BN44" s="309">
        <f t="shared" ca="1" si="15"/>
        <v>0</v>
      </c>
      <c r="BO44" s="310">
        <f t="shared" ca="1" si="54"/>
        <v>0.2225</v>
      </c>
      <c r="BP44" s="308">
        <f t="shared" ca="1" si="55"/>
        <v>1.5575000000000001</v>
      </c>
      <c r="BQ44" s="309">
        <f t="shared" ca="1" si="16"/>
        <v>1.78</v>
      </c>
      <c r="BR44" s="310">
        <f t="shared" ca="1" si="56"/>
        <v>1.4999999999999999E-2</v>
      </c>
      <c r="BS44" s="308">
        <f t="shared" ca="1" si="57"/>
        <v>3.7499999999999999E-3</v>
      </c>
      <c r="BT44" s="309">
        <f t="shared" ca="1" si="17"/>
        <v>1.8749999999999999E-2</v>
      </c>
      <c r="BU44" s="310">
        <f t="shared" ca="1" si="18"/>
        <v>0.23749999999999999</v>
      </c>
      <c r="BV44" s="309">
        <f t="shared" ca="1" si="19"/>
        <v>1.56125</v>
      </c>
      <c r="BW44" s="311">
        <f t="shared" ca="1" si="20"/>
        <v>1.7987500000000001</v>
      </c>
      <c r="BX44" s="286"/>
      <c r="BY44" s="300">
        <f t="shared" ca="1" si="59"/>
        <v>0</v>
      </c>
      <c r="BZ44" s="301">
        <f t="shared" ca="1" si="60"/>
        <v>15.308000000000003</v>
      </c>
      <c r="CA44" s="301">
        <f t="shared" ca="1" si="61"/>
        <v>2.4750000000000282E-2</v>
      </c>
      <c r="CB44" s="312">
        <f t="shared" ca="1" si="58"/>
        <v>15.332750000000004</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4</v>
      </c>
      <c r="M45" s="254">
        <f ca="1">BN47</f>
        <v>4</v>
      </c>
      <c r="N45" s="25"/>
      <c r="O45" s="358" t="s">
        <v>46</v>
      </c>
      <c r="P45" s="247"/>
      <c r="Q45" s="362">
        <f t="shared" ca="1" si="21"/>
        <v>0.13</v>
      </c>
      <c r="R45" s="248">
        <f t="shared" ca="1" si="22"/>
        <v>1.6724999999999999</v>
      </c>
      <c r="S45" s="363">
        <f t="shared" ca="1" si="23"/>
        <v>1.8024999999999998</v>
      </c>
      <c r="T45" s="247"/>
      <c r="U45" s="362">
        <f t="shared" ca="1" si="24"/>
        <v>0.13</v>
      </c>
      <c r="V45" s="248">
        <f t="shared" ca="1" si="25"/>
        <v>1.6724999999999999</v>
      </c>
      <c r="W45" s="363">
        <f t="shared" ca="1" si="26"/>
        <v>1.8024999999999998</v>
      </c>
      <c r="X45" s="247"/>
      <c r="Y45" s="362">
        <f t="shared" ca="1" si="27"/>
        <v>0.13</v>
      </c>
      <c r="Z45" s="248">
        <f t="shared" ca="1" si="28"/>
        <v>1.6724999999999999</v>
      </c>
      <c r="AA45" s="363">
        <f t="shared" ca="1" si="29"/>
        <v>1.8024999999999998</v>
      </c>
      <c r="AB45" s="58" t="str">
        <f t="shared" ca="1" si="62"/>
        <v/>
      </c>
      <c r="AC45" s="495" t="s">
        <v>46</v>
      </c>
      <c r="AD45" s="275"/>
      <c r="AE45" s="303">
        <f t="shared" ca="1" si="31"/>
        <v>0</v>
      </c>
      <c r="AF45" s="304">
        <f t="shared" ca="1" si="32"/>
        <v>0</v>
      </c>
      <c r="AG45" s="305">
        <f t="shared" ca="1" si="33"/>
        <v>-0.25</v>
      </c>
      <c r="AH45" s="304">
        <f t="shared" ca="1" si="34"/>
        <v>3.75</v>
      </c>
      <c r="AI45" s="305">
        <f t="shared" ca="1" si="35"/>
        <v>-1.25</v>
      </c>
      <c r="AJ45" s="306">
        <f t="shared" ca="1" si="36"/>
        <v>0.25</v>
      </c>
      <c r="AK45" s="280"/>
      <c r="AL45" s="307">
        <f t="shared" ca="1" si="37"/>
        <v>0</v>
      </c>
      <c r="AM45" s="308">
        <f t="shared" ca="1" si="38"/>
        <v>0</v>
      </c>
      <c r="AN45" s="309">
        <f t="shared" ca="1" si="6"/>
        <v>0</v>
      </c>
      <c r="AO45" s="310">
        <f t="shared" ca="1" si="39"/>
        <v>0.11125</v>
      </c>
      <c r="AP45" s="308">
        <f t="shared" ca="1" si="40"/>
        <v>1.66875</v>
      </c>
      <c r="AQ45" s="309">
        <f t="shared" ca="1" si="7"/>
        <v>1.78</v>
      </c>
      <c r="AR45" s="310">
        <f t="shared" ca="1" si="41"/>
        <v>1.8749999999999999E-2</v>
      </c>
      <c r="AS45" s="308">
        <f t="shared" ca="1" si="42"/>
        <v>3.7499999999999999E-3</v>
      </c>
      <c r="AT45" s="309">
        <f t="shared" ca="1" si="8"/>
        <v>2.2499999999999999E-2</v>
      </c>
      <c r="AU45" s="310">
        <f t="shared" ca="1" si="9"/>
        <v>0.13</v>
      </c>
      <c r="AV45" s="309">
        <f t="shared" ca="1" si="10"/>
        <v>1.6724999999999999</v>
      </c>
      <c r="AW45" s="311">
        <f t="shared" ca="1" si="11"/>
        <v>1.8024999999999998</v>
      </c>
      <c r="AX45" s="286"/>
      <c r="AY45" s="307">
        <f t="shared" ca="1" si="43"/>
        <v>0</v>
      </c>
      <c r="AZ45" s="308">
        <f t="shared" ca="1" si="44"/>
        <v>0</v>
      </c>
      <c r="BA45" s="309">
        <f t="shared" ca="1" si="45"/>
        <v>0</v>
      </c>
      <c r="BB45" s="310">
        <f t="shared" ca="1" si="46"/>
        <v>0.11125</v>
      </c>
      <c r="BC45" s="308">
        <f t="shared" ca="1" si="47"/>
        <v>1.66875</v>
      </c>
      <c r="BD45" s="309">
        <f t="shared" ca="1" si="12"/>
        <v>1.78</v>
      </c>
      <c r="BE45" s="310">
        <f t="shared" ca="1" si="48"/>
        <v>1.8749999999999999E-2</v>
      </c>
      <c r="BF45" s="308">
        <f t="shared" ca="1" si="49"/>
        <v>3.7499999999999999E-3</v>
      </c>
      <c r="BG45" s="309">
        <f t="shared" ca="1" si="13"/>
        <v>2.2499999999999999E-2</v>
      </c>
      <c r="BH45" s="310">
        <f t="shared" ca="1" si="50"/>
        <v>0.13</v>
      </c>
      <c r="BI45" s="309">
        <f t="shared" ca="1" si="51"/>
        <v>1.6724999999999999</v>
      </c>
      <c r="BJ45" s="311">
        <f t="shared" ca="1" si="14"/>
        <v>1.8024999999999998</v>
      </c>
      <c r="BK45" s="286"/>
      <c r="BL45" s="307">
        <f t="shared" ca="1" si="52"/>
        <v>0</v>
      </c>
      <c r="BM45" s="308">
        <f t="shared" ca="1" si="53"/>
        <v>0</v>
      </c>
      <c r="BN45" s="309">
        <f t="shared" ca="1" si="15"/>
        <v>0</v>
      </c>
      <c r="BO45" s="310">
        <f t="shared" ca="1" si="54"/>
        <v>0.11125</v>
      </c>
      <c r="BP45" s="308">
        <f t="shared" ca="1" si="55"/>
        <v>1.66875</v>
      </c>
      <c r="BQ45" s="309">
        <f t="shared" ca="1" si="16"/>
        <v>1.78</v>
      </c>
      <c r="BR45" s="310">
        <f t="shared" ca="1" si="56"/>
        <v>1.8749999999999999E-2</v>
      </c>
      <c r="BS45" s="308">
        <f t="shared" ca="1" si="57"/>
        <v>3.7499999999999999E-3</v>
      </c>
      <c r="BT45" s="309">
        <f t="shared" ca="1" si="17"/>
        <v>2.2499999999999999E-2</v>
      </c>
      <c r="BU45" s="310">
        <f t="shared" ca="1" si="18"/>
        <v>0.13</v>
      </c>
      <c r="BV45" s="309">
        <f t="shared" ca="1" si="19"/>
        <v>1.6724999999999999</v>
      </c>
      <c r="BW45" s="311">
        <f t="shared" ca="1" si="20"/>
        <v>1.8024999999999998</v>
      </c>
      <c r="BX45" s="286"/>
      <c r="BY45" s="300">
        <f t="shared" ca="1" si="59"/>
        <v>0</v>
      </c>
      <c r="BZ45" s="301">
        <f t="shared" ca="1" si="60"/>
        <v>16.865500000000004</v>
      </c>
      <c r="CA45" s="301">
        <f t="shared" ca="1" si="61"/>
        <v>9.7500000000002827E-3</v>
      </c>
      <c r="CB45" s="312">
        <f t="shared" ca="1" si="58"/>
        <v>16.875250000000005</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3</v>
      </c>
      <c r="M46" s="261">
        <f ca="1">BT47</f>
        <v>3</v>
      </c>
      <c r="N46" s="25"/>
      <c r="O46" s="359" t="s">
        <v>24</v>
      </c>
      <c r="P46" s="247"/>
      <c r="Q46" s="364">
        <f t="shared" ca="1" si="21"/>
        <v>9.7500000000000017E-3</v>
      </c>
      <c r="R46" s="352">
        <f t="shared" ca="1" si="22"/>
        <v>0.89</v>
      </c>
      <c r="S46" s="365">
        <f t="shared" ca="1" si="23"/>
        <v>0.89975000000000005</v>
      </c>
      <c r="T46" s="247"/>
      <c r="U46" s="364">
        <f t="shared" ca="1" si="24"/>
        <v>9.7500000000000017E-3</v>
      </c>
      <c r="V46" s="352">
        <f t="shared" ca="1" si="25"/>
        <v>0.89</v>
      </c>
      <c r="W46" s="365">
        <f t="shared" ca="1" si="26"/>
        <v>0.89975000000000005</v>
      </c>
      <c r="X46" s="247"/>
      <c r="Y46" s="364">
        <f t="shared" ca="1" si="27"/>
        <v>9.7500000000000017E-3</v>
      </c>
      <c r="Z46" s="352">
        <f t="shared" ca="1" si="28"/>
        <v>0.89</v>
      </c>
      <c r="AA46" s="365">
        <f t="shared" ca="1" si="29"/>
        <v>0.89975000000000005</v>
      </c>
      <c r="AB46" s="58" t="str">
        <f t="shared" ca="1" si="62"/>
        <v/>
      </c>
      <c r="AC46" s="496" t="s">
        <v>24</v>
      </c>
      <c r="AD46" s="275"/>
      <c r="AE46" s="315">
        <f t="shared" ca="1" si="31"/>
        <v>0</v>
      </c>
      <c r="AF46" s="316">
        <f t="shared" ca="1" si="32"/>
        <v>0</v>
      </c>
      <c r="AG46" s="317">
        <f t="shared" ca="1" si="33"/>
        <v>0</v>
      </c>
      <c r="AH46" s="316">
        <f t="shared" ca="1" si="34"/>
        <v>2</v>
      </c>
      <c r="AI46" s="317">
        <f t="shared" ca="1" si="35"/>
        <v>-0.65</v>
      </c>
      <c r="AJ46" s="318">
        <f t="shared" ca="1" si="36"/>
        <v>0</v>
      </c>
      <c r="AK46" s="280"/>
      <c r="AL46" s="319">
        <f t="shared" ca="1" si="37"/>
        <v>0</v>
      </c>
      <c r="AM46" s="320">
        <f t="shared" ca="1" si="38"/>
        <v>0</v>
      </c>
      <c r="AN46" s="321">
        <f t="shared" ca="1" si="6"/>
        <v>0</v>
      </c>
      <c r="AO46" s="322">
        <f t="shared" ca="1" si="39"/>
        <v>0</v>
      </c>
      <c r="AP46" s="320">
        <f t="shared" ca="1" si="40"/>
        <v>0.89</v>
      </c>
      <c r="AQ46" s="321">
        <f t="shared" ca="1" si="7"/>
        <v>0.89</v>
      </c>
      <c r="AR46" s="322">
        <f t="shared" ca="1" si="41"/>
        <v>9.7500000000000017E-3</v>
      </c>
      <c r="AS46" s="320">
        <f t="shared" ca="1" si="42"/>
        <v>0</v>
      </c>
      <c r="AT46" s="321">
        <f t="shared" ca="1" si="8"/>
        <v>9.7500000000000017E-3</v>
      </c>
      <c r="AU46" s="322">
        <f t="shared" ca="1" si="9"/>
        <v>9.7500000000000017E-3</v>
      </c>
      <c r="AV46" s="321">
        <f t="shared" ca="1" si="10"/>
        <v>0.89</v>
      </c>
      <c r="AW46" s="323">
        <f t="shared" ca="1" si="11"/>
        <v>0.89975000000000005</v>
      </c>
      <c r="AX46" s="286"/>
      <c r="AY46" s="319">
        <f t="shared" ca="1" si="43"/>
        <v>0</v>
      </c>
      <c r="AZ46" s="320">
        <f t="shared" ca="1" si="44"/>
        <v>0</v>
      </c>
      <c r="BA46" s="321">
        <f t="shared" ca="1" si="45"/>
        <v>0</v>
      </c>
      <c r="BB46" s="322">
        <f t="shared" ca="1" si="46"/>
        <v>0</v>
      </c>
      <c r="BC46" s="320">
        <f t="shared" ca="1" si="47"/>
        <v>0.89</v>
      </c>
      <c r="BD46" s="321">
        <f t="shared" ca="1" si="12"/>
        <v>0.89</v>
      </c>
      <c r="BE46" s="322">
        <f t="shared" ca="1" si="48"/>
        <v>9.7500000000000017E-3</v>
      </c>
      <c r="BF46" s="320">
        <f t="shared" ca="1" si="49"/>
        <v>0</v>
      </c>
      <c r="BG46" s="321">
        <f t="shared" ca="1" si="13"/>
        <v>9.7500000000000017E-3</v>
      </c>
      <c r="BH46" s="322">
        <f t="shared" ca="1" si="50"/>
        <v>9.7500000000000017E-3</v>
      </c>
      <c r="BI46" s="321">
        <f t="shared" ca="1" si="51"/>
        <v>0.89</v>
      </c>
      <c r="BJ46" s="323">
        <f t="shared" ca="1" si="14"/>
        <v>0.89975000000000005</v>
      </c>
      <c r="BK46" s="286"/>
      <c r="BL46" s="319">
        <f t="shared" ca="1" si="52"/>
        <v>0</v>
      </c>
      <c r="BM46" s="320">
        <f t="shared" ca="1" si="53"/>
        <v>0</v>
      </c>
      <c r="BN46" s="321">
        <f t="shared" ca="1" si="15"/>
        <v>0</v>
      </c>
      <c r="BO46" s="322">
        <f t="shared" ca="1" si="54"/>
        <v>0</v>
      </c>
      <c r="BP46" s="320">
        <f t="shared" ca="1" si="55"/>
        <v>0.89</v>
      </c>
      <c r="BQ46" s="321">
        <f t="shared" ca="1" si="16"/>
        <v>0.89</v>
      </c>
      <c r="BR46" s="322">
        <f t="shared" ca="1" si="56"/>
        <v>9.7500000000000017E-3</v>
      </c>
      <c r="BS46" s="320">
        <f t="shared" ca="1" si="57"/>
        <v>0</v>
      </c>
      <c r="BT46" s="321">
        <f t="shared" ca="1" si="17"/>
        <v>9.7500000000000017E-3</v>
      </c>
      <c r="BU46" s="322">
        <f t="shared" ca="1" si="18"/>
        <v>9.7500000000000017E-3</v>
      </c>
      <c r="BV46" s="321">
        <f t="shared" ca="1" si="19"/>
        <v>0.89</v>
      </c>
      <c r="BW46" s="323">
        <f t="shared" ca="1" si="20"/>
        <v>0.89975000000000005</v>
      </c>
      <c r="BX46" s="286"/>
      <c r="BY46" s="300">
        <f t="shared" ca="1" si="59"/>
        <v>0</v>
      </c>
      <c r="BZ46" s="301">
        <f t="shared" ca="1" si="60"/>
        <v>17.755500000000005</v>
      </c>
      <c r="CA46" s="301">
        <f t="shared" ca="1" si="61"/>
        <v>2.8102520310824275E-16</v>
      </c>
      <c r="CB46" s="324">
        <f t="shared" ca="1" si="58"/>
        <v>17.755500000000005</v>
      </c>
      <c r="CE46" s="27"/>
      <c r="CF46" s="27"/>
      <c r="CG46" s="27"/>
      <c r="CH46" s="27"/>
      <c r="CI46" s="27"/>
      <c r="CJ46" s="27"/>
      <c r="CK46" s="34"/>
      <c r="CL46" s="34"/>
      <c r="CM46" s="35"/>
    </row>
    <row r="47" spans="2:91" ht="18.899999999999999" customHeight="1" thickBot="1">
      <c r="I47" s="255"/>
      <c r="J47" s="256" t="s">
        <v>22</v>
      </c>
      <c r="K47" s="257" t="s">
        <v>147</v>
      </c>
      <c r="L47" s="249">
        <f ca="1">SUM(L44:L46)</f>
        <v>96</v>
      </c>
      <c r="M47" s="249">
        <f ca="1">SUM(M44:M46)</f>
        <v>96</v>
      </c>
      <c r="N47" s="26"/>
      <c r="O47" s="353" t="s">
        <v>47</v>
      </c>
      <c r="P47" s="247"/>
      <c r="Q47" s="354">
        <f ca="1">SUM(Q23:Q46)</f>
        <v>47.999999999999993</v>
      </c>
      <c r="R47" s="355">
        <f ca="1">SUM(R23:R46)</f>
        <v>48</v>
      </c>
      <c r="S47" s="356">
        <f ca="1">SUM(S23:S46)</f>
        <v>96</v>
      </c>
      <c r="T47" s="247"/>
      <c r="U47" s="354">
        <f ca="1">SUM(U23:U46)</f>
        <v>47.999999999999993</v>
      </c>
      <c r="V47" s="355">
        <f ca="1">SUM(V23:V46)</f>
        <v>48</v>
      </c>
      <c r="W47" s="356">
        <f ca="1">SUM(W23:W46)</f>
        <v>96</v>
      </c>
      <c r="X47" s="247"/>
      <c r="Y47" s="354">
        <f ca="1">SUM(Y23:Y46)</f>
        <v>47.999999999999993</v>
      </c>
      <c r="Z47" s="355">
        <f ca="1">SUM(Z23:Z46)</f>
        <v>48</v>
      </c>
      <c r="AA47" s="356">
        <f ca="1">SUM(AA23:AA46)</f>
        <v>96</v>
      </c>
      <c r="AC47" s="325" t="s">
        <v>47</v>
      </c>
      <c r="AD47" s="90"/>
      <c r="AE47" s="326">
        <f t="shared" ref="AE47:AJ47" ca="1" si="63">SUM(AE23:AE46)</f>
        <v>-100</v>
      </c>
      <c r="AF47" s="327">
        <f t="shared" ca="1" si="63"/>
        <v>99.999999999999986</v>
      </c>
      <c r="AG47" s="328">
        <f t="shared" ca="1" si="63"/>
        <v>-100</v>
      </c>
      <c r="AH47" s="327">
        <f t="shared" ca="1" si="63"/>
        <v>100</v>
      </c>
      <c r="AI47" s="328">
        <f t="shared" ca="1" si="63"/>
        <v>-100</v>
      </c>
      <c r="AJ47" s="329">
        <f t="shared" ca="1" si="63"/>
        <v>100</v>
      </c>
      <c r="AK47" s="330"/>
      <c r="AL47" s="326">
        <f t="shared" ref="AL47:AW47" ca="1" si="64">SUM(AL23:AL46)</f>
        <v>2.0000000000000004</v>
      </c>
      <c r="AM47" s="331">
        <f t="shared" ca="1" si="64"/>
        <v>1.9999999999999998</v>
      </c>
      <c r="AN47" s="327">
        <f t="shared" ca="1" si="64"/>
        <v>4</v>
      </c>
      <c r="AO47" s="328">
        <f t="shared" ca="1" si="64"/>
        <v>44.5</v>
      </c>
      <c r="AP47" s="331">
        <f t="shared" ca="1" si="64"/>
        <v>44.500000000000007</v>
      </c>
      <c r="AQ47" s="327">
        <f t="shared" ca="1" si="64"/>
        <v>89</v>
      </c>
      <c r="AR47" s="328">
        <f t="shared" ca="1" si="64"/>
        <v>1.5</v>
      </c>
      <c r="AS47" s="331">
        <f t="shared" ca="1" si="64"/>
        <v>1.4999999999999998</v>
      </c>
      <c r="AT47" s="327">
        <f t="shared" ca="1" si="64"/>
        <v>3</v>
      </c>
      <c r="AU47" s="328">
        <f t="shared" ca="1" si="64"/>
        <v>47.999999999999993</v>
      </c>
      <c r="AV47" s="327">
        <f t="shared" ca="1" si="64"/>
        <v>48</v>
      </c>
      <c r="AW47" s="329">
        <f t="shared" ca="1" si="64"/>
        <v>96</v>
      </c>
      <c r="AX47" s="332"/>
      <c r="AY47" s="326">
        <f t="shared" ref="AY47:BJ47" ca="1" si="65">SUM(AY23:AY46)</f>
        <v>2.0000000000000004</v>
      </c>
      <c r="AZ47" s="331">
        <f t="shared" ca="1" si="65"/>
        <v>1.9999999999999998</v>
      </c>
      <c r="BA47" s="327">
        <f t="shared" ca="1" si="65"/>
        <v>4</v>
      </c>
      <c r="BB47" s="328">
        <f t="shared" ca="1" si="65"/>
        <v>44.5</v>
      </c>
      <c r="BC47" s="331">
        <f t="shared" ca="1" si="65"/>
        <v>44.500000000000007</v>
      </c>
      <c r="BD47" s="327">
        <f t="shared" ca="1" si="65"/>
        <v>89</v>
      </c>
      <c r="BE47" s="328">
        <f t="shared" ca="1" si="65"/>
        <v>1.5</v>
      </c>
      <c r="BF47" s="331">
        <f t="shared" ca="1" si="65"/>
        <v>1.4999999999999998</v>
      </c>
      <c r="BG47" s="327">
        <f t="shared" ca="1" si="65"/>
        <v>3</v>
      </c>
      <c r="BH47" s="328">
        <f t="shared" ca="1" si="65"/>
        <v>47.999999999999993</v>
      </c>
      <c r="BI47" s="327">
        <f t="shared" ca="1" si="65"/>
        <v>48</v>
      </c>
      <c r="BJ47" s="329">
        <f t="shared" ca="1" si="65"/>
        <v>96</v>
      </c>
      <c r="BK47" s="332"/>
      <c r="BL47" s="326">
        <f t="shared" ref="BL47:BW47" ca="1" si="66">SUM(BL23:BL46)</f>
        <v>2.0000000000000004</v>
      </c>
      <c r="BM47" s="331">
        <f t="shared" ca="1" si="66"/>
        <v>1.9999999999999998</v>
      </c>
      <c r="BN47" s="327">
        <f t="shared" ca="1" si="66"/>
        <v>4</v>
      </c>
      <c r="BO47" s="328">
        <f t="shared" ca="1" si="66"/>
        <v>44.5</v>
      </c>
      <c r="BP47" s="331">
        <f t="shared" ca="1" si="66"/>
        <v>44.500000000000007</v>
      </c>
      <c r="BQ47" s="327">
        <f t="shared" ca="1" si="66"/>
        <v>89</v>
      </c>
      <c r="BR47" s="328">
        <f t="shared" ca="1" si="66"/>
        <v>1.5</v>
      </c>
      <c r="BS47" s="331">
        <f t="shared" ca="1" si="66"/>
        <v>1.4999999999999998</v>
      </c>
      <c r="BT47" s="327">
        <f t="shared" ca="1" si="66"/>
        <v>3</v>
      </c>
      <c r="BU47" s="328">
        <f t="shared" ca="1" si="66"/>
        <v>47.999999999999993</v>
      </c>
      <c r="BV47" s="327">
        <f t="shared" ca="1" si="66"/>
        <v>48</v>
      </c>
      <c r="BW47" s="329">
        <f t="shared" ca="1" si="66"/>
        <v>96</v>
      </c>
      <c r="BX47" s="332"/>
      <c r="BY47" s="333">
        <f ca="1">MAX(BY23:BY46)</f>
        <v>0.11119999999999998</v>
      </c>
      <c r="BZ47" s="334">
        <f ca="1">MAX(BZ23:BZ46)</f>
        <v>17.755500000000005</v>
      </c>
      <c r="CA47" s="334">
        <f ca="1">MAX(CA23:CA46)</f>
        <v>0.16350000000000028</v>
      </c>
      <c r="CB47" s="335">
        <f ca="1">MAX(CB23:CB46)</f>
        <v>17.755500000000005</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 xml:space="preserve">Wohnen </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 xml:space="preserve">Wohnen </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Besucherverkehr</v>
      </c>
      <c r="Z96" s="772" t="str">
        <f ca="1">BZ19</f>
        <v>Bewohnerverkehr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0.11125000000000057</v>
      </c>
      <c r="X102" s="244"/>
      <c r="Y102" s="499">
        <f t="shared" ref="Y102:Y125" ca="1" si="68">BY23</f>
        <v>0</v>
      </c>
      <c r="Z102" s="500">
        <f t="shared" ref="Z102:Z125" ca="1" si="69">BZ23</f>
        <v>0.11125000000000031</v>
      </c>
      <c r="AA102" s="501">
        <f t="shared" ref="AA102:AA125" ca="1" si="70">CA23</f>
        <v>2.6367796834847468E-16</v>
      </c>
    </row>
    <row r="103" spans="9:27" ht="15.9" customHeight="1">
      <c r="I103" s="670"/>
      <c r="J103" s="52"/>
      <c r="K103" s="52"/>
      <c r="L103" s="52"/>
      <c r="M103" s="52"/>
      <c r="N103" s="52"/>
      <c r="O103" s="52"/>
      <c r="P103" s="52"/>
      <c r="Q103" s="52"/>
      <c r="R103" s="52"/>
      <c r="S103" s="52"/>
      <c r="T103" s="52"/>
      <c r="U103" s="664" t="s">
        <v>161</v>
      </c>
      <c r="V103" s="665"/>
      <c r="W103" s="466">
        <f t="shared" ca="1" si="67"/>
        <v>0.20025000000000059</v>
      </c>
      <c r="X103" s="244"/>
      <c r="Y103" s="502">
        <f t="shared" ca="1" si="68"/>
        <v>0</v>
      </c>
      <c r="Z103" s="503">
        <f t="shared" ca="1" si="69"/>
        <v>0.20025000000000032</v>
      </c>
      <c r="AA103" s="504">
        <f t="shared" ca="1" si="70"/>
        <v>2.6367796834847468E-16</v>
      </c>
    </row>
    <row r="104" spans="9:27" ht="15.9" customHeight="1">
      <c r="I104" s="670"/>
      <c r="J104" s="52"/>
      <c r="K104" s="52"/>
      <c r="L104" s="52"/>
      <c r="M104" s="52"/>
      <c r="N104" s="52"/>
      <c r="O104" s="52"/>
      <c r="P104" s="52"/>
      <c r="Q104" s="52"/>
      <c r="R104" s="52"/>
      <c r="S104" s="52"/>
      <c r="T104" s="52"/>
      <c r="U104" s="664" t="s">
        <v>26</v>
      </c>
      <c r="V104" s="665"/>
      <c r="W104" s="466">
        <f t="shared" ca="1" si="67"/>
        <v>0.20025000000000059</v>
      </c>
      <c r="X104" s="244"/>
      <c r="Y104" s="502">
        <f t="shared" ca="1" si="68"/>
        <v>0</v>
      </c>
      <c r="Z104" s="503">
        <f t="shared" ca="1" si="69"/>
        <v>0.20025000000000032</v>
      </c>
      <c r="AA104" s="504">
        <f t="shared" ca="1" si="70"/>
        <v>2.6367796834847468E-16</v>
      </c>
    </row>
    <row r="105" spans="9:27" ht="15.9" customHeight="1">
      <c r="I105" s="670"/>
      <c r="J105" s="52"/>
      <c r="K105" s="52"/>
      <c r="L105" s="52"/>
      <c r="M105" s="52"/>
      <c r="N105" s="52"/>
      <c r="O105" s="52"/>
      <c r="P105" s="52"/>
      <c r="Q105" s="52"/>
      <c r="R105" s="52"/>
      <c r="S105" s="52"/>
      <c r="T105" s="52"/>
      <c r="U105" s="664" t="s">
        <v>27</v>
      </c>
      <c r="V105" s="665"/>
      <c r="W105" s="466">
        <f t="shared" ca="1" si="67"/>
        <v>8.9000000000000579E-2</v>
      </c>
      <c r="X105" s="244"/>
      <c r="Y105" s="502">
        <f t="shared" ca="1" si="68"/>
        <v>0</v>
      </c>
      <c r="Z105" s="503">
        <f t="shared" ca="1" si="69"/>
        <v>8.9000000000000315E-2</v>
      </c>
      <c r="AA105" s="504">
        <f t="shared" ca="1" si="70"/>
        <v>2.6367796834847468E-16</v>
      </c>
    </row>
    <row r="106" spans="9:27" ht="15.9" customHeight="1">
      <c r="I106" s="670"/>
      <c r="J106" s="52"/>
      <c r="K106" s="52"/>
      <c r="L106" s="52"/>
      <c r="M106" s="52"/>
      <c r="N106" s="52"/>
      <c r="O106" s="52"/>
      <c r="P106" s="52"/>
      <c r="Q106" s="52"/>
      <c r="R106" s="52"/>
      <c r="S106" s="52"/>
      <c r="T106" s="52"/>
      <c r="U106" s="664" t="s">
        <v>28</v>
      </c>
      <c r="V106" s="665"/>
      <c r="W106" s="466">
        <f t="shared" ca="1" si="67"/>
        <v>3.7500000000002635E-3</v>
      </c>
      <c r="X106" s="244"/>
      <c r="Y106" s="502">
        <f t="shared" ca="1" si="68"/>
        <v>0</v>
      </c>
      <c r="Z106" s="503">
        <f t="shared" ca="1" si="69"/>
        <v>0</v>
      </c>
      <c r="AA106" s="504">
        <f t="shared" ca="1" si="70"/>
        <v>3.7500000000002635E-3</v>
      </c>
    </row>
    <row r="107" spans="9:27" ht="15.9" customHeight="1">
      <c r="I107" s="670"/>
      <c r="J107" s="52"/>
      <c r="K107" s="52"/>
      <c r="L107" s="52"/>
      <c r="M107" s="52"/>
      <c r="N107" s="52"/>
      <c r="O107" s="52"/>
      <c r="P107" s="52"/>
      <c r="Q107" s="52"/>
      <c r="R107" s="52"/>
      <c r="S107" s="52"/>
      <c r="T107" s="52"/>
      <c r="U107" s="664" t="s">
        <v>29</v>
      </c>
      <c r="V107" s="665"/>
      <c r="W107" s="466">
        <f t="shared" ca="1" si="67"/>
        <v>1.1250000000000263E-2</v>
      </c>
      <c r="X107" s="244"/>
      <c r="Y107" s="502">
        <f t="shared" ca="1" si="68"/>
        <v>0</v>
      </c>
      <c r="Z107" s="503">
        <f t="shared" ca="1" si="69"/>
        <v>0</v>
      </c>
      <c r="AA107" s="504">
        <f t="shared" ca="1" si="70"/>
        <v>1.1250000000000263E-2</v>
      </c>
    </row>
    <row r="108" spans="9:27" ht="15.9" customHeight="1">
      <c r="I108" s="670"/>
      <c r="J108" s="52"/>
      <c r="K108" s="52"/>
      <c r="L108" s="52"/>
      <c r="M108" s="52"/>
      <c r="N108" s="52"/>
      <c r="O108" s="52"/>
      <c r="P108" s="52"/>
      <c r="Q108" s="52"/>
      <c r="R108" s="52"/>
      <c r="S108" s="52"/>
      <c r="T108" s="52"/>
      <c r="U108" s="664" t="s">
        <v>30</v>
      </c>
      <c r="V108" s="665"/>
      <c r="W108" s="466">
        <f t="shared" ca="1" si="67"/>
        <v>3.0000000000000263E-2</v>
      </c>
      <c r="X108" s="244"/>
      <c r="Y108" s="502">
        <f t="shared" ca="1" si="68"/>
        <v>0</v>
      </c>
      <c r="Z108" s="503">
        <f t="shared" ca="1" si="69"/>
        <v>0</v>
      </c>
      <c r="AA108" s="504">
        <f t="shared" ca="1" si="70"/>
        <v>3.0000000000000263E-2</v>
      </c>
    </row>
    <row r="109" spans="9:27" ht="15.9" customHeight="1">
      <c r="I109" s="670"/>
      <c r="J109" s="52"/>
      <c r="K109" s="52"/>
      <c r="L109" s="52"/>
      <c r="M109" s="52"/>
      <c r="N109" s="52"/>
      <c r="O109" s="52"/>
      <c r="P109" s="52"/>
      <c r="Q109" s="52"/>
      <c r="R109" s="52"/>
      <c r="S109" s="52"/>
      <c r="T109" s="52"/>
      <c r="U109" s="664" t="s">
        <v>31</v>
      </c>
      <c r="V109" s="665"/>
      <c r="W109" s="466">
        <f t="shared" ca="1" si="67"/>
        <v>8.5550000000000265E-2</v>
      </c>
      <c r="X109" s="244"/>
      <c r="Y109" s="502">
        <f t="shared" ca="1" si="68"/>
        <v>6.7999999999999988E-3</v>
      </c>
      <c r="Z109" s="503">
        <f t="shared" ca="1" si="69"/>
        <v>0</v>
      </c>
      <c r="AA109" s="504">
        <f t="shared" ca="1" si="70"/>
        <v>7.8750000000000264E-2</v>
      </c>
    </row>
    <row r="110" spans="9:27" ht="15.9" customHeight="1">
      <c r="I110" s="670"/>
      <c r="J110" s="52"/>
      <c r="K110" s="52"/>
      <c r="L110" s="52"/>
      <c r="M110" s="52"/>
      <c r="N110" s="52"/>
      <c r="O110" s="52"/>
      <c r="P110" s="52"/>
      <c r="Q110" s="52"/>
      <c r="R110" s="52"/>
      <c r="S110" s="52"/>
      <c r="T110" s="52"/>
      <c r="U110" s="664" t="s">
        <v>32</v>
      </c>
      <c r="V110" s="665"/>
      <c r="W110" s="466">
        <f t="shared" ca="1" si="67"/>
        <v>0.20085000000000031</v>
      </c>
      <c r="X110" s="244"/>
      <c r="Y110" s="502">
        <f t="shared" ca="1" si="68"/>
        <v>6.3600000000000004E-2</v>
      </c>
      <c r="Z110" s="503">
        <f t="shared" ca="1" si="69"/>
        <v>0</v>
      </c>
      <c r="AA110" s="504">
        <f t="shared" ca="1" si="70"/>
        <v>0.13725000000000029</v>
      </c>
    </row>
    <row r="111" spans="9:27" ht="15.9" customHeight="1">
      <c r="I111" s="670"/>
      <c r="J111" s="52"/>
      <c r="K111" s="52"/>
      <c r="L111" s="52"/>
      <c r="M111" s="52"/>
      <c r="N111" s="52"/>
      <c r="O111" s="52"/>
      <c r="P111" s="52"/>
      <c r="Q111" s="52"/>
      <c r="R111" s="52"/>
      <c r="S111" s="52"/>
      <c r="T111" s="52"/>
      <c r="U111" s="664" t="s">
        <v>33</v>
      </c>
      <c r="V111" s="665"/>
      <c r="W111" s="466">
        <f t="shared" ca="1" si="67"/>
        <v>0.21295000000000025</v>
      </c>
      <c r="X111" s="244"/>
      <c r="Y111" s="502">
        <f t="shared" ca="1" si="68"/>
        <v>6.8199999999999969E-2</v>
      </c>
      <c r="Z111" s="503">
        <f t="shared" ca="1" si="69"/>
        <v>0</v>
      </c>
      <c r="AA111" s="504">
        <f t="shared" ca="1" si="70"/>
        <v>0.1447500000000003</v>
      </c>
    </row>
    <row r="112" spans="9:27" ht="15.9" customHeight="1">
      <c r="I112" s="670"/>
      <c r="J112" s="52"/>
      <c r="K112" s="52"/>
      <c r="L112" s="52"/>
      <c r="M112" s="52"/>
      <c r="N112" s="52"/>
      <c r="O112" s="52"/>
      <c r="P112" s="52"/>
      <c r="Q112" s="52"/>
      <c r="R112" s="52"/>
      <c r="S112" s="52"/>
      <c r="T112" s="52"/>
      <c r="U112" s="664" t="s">
        <v>34</v>
      </c>
      <c r="V112" s="665"/>
      <c r="W112" s="466">
        <f t="shared" ca="1" si="67"/>
        <v>0.27470000000000028</v>
      </c>
      <c r="X112" s="244"/>
      <c r="Y112" s="502">
        <f t="shared" ca="1" si="68"/>
        <v>0.11119999999999998</v>
      </c>
      <c r="Z112" s="503">
        <f t="shared" ca="1" si="69"/>
        <v>0</v>
      </c>
      <c r="AA112" s="504">
        <f t="shared" ca="1" si="70"/>
        <v>0.16350000000000028</v>
      </c>
    </row>
    <row r="113" spans="9:27" ht="15.9" customHeight="1">
      <c r="I113" s="670"/>
      <c r="J113" s="52"/>
      <c r="K113" s="52"/>
      <c r="L113" s="52"/>
      <c r="M113" s="52"/>
      <c r="N113" s="52"/>
      <c r="O113" s="52"/>
      <c r="P113" s="52"/>
      <c r="Q113" s="52"/>
      <c r="R113" s="52"/>
      <c r="S113" s="52"/>
      <c r="T113" s="52"/>
      <c r="U113" s="664" t="s">
        <v>35</v>
      </c>
      <c r="V113" s="665"/>
      <c r="W113" s="466">
        <f t="shared" ca="1" si="67"/>
        <v>1.2349000000000003</v>
      </c>
      <c r="X113" s="244"/>
      <c r="Y113" s="502">
        <f t="shared" ca="1" si="68"/>
        <v>7.5399999999999981E-2</v>
      </c>
      <c r="Z113" s="503">
        <f t="shared" ca="1" si="69"/>
        <v>1.0012500000000002</v>
      </c>
      <c r="AA113" s="504">
        <f t="shared" ca="1" si="70"/>
        <v>0.15825000000000031</v>
      </c>
    </row>
    <row r="114" spans="9:27" ht="15.9" customHeight="1">
      <c r="I114" s="670"/>
      <c r="J114" s="52"/>
      <c r="K114" s="52"/>
      <c r="L114" s="52"/>
      <c r="M114" s="52"/>
      <c r="N114" s="52"/>
      <c r="O114" s="52"/>
      <c r="P114" s="52"/>
      <c r="Q114" s="52"/>
      <c r="R114" s="52"/>
      <c r="S114" s="52"/>
      <c r="T114" s="52"/>
      <c r="U114" s="664" t="s">
        <v>36</v>
      </c>
      <c r="V114" s="665"/>
      <c r="W114" s="466">
        <f t="shared" ca="1" si="67"/>
        <v>3.00265</v>
      </c>
      <c r="X114" s="244"/>
      <c r="Y114" s="502">
        <f t="shared" ca="1" si="68"/>
        <v>8.9399999999999979E-2</v>
      </c>
      <c r="Z114" s="503">
        <f t="shared" ca="1" si="69"/>
        <v>2.78125</v>
      </c>
      <c r="AA114" s="504">
        <f t="shared" ca="1" si="70"/>
        <v>0.13200000000000028</v>
      </c>
    </row>
    <row r="115" spans="9:27" ht="15.9" customHeight="1">
      <c r="I115" s="670"/>
      <c r="J115" s="52"/>
      <c r="K115" s="52"/>
      <c r="L115" s="52"/>
      <c r="M115" s="52"/>
      <c r="N115" s="52"/>
      <c r="O115" s="52"/>
      <c r="P115" s="52"/>
      <c r="Q115" s="52"/>
      <c r="R115" s="52"/>
      <c r="S115" s="52"/>
      <c r="T115" s="52"/>
      <c r="U115" s="664" t="s">
        <v>37</v>
      </c>
      <c r="V115" s="665"/>
      <c r="W115" s="466">
        <f t="shared" ca="1" si="67"/>
        <v>3.6292000000000009</v>
      </c>
      <c r="X115" s="244"/>
      <c r="Y115" s="502">
        <f t="shared" ca="1" si="68"/>
        <v>6.7199999999999982E-2</v>
      </c>
      <c r="Z115" s="503">
        <f t="shared" ca="1" si="69"/>
        <v>3.4487500000000004</v>
      </c>
      <c r="AA115" s="504">
        <f t="shared" ca="1" si="70"/>
        <v>0.11325000000000028</v>
      </c>
    </row>
    <row r="116" spans="9:27" ht="15.9" customHeight="1">
      <c r="I116" s="670"/>
      <c r="J116" s="52"/>
      <c r="K116" s="52"/>
      <c r="L116" s="52"/>
      <c r="M116" s="52"/>
      <c r="N116" s="52"/>
      <c r="O116" s="52"/>
      <c r="P116" s="52"/>
      <c r="Q116" s="52"/>
      <c r="R116" s="52"/>
      <c r="S116" s="52"/>
      <c r="T116" s="52"/>
      <c r="U116" s="664" t="s">
        <v>38</v>
      </c>
      <c r="V116" s="665"/>
      <c r="W116" s="466">
        <f t="shared" ca="1" si="67"/>
        <v>2.8434500000000007</v>
      </c>
      <c r="X116" s="244"/>
      <c r="Y116" s="502">
        <f t="shared" ca="1" si="68"/>
        <v>5.419999999999997E-2</v>
      </c>
      <c r="Z116" s="503">
        <f t="shared" ca="1" si="69"/>
        <v>2.6700000000000008</v>
      </c>
      <c r="AA116" s="504">
        <f t="shared" ca="1" si="70"/>
        <v>0.11925000000000029</v>
      </c>
    </row>
    <row r="117" spans="9:27" ht="15.9" customHeight="1">
      <c r="I117" s="670"/>
      <c r="J117" s="52"/>
      <c r="K117" s="52"/>
      <c r="L117" s="52"/>
      <c r="M117" s="52"/>
      <c r="N117" s="52"/>
      <c r="O117" s="52"/>
      <c r="P117" s="52"/>
      <c r="Q117" s="52"/>
      <c r="R117" s="52"/>
      <c r="S117" s="52"/>
      <c r="T117" s="52"/>
      <c r="U117" s="664" t="s">
        <v>39</v>
      </c>
      <c r="V117" s="665"/>
      <c r="W117" s="466">
        <f t="shared" ca="1" si="67"/>
        <v>3.6380500000000016</v>
      </c>
      <c r="X117" s="244"/>
      <c r="Y117" s="502">
        <f t="shared" ca="1" si="68"/>
        <v>5.8799999999999963E-2</v>
      </c>
      <c r="Z117" s="503">
        <f t="shared" ca="1" si="69"/>
        <v>3.4487500000000009</v>
      </c>
      <c r="AA117" s="504">
        <f t="shared" ca="1" si="70"/>
        <v>0.13050000000000028</v>
      </c>
    </row>
    <row r="118" spans="9:27" ht="15.9" customHeight="1">
      <c r="I118" s="670"/>
      <c r="J118" s="52"/>
      <c r="K118" s="52"/>
      <c r="L118" s="52"/>
      <c r="M118" s="52"/>
      <c r="N118" s="52"/>
      <c r="O118" s="52"/>
      <c r="P118" s="52"/>
      <c r="Q118" s="52"/>
      <c r="R118" s="52"/>
      <c r="S118" s="52"/>
      <c r="T118" s="52"/>
      <c r="U118" s="664" t="s">
        <v>40</v>
      </c>
      <c r="V118" s="665"/>
      <c r="W118" s="466">
        <f t="shared" ca="1" si="67"/>
        <v>7.1930500000000013</v>
      </c>
      <c r="X118" s="244"/>
      <c r="Y118" s="502">
        <f t="shared" ca="1" si="68"/>
        <v>8.3799999999999958E-2</v>
      </c>
      <c r="Z118" s="503">
        <f t="shared" ca="1" si="69"/>
        <v>7.0087500000000009</v>
      </c>
      <c r="AA118" s="504">
        <f t="shared" ca="1" si="70"/>
        <v>0.10050000000000028</v>
      </c>
    </row>
    <row r="119" spans="9:27" ht="15.9" customHeight="1">
      <c r="I119" s="670"/>
      <c r="J119" s="52"/>
      <c r="K119" s="52"/>
      <c r="L119" s="52"/>
      <c r="M119" s="52"/>
      <c r="N119" s="52"/>
      <c r="O119" s="52"/>
      <c r="P119" s="52"/>
      <c r="Q119" s="52"/>
      <c r="R119" s="52"/>
      <c r="S119" s="52"/>
      <c r="T119" s="52"/>
      <c r="U119" s="664" t="s">
        <v>41</v>
      </c>
      <c r="V119" s="665"/>
      <c r="W119" s="466">
        <f t="shared" ca="1" si="67"/>
        <v>9.9107000000000021</v>
      </c>
      <c r="X119" s="244"/>
      <c r="Y119" s="502">
        <f t="shared" ca="1" si="68"/>
        <v>5.0199999999999939E-2</v>
      </c>
      <c r="Z119" s="503">
        <f t="shared" ca="1" si="69"/>
        <v>9.7900000000000009</v>
      </c>
      <c r="AA119" s="504">
        <f t="shared" ca="1" si="70"/>
        <v>7.0500000000000285E-2</v>
      </c>
    </row>
    <row r="120" spans="9:27" ht="15.9" customHeight="1">
      <c r="I120" s="670"/>
      <c r="J120" s="52"/>
      <c r="K120" s="52"/>
      <c r="L120" s="52"/>
      <c r="M120" s="52"/>
      <c r="N120" s="52"/>
      <c r="O120" s="52"/>
      <c r="P120" s="52"/>
      <c r="Q120" s="52"/>
      <c r="R120" s="52"/>
      <c r="S120" s="52"/>
      <c r="T120" s="52"/>
      <c r="U120" s="664" t="s">
        <v>42</v>
      </c>
      <c r="V120" s="665"/>
      <c r="W120" s="466">
        <f t="shared" ca="1" si="67"/>
        <v>12.463500000000002</v>
      </c>
      <c r="X120" s="244"/>
      <c r="Y120" s="502">
        <f t="shared" ca="1" si="68"/>
        <v>0</v>
      </c>
      <c r="Z120" s="503">
        <f t="shared" ca="1" si="69"/>
        <v>12.415500000000002</v>
      </c>
      <c r="AA120" s="504">
        <f t="shared" ca="1" si="70"/>
        <v>4.8000000000000285E-2</v>
      </c>
    </row>
    <row r="121" spans="9:27" ht="15.9" customHeight="1">
      <c r="I121" s="670"/>
      <c r="J121" s="52"/>
      <c r="K121" s="52"/>
      <c r="L121" s="52"/>
      <c r="M121" s="52"/>
      <c r="N121" s="52"/>
      <c r="O121" s="52"/>
      <c r="P121" s="52"/>
      <c r="Q121" s="52"/>
      <c r="R121" s="52"/>
      <c r="S121" s="52"/>
      <c r="T121" s="52"/>
      <c r="U121" s="664" t="s">
        <v>43</v>
      </c>
      <c r="V121" s="665"/>
      <c r="W121" s="466">
        <f t="shared" ca="1" si="67"/>
        <v>13.234750000000002</v>
      </c>
      <c r="X121" s="244"/>
      <c r="Y121" s="502">
        <f t="shared" ca="1" si="68"/>
        <v>0</v>
      </c>
      <c r="Z121" s="503">
        <f t="shared" ca="1" si="69"/>
        <v>13.194250000000002</v>
      </c>
      <c r="AA121" s="504">
        <f t="shared" ca="1" si="70"/>
        <v>4.0500000000000286E-2</v>
      </c>
    </row>
    <row r="122" spans="9:27" ht="15.9" customHeight="1">
      <c r="I122" s="670"/>
      <c r="J122" s="52"/>
      <c r="K122" s="52"/>
      <c r="L122" s="52"/>
      <c r="M122" s="52"/>
      <c r="N122" s="52"/>
      <c r="O122" s="52"/>
      <c r="P122" s="52"/>
      <c r="Q122" s="52"/>
      <c r="R122" s="52"/>
      <c r="S122" s="52"/>
      <c r="T122" s="52"/>
      <c r="U122" s="664" t="s">
        <v>44</v>
      </c>
      <c r="V122" s="665"/>
      <c r="W122" s="466">
        <f t="shared" ca="1" si="67"/>
        <v>14.009000000000002</v>
      </c>
      <c r="X122" s="244"/>
      <c r="Y122" s="502">
        <f t="shared" ca="1" si="68"/>
        <v>0</v>
      </c>
      <c r="Z122" s="503">
        <f t="shared" ca="1" si="69"/>
        <v>13.973000000000003</v>
      </c>
      <c r="AA122" s="504">
        <f t="shared" ca="1" si="70"/>
        <v>3.6000000000000282E-2</v>
      </c>
    </row>
    <row r="123" spans="9:27" ht="15.9" customHeight="1">
      <c r="I123" s="670"/>
      <c r="J123" s="52"/>
      <c r="K123" s="52"/>
      <c r="L123" s="52"/>
      <c r="M123" s="52"/>
      <c r="N123" s="52"/>
      <c r="O123" s="52"/>
      <c r="P123" s="52"/>
      <c r="Q123" s="52"/>
      <c r="R123" s="52"/>
      <c r="S123" s="52"/>
      <c r="T123" s="52"/>
      <c r="U123" s="664" t="s">
        <v>45</v>
      </c>
      <c r="V123" s="665"/>
      <c r="W123" s="466">
        <f t="shared" ca="1" si="67"/>
        <v>15.332750000000004</v>
      </c>
      <c r="X123" s="244"/>
      <c r="Y123" s="502">
        <f t="shared" ca="1" si="68"/>
        <v>0</v>
      </c>
      <c r="Z123" s="503">
        <f t="shared" ca="1" si="69"/>
        <v>15.308000000000003</v>
      </c>
      <c r="AA123" s="504">
        <f t="shared" ca="1" si="70"/>
        <v>2.4750000000000282E-2</v>
      </c>
    </row>
    <row r="124" spans="9:27" ht="15.9" customHeight="1">
      <c r="I124" s="670"/>
      <c r="J124" s="52"/>
      <c r="K124" s="52"/>
      <c r="L124" s="52"/>
      <c r="M124" s="52"/>
      <c r="N124" s="52"/>
      <c r="O124" s="52"/>
      <c r="P124" s="52"/>
      <c r="Q124" s="52"/>
      <c r="R124" s="52"/>
      <c r="S124" s="52"/>
      <c r="T124" s="52"/>
      <c r="U124" s="664" t="s">
        <v>46</v>
      </c>
      <c r="V124" s="665"/>
      <c r="W124" s="466">
        <f t="shared" ca="1" si="67"/>
        <v>16.875250000000005</v>
      </c>
      <c r="X124" s="244"/>
      <c r="Y124" s="502">
        <f t="shared" ca="1" si="68"/>
        <v>0</v>
      </c>
      <c r="Z124" s="503">
        <f t="shared" ca="1" si="69"/>
        <v>16.865500000000004</v>
      </c>
      <c r="AA124" s="504">
        <f t="shared" ca="1" si="70"/>
        <v>9.7500000000002827E-3</v>
      </c>
    </row>
    <row r="125" spans="9:27" ht="15.9" customHeight="1" thickBot="1">
      <c r="I125" s="670"/>
      <c r="J125" s="52"/>
      <c r="K125" s="52"/>
      <c r="L125" s="52"/>
      <c r="M125" s="52"/>
      <c r="N125" s="52"/>
      <c r="O125" s="52"/>
      <c r="P125" s="52"/>
      <c r="Q125" s="52"/>
      <c r="R125" s="52"/>
      <c r="S125" s="52"/>
      <c r="T125" s="52"/>
      <c r="U125" s="666" t="s">
        <v>24</v>
      </c>
      <c r="V125" s="667"/>
      <c r="W125" s="466">
        <f t="shared" ca="1" si="67"/>
        <v>17.755500000000005</v>
      </c>
      <c r="X125" s="244"/>
      <c r="Y125" s="505">
        <f t="shared" ca="1" si="68"/>
        <v>0</v>
      </c>
      <c r="Z125" s="506">
        <f t="shared" ca="1" si="69"/>
        <v>17.755500000000005</v>
      </c>
      <c r="AA125" s="507">
        <f t="shared" ca="1" si="70"/>
        <v>2.8102520310824275E-16</v>
      </c>
    </row>
    <row r="126" spans="9:27" ht="15.9" customHeight="1">
      <c r="I126" s="670"/>
      <c r="J126" s="52"/>
      <c r="K126" s="52"/>
      <c r="L126" s="52"/>
      <c r="M126" s="52"/>
      <c r="N126" s="52"/>
      <c r="O126" s="52"/>
      <c r="P126" s="52"/>
      <c r="Q126" s="52"/>
      <c r="R126" s="52"/>
      <c r="S126" s="52"/>
      <c r="T126" s="52"/>
      <c r="U126" s="654" t="s">
        <v>48</v>
      </c>
      <c r="V126" s="655"/>
      <c r="W126" s="658">
        <f ca="1">MAX(W102:W125)</f>
        <v>17.755500000000005</v>
      </c>
      <c r="X126" s="245"/>
      <c r="Y126" s="660">
        <f ca="1">MAX(Y102:Y125)</f>
        <v>0.11119999999999998</v>
      </c>
      <c r="Z126" s="662">
        <f ca="1">MAX(Z102:Z125)</f>
        <v>17.755500000000005</v>
      </c>
      <c r="AA126" s="652">
        <f ca="1">MAX(AA102:AA125)</f>
        <v>0.16350000000000028</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20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algorithmName="SHA-512" hashValue="JQ6HsshFi/ZwztOC+UW7UZeoLl+bjM59SyevgVGu4CwyebTtqrcV+jpBB+UnxkuO37kD4mOvar8zASsLD/vVYg==" saltValue="ixugwlOoAwxppcEy/ji65g==" spinCount="100000"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9" priority="1" stopIfTrue="1">
      <formula>$I34&lt;&gt;""</formula>
    </cfRule>
  </conditionalFormatting>
  <dataValidations count="4">
    <dataValidation type="list" allowBlank="1" showInputMessage="1" showErrorMessage="1" sqref="L8" xr:uid="{00000000-0002-0000-0500-000000000000}">
      <formula1>F9:F10</formula1>
    </dataValidation>
    <dataValidation type="list" allowBlank="1" showInputMessage="1" showErrorMessage="1" sqref="L9:L10" xr:uid="{00000000-0002-0000-0500-000001000000}">
      <formula1>$F$9:$F$10</formula1>
    </dataValidation>
    <dataValidation type="list" allowBlank="1" showInputMessage="1" showErrorMessage="1" sqref="K4:M4" xr:uid="{00000000-0002-0000-0500-000002000000}">
      <formula1>$CL$22:$CL$44</formula1>
    </dataValidation>
    <dataValidation type="list" allowBlank="1" showInputMessage="1" showErrorMessage="1" sqref="K6:M6" xr:uid="{00000000-0002-0000-05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47760"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47760" r:id="rId5" name="Toggle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tabColor indexed="17"/>
  </sheetPr>
  <dimension ref="A1:CM134"/>
  <sheetViews>
    <sheetView showGridLines="0" zoomScaleSheetLayoutView="85" workbookViewId="0">
      <pane xSplit="7" ySplit="1" topLeftCell="H19" activePane="bottomRight" state="frozen"/>
      <selection pane="topRight" activeCell="K4" sqref="K4:M4"/>
      <selection pane="bottomLeft" activeCell="K4" sqref="K4:M4"/>
      <selection pane="bottomRight" activeCell="M29" sqref="M29"/>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9</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93</v>
      </c>
      <c r="G4" s="520">
        <f>IF(AND(K4&lt;&gt;"keine Nutzung",K4&lt;&gt;0,K4&lt;&gt;"")=TRUE,ROW(I17)-(D4),0)</f>
        <v>14</v>
      </c>
      <c r="I4" s="517" t="s">
        <v>85</v>
      </c>
      <c r="K4" s="753" t="s">
        <v>169</v>
      </c>
      <c r="L4" s="754"/>
      <c r="M4" s="755"/>
      <c r="N4" s="27"/>
      <c r="O4" s="72" t="s">
        <v>87</v>
      </c>
      <c r="Q4" s="753"/>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0</v>
      </c>
      <c r="C8" s="50">
        <f ca="1">IF(AND(L8="ja",B8=1)=TRUE,1,0)</f>
        <v>0</v>
      </c>
      <c r="D8" s="50">
        <f t="array" aca="1" ref="D8" ca="1">MAX(IF('NF-Sets'!$B$2:$FJ$38=K8,ROW('NF-Sets'!$B$2:$FJ$38)))</f>
        <v>18</v>
      </c>
      <c r="E8" s="30"/>
      <c r="F8" s="51" t="s">
        <v>94</v>
      </c>
      <c r="G8" s="480"/>
      <c r="I8" s="518" t="s">
        <v>95</v>
      </c>
      <c r="J8" s="39"/>
      <c r="K8" s="40" t="str">
        <f>'NF-Sets'!B18</f>
        <v>Verbundeffekt(e)</v>
      </c>
      <c r="L8" s="756" t="s">
        <v>96</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0</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0</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"&amp;Q4,"05 - keine Nutzung")</f>
        <v xml:space="preserve">Hotel </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50</v>
      </c>
      <c r="C19" s="69">
        <f t="shared" ref="C19:C28" ca="1" si="3">INDIRECT(ADDRESS($D$4+ROW()-ROW($J$17)+1,$F$4+2,,,$B$4))</f>
        <v>150</v>
      </c>
      <c r="D19" s="683" t="str">
        <f t="shared" ref="D19:D27" ca="1" si="4">IF($K$4=$CL$22,"",IF(AND(ISNUMBER(M19)=FALSE,ISNUMBER(B19)=TRUE,ISNUMBER(C19)=TRUE)=TRUE,"FEHLER",IF(OR(M19&lt;B19,M19&gt;C19)=TRUE,"FEHLER","")))</f>
        <v>FEHLER</v>
      </c>
      <c r="E19" s="683"/>
      <c r="F19" s="683"/>
      <c r="G19" s="684"/>
      <c r="H19" s="33"/>
      <c r="I19" s="246" t="s">
        <v>116</v>
      </c>
      <c r="J19" s="250" t="str">
        <f t="shared" ca="1" si="0"/>
        <v xml:space="preserve">Beschäftigte je m² GF </v>
      </c>
      <c r="K19" s="687" t="str">
        <f t="shared" ca="1" si="1"/>
        <v>1 Beschäftigter / 50 - 150  m² GF</v>
      </c>
      <c r="L19" s="687"/>
      <c r="M19" s="251"/>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t="str">
        <f t="shared" ca="1" si="2"/>
        <v>-</v>
      </c>
      <c r="C20" s="69" t="str">
        <f t="shared" ca="1" si="3"/>
        <v>-</v>
      </c>
      <c r="D20" s="683" t="str">
        <f t="shared" ca="1" si="4"/>
        <v>FEHLER</v>
      </c>
      <c r="E20" s="683"/>
      <c r="F20" s="683"/>
      <c r="G20" s="684"/>
      <c r="H20" s="33"/>
      <c r="I20" s="246" t="s">
        <v>120</v>
      </c>
      <c r="J20" s="250" t="str">
        <f t="shared" ca="1" si="0"/>
        <v>Kunden je m² GF</v>
      </c>
      <c r="K20" s="687" t="str">
        <f t="shared" ca="1" si="1"/>
        <v>-</v>
      </c>
      <c r="L20" s="687"/>
      <c r="M20" s="251"/>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4"/>
        <v>FEHLER</v>
      </c>
      <c r="E21" s="683"/>
      <c r="F21" s="683"/>
      <c r="G21" s="684"/>
      <c r="H21" s="33"/>
      <c r="I21" s="246" t="s">
        <v>124</v>
      </c>
      <c r="J21" s="250" t="str">
        <f t="shared" ca="1" si="0"/>
        <v>Wegehäufigkeit je Beschäftigtem</v>
      </c>
      <c r="K21" s="687" t="str">
        <f t="shared" ca="1" si="1"/>
        <v>2 - 3 Wege / Beschäftigter</v>
      </c>
      <c r="L21" s="687"/>
      <c r="M21" s="251"/>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3</v>
      </c>
      <c r="C22" s="69">
        <f t="shared" ca="1" si="3"/>
        <v>15</v>
      </c>
      <c r="D22" s="683" t="str">
        <f t="shared" ca="1" si="4"/>
        <v>FEHLER</v>
      </c>
      <c r="E22" s="683"/>
      <c r="F22" s="683"/>
      <c r="G22" s="684"/>
      <c r="H22" s="33"/>
      <c r="I22" s="246" t="s">
        <v>134</v>
      </c>
      <c r="J22" s="250" t="str">
        <f t="shared" ca="1" si="0"/>
        <v>Wegehäufigkeit je Kunde</v>
      </c>
      <c r="K22" s="687" t="str">
        <f t="shared" ca="1" si="1"/>
        <v>3 - 15 Wege / Beschäftigter</v>
      </c>
      <c r="L22" s="687"/>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4"/>
        <v>FEHLER</v>
      </c>
      <c r="E23" s="683"/>
      <c r="F23" s="683"/>
      <c r="G23" s="684"/>
      <c r="H23" s="33"/>
      <c r="I23" s="246" t="s">
        <v>140</v>
      </c>
      <c r="J23" s="250" t="str">
        <f t="shared" ca="1" si="0"/>
        <v>MIV-Anteil bei den Beschäftigten</v>
      </c>
      <c r="K23" s="687" t="str">
        <f t="shared" ca="1" si="1"/>
        <v>0,3 - 0,9 MIV-Nutzer / Beschäftigter</v>
      </c>
      <c r="L23" s="687"/>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0.75</v>
      </c>
      <c r="C24" s="69">
        <f t="shared" ca="1" si="3"/>
        <v>0.95</v>
      </c>
      <c r="D24" s="683" t="str">
        <f t="shared" ca="1" si="4"/>
        <v>FEHLER</v>
      </c>
      <c r="E24" s="683"/>
      <c r="F24" s="683"/>
      <c r="G24" s="684"/>
      <c r="H24" s="33"/>
      <c r="I24" s="246" t="s">
        <v>141</v>
      </c>
      <c r="J24" s="250" t="str">
        <f t="shared" ca="1" si="0"/>
        <v>MIV-Anteil  bei den Kunden</v>
      </c>
      <c r="K24" s="687" t="str">
        <f t="shared" ca="1" si="1"/>
        <v>0,75 - 0,95 MIV-Nutzer / Kunde</v>
      </c>
      <c r="L24" s="687"/>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4"/>
        <v>FEHLER</v>
      </c>
      <c r="E25" s="683"/>
      <c r="F25" s="683"/>
      <c r="G25" s="684"/>
      <c r="H25" s="33"/>
      <c r="I25" s="246" t="s">
        <v>142</v>
      </c>
      <c r="J25" s="250" t="str">
        <f t="shared" ca="1" si="0"/>
        <v>Kfz-Besetzungsgrad Beschäftigte</v>
      </c>
      <c r="K25" s="687" t="str">
        <f t="shared" ca="1" si="1"/>
        <v>1,1 Beschäftigte(r) / Kfz</v>
      </c>
      <c r="L25" s="687"/>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1.1000000000000001</v>
      </c>
      <c r="C26" s="69">
        <f t="shared" ca="1" si="3"/>
        <v>1.1000000000000001</v>
      </c>
      <c r="D26" s="683" t="str">
        <f t="shared" ca="1" si="4"/>
        <v>FEHLER</v>
      </c>
      <c r="E26" s="683"/>
      <c r="F26" s="683"/>
      <c r="G26" s="684"/>
      <c r="H26" s="33"/>
      <c r="I26" s="246" t="s">
        <v>143</v>
      </c>
      <c r="J26" s="250" t="str">
        <f t="shared" ca="1" si="0"/>
        <v>Kfz-Besetzungsgrad Kunden</v>
      </c>
      <c r="K26" s="687" t="str">
        <f t="shared" ca="1" si="1"/>
        <v>1,1 Kunde(n) / Kfz</v>
      </c>
      <c r="L26" s="687"/>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0.4</v>
      </c>
      <c r="C27" s="69">
        <f t="shared" ca="1" si="3"/>
        <v>0.6</v>
      </c>
      <c r="D27" s="683" t="str">
        <f t="shared" ca="1" si="4"/>
        <v>FEHLER</v>
      </c>
      <c r="E27" s="683"/>
      <c r="F27" s="683"/>
      <c r="G27" s="684"/>
      <c r="H27" s="33"/>
      <c r="I27" s="258" t="s">
        <v>144</v>
      </c>
      <c r="J27" s="265" t="str">
        <f t="shared" ca="1" si="0"/>
        <v>Wirtschaftsfahrten je Beschäftigtem</v>
      </c>
      <c r="K27" s="733" t="str">
        <f t="shared" ca="1" si="1"/>
        <v>0,4 - 0,6 Fahrten / Beschäftigter</v>
      </c>
      <c r="L27" s="733"/>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1</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a/b*j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 xml:space="preserve">Hotel </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 xml:space="preserve">Hotel </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8" priority="1" stopIfTrue="1">
      <formula>$I34&lt;&gt;""</formula>
    </cfRule>
  </conditionalFormatting>
  <dataValidations disablePrompts="1" count="4">
    <dataValidation type="list" allowBlank="1" showInputMessage="1" showErrorMessage="1" sqref="L8" xr:uid="{00000000-0002-0000-0600-000000000000}">
      <formula1>F9:F10</formula1>
    </dataValidation>
    <dataValidation type="list" allowBlank="1" showInputMessage="1" showErrorMessage="1" sqref="L9:L10" xr:uid="{00000000-0002-0000-0600-000001000000}">
      <formula1>$F$9:$F$10</formula1>
    </dataValidation>
    <dataValidation type="list" allowBlank="1" showInputMessage="1" showErrorMessage="1" sqref="K4:M4" xr:uid="{00000000-0002-0000-0600-000002000000}">
      <formula1>$CL$22:$CL$44</formula1>
    </dataValidation>
    <dataValidation type="list" allowBlank="1" showInputMessage="1" showErrorMessage="1" sqref="K6:M6" xr:uid="{00000000-0002-0000-06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54927"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54927" r:id="rId5" name="Toggle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tabColor indexed="17"/>
  </sheetPr>
  <dimension ref="A1:CM134"/>
  <sheetViews>
    <sheetView showGridLines="0" zoomScaleSheetLayoutView="85" workbookViewId="0">
      <pane xSplit="7" ySplit="1" topLeftCell="H5"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5</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3</v>
      </c>
      <c r="E4" s="31" t="s">
        <v>84</v>
      </c>
      <c r="F4" s="71">
        <f t="array" ref="F4">IF(AND(K4&lt;&gt;"keine Nutzung gewählt",K4&lt;&gt;0,K4&lt;&gt;"")=TRUE,MAX(IF('NF-Sets'!B2:HO26=K4,COLUMN('NF-Sets'!B2:HO26))),99)</f>
        <v>73</v>
      </c>
      <c r="G4" s="520">
        <f>IF(AND(K4&lt;&gt;"keine Nutzung",K4&lt;&gt;0,K4&lt;&gt;"")=TRUE,ROW(I17)-(D4),0)</f>
        <v>14</v>
      </c>
      <c r="I4" s="517" t="s">
        <v>85</v>
      </c>
      <c r="K4" s="753" t="s">
        <v>170</v>
      </c>
      <c r="L4" s="754"/>
      <c r="M4" s="755"/>
      <c r="N4" s="27"/>
      <c r="O4" s="72" t="s">
        <v>87</v>
      </c>
      <c r="Q4" s="753" t="s">
        <v>171</v>
      </c>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keine Angaben</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0</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2</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"&amp;Q4,"07 - keine Nutzung")</f>
        <v>Fitnesscenter A</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t="str">
        <f t="shared" ref="J18:J27" ca="1" si="0">INDIRECT(ADDRESS($D$4+ROW()-ROW($I$17)+1,$F$4-1,,,$B$4))</f>
        <v>Geschossfläche (GF)</v>
      </c>
      <c r="K18" s="726" t="str">
        <f t="shared" ref="K18:K27" ca="1" si="1">INDIRECT(ADDRESS($D$4+ROW()-ROW($J$17)+1,$F$4,,,$B$4))</f>
        <v>m²</v>
      </c>
      <c r="L18" s="726"/>
      <c r="M18" s="264">
        <v>550</v>
      </c>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125</v>
      </c>
      <c r="C19" s="69">
        <f t="shared" ref="C19:C28" ca="1" si="3">INDIRECT(ADDRESS($D$4+ROW()-ROW($J$17)+1,$F$4+2,,,$B$4))</f>
        <v>125</v>
      </c>
      <c r="D19" s="683" t="str">
        <f t="shared" ref="D19:D27" ca="1" si="4">IF($K$4=$CL$22,"",IF(AND(ISNUMBER(M19)=FALSE,ISNUMBER(B19)=TRUE,ISNUMBER(C19)=TRUE)=TRUE,"FEHLER",IF(OR(M19&lt;B19,M19&gt;C19)=TRUE,"FEHLER","")))</f>
        <v>FEHLER</v>
      </c>
      <c r="E19" s="683"/>
      <c r="F19" s="683"/>
      <c r="G19" s="684"/>
      <c r="H19" s="33"/>
      <c r="I19" s="246" t="s">
        <v>116</v>
      </c>
      <c r="J19" s="250" t="str">
        <f t="shared" ca="1" si="0"/>
        <v xml:space="preserve">Beschäftigte je m² GF </v>
      </c>
      <c r="K19" s="687" t="str">
        <f t="shared" ca="1" si="1"/>
        <v>1 Beschäftigter / 125  m² GF</v>
      </c>
      <c r="L19" s="687"/>
      <c r="M19" s="251">
        <v>60</v>
      </c>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ca="1" si="2"/>
        <v>0.15</v>
      </c>
      <c r="C20" s="69">
        <f t="shared" ca="1" si="3"/>
        <v>0.3</v>
      </c>
      <c r="D20" s="683" t="str">
        <f t="shared" ca="1" si="4"/>
        <v>FEHLER</v>
      </c>
      <c r="E20" s="683"/>
      <c r="F20" s="683"/>
      <c r="G20" s="684"/>
      <c r="H20" s="33"/>
      <c r="I20" s="246" t="s">
        <v>120</v>
      </c>
      <c r="J20" s="250" t="str">
        <f t="shared" ca="1" si="0"/>
        <v>Kunden je m² GF</v>
      </c>
      <c r="K20" s="687" t="str">
        <f t="shared" ca="1" si="1"/>
        <v>0,15 - 0,3  Kunden / 1 m² GF</v>
      </c>
      <c r="L20" s="687"/>
      <c r="M20" s="251">
        <v>1</v>
      </c>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2</v>
      </c>
      <c r="C21" s="69">
        <f t="shared" ca="1" si="3"/>
        <v>3</v>
      </c>
      <c r="D21" s="683" t="str">
        <f t="shared" ca="1" si="4"/>
        <v/>
      </c>
      <c r="E21" s="683"/>
      <c r="F21" s="683"/>
      <c r="G21" s="684"/>
      <c r="H21" s="33"/>
      <c r="I21" s="246" t="s">
        <v>124</v>
      </c>
      <c r="J21" s="250" t="str">
        <f t="shared" ca="1" si="0"/>
        <v>Wegehäufigkeit je Beschäftigtem</v>
      </c>
      <c r="K21" s="687" t="str">
        <f t="shared" ca="1" si="1"/>
        <v>2 - 3 Wege / Beschäftigter</v>
      </c>
      <c r="L21" s="687"/>
      <c r="M21" s="251">
        <v>2.5</v>
      </c>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2</v>
      </c>
      <c r="C22" s="69">
        <f t="shared" ca="1" si="3"/>
        <v>4</v>
      </c>
      <c r="D22" s="683" t="str">
        <f t="shared" ca="1" si="4"/>
        <v/>
      </c>
      <c r="E22" s="683"/>
      <c r="F22" s="683"/>
      <c r="G22" s="684"/>
      <c r="H22" s="33"/>
      <c r="I22" s="246" t="s">
        <v>134</v>
      </c>
      <c r="J22" s="250" t="str">
        <f t="shared" ca="1" si="0"/>
        <v>Wegehäufigkeit je Kunde</v>
      </c>
      <c r="K22" s="687" t="str">
        <f t="shared" ca="1" si="1"/>
        <v>2 - 4 Wege / Kunde</v>
      </c>
      <c r="L22" s="687"/>
      <c r="M22" s="251">
        <v>2</v>
      </c>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0.3</v>
      </c>
      <c r="C23" s="69">
        <f t="shared" ca="1" si="3"/>
        <v>0.9</v>
      </c>
      <c r="D23" s="683" t="str">
        <f t="shared" ca="1" si="4"/>
        <v>FEHLER</v>
      </c>
      <c r="E23" s="683"/>
      <c r="F23" s="683"/>
      <c r="G23" s="684"/>
      <c r="H23" s="33"/>
      <c r="I23" s="246" t="s">
        <v>140</v>
      </c>
      <c r="J23" s="250" t="str">
        <f t="shared" ca="1" si="0"/>
        <v>MIV-Anteil bei den Beschäftigten</v>
      </c>
      <c r="K23" s="687" t="str">
        <f t="shared" ca="1" si="1"/>
        <v>0,3 - 0,9 MIV-Nutzer / Beschäftigter</v>
      </c>
      <c r="L23" s="687"/>
      <c r="M23" s="251">
        <v>1</v>
      </c>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0.6</v>
      </c>
      <c r="C24" s="69">
        <f t="shared" ca="1" si="3"/>
        <v>1</v>
      </c>
      <c r="D24" s="683" t="str">
        <f t="shared" ca="1" si="4"/>
        <v/>
      </c>
      <c r="E24" s="683"/>
      <c r="F24" s="683"/>
      <c r="G24" s="684"/>
      <c r="H24" s="33"/>
      <c r="I24" s="246" t="s">
        <v>141</v>
      </c>
      <c r="J24" s="250" t="str">
        <f t="shared" ca="1" si="0"/>
        <v>MIV-Anteil  bei den Kunden</v>
      </c>
      <c r="K24" s="687" t="str">
        <f t="shared" ca="1" si="1"/>
        <v>0,6 - 1 MIV-Nutzer / Kunde</v>
      </c>
      <c r="L24" s="687"/>
      <c r="M24" s="251">
        <v>1</v>
      </c>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1.1000000000000001</v>
      </c>
      <c r="C25" s="69">
        <f t="shared" ca="1" si="3"/>
        <v>1.1000000000000001</v>
      </c>
      <c r="D25" s="683" t="str">
        <f t="shared" ca="1" si="4"/>
        <v>FEHLER</v>
      </c>
      <c r="E25" s="683"/>
      <c r="F25" s="683"/>
      <c r="G25" s="684"/>
      <c r="H25" s="33"/>
      <c r="I25" s="246" t="s">
        <v>142</v>
      </c>
      <c r="J25" s="250" t="str">
        <f t="shared" ca="1" si="0"/>
        <v>Kfz-Besetzungsgrad Beschäftigte</v>
      </c>
      <c r="K25" s="687" t="str">
        <f t="shared" ca="1" si="1"/>
        <v>1,1 Beschäftigte(r) / Kfz</v>
      </c>
      <c r="L25" s="687"/>
      <c r="M25" s="251">
        <v>1</v>
      </c>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1</v>
      </c>
      <c r="C26" s="69">
        <f t="shared" ca="1" si="3"/>
        <v>1.2</v>
      </c>
      <c r="D26" s="683" t="str">
        <f t="shared" ca="1" si="4"/>
        <v/>
      </c>
      <c r="E26" s="683"/>
      <c r="F26" s="683"/>
      <c r="G26" s="684"/>
      <c r="H26" s="33"/>
      <c r="I26" s="246" t="s">
        <v>143</v>
      </c>
      <c r="J26" s="250" t="str">
        <f t="shared" ca="1" si="0"/>
        <v>Kfz-Besetzungsgrad Kunden</v>
      </c>
      <c r="K26" s="687" t="str">
        <f t="shared" ca="1" si="1"/>
        <v>1 - 1,2 Kunde(n) / Kfz</v>
      </c>
      <c r="L26" s="687"/>
      <c r="M26" s="251">
        <v>1</v>
      </c>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0.05</v>
      </c>
      <c r="C27" s="69">
        <f t="shared" ca="1" si="3"/>
        <v>0.1</v>
      </c>
      <c r="D27" s="683" t="str">
        <f t="shared" ca="1" si="4"/>
        <v>FEHLER</v>
      </c>
      <c r="E27" s="683"/>
      <c r="F27" s="683"/>
      <c r="G27" s="684"/>
      <c r="H27" s="33"/>
      <c r="I27" s="258" t="s">
        <v>144</v>
      </c>
      <c r="J27" s="265" t="str">
        <f t="shared" ca="1" si="0"/>
        <v>Wirtschaftsfahrten je GF</v>
      </c>
      <c r="K27" s="733" t="str">
        <f t="shared" ca="1" si="1"/>
        <v>0,05 - 0,1 Fahrten / 100 m² GF</v>
      </c>
      <c r="L27" s="733"/>
      <c r="M27" s="266">
        <v>2</v>
      </c>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a/b*d*f/h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23</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1100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11</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1134</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Fitnesscenter A</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Fitnesscenter A</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algorithmName="SHA-512" hashValue="tTrgpjdesKwbhTk2KiMEhSezWLssFipLfaN3mxyC/AAhodICv1mQsKEluwEVvFdUEvMOFonreS5KDd8v+d+OFg==" saltValue="mV1/oixnyNdhmZMGvmJYyg==" spinCount="100000"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7" priority="1" stopIfTrue="1">
      <formula>$I34&lt;&gt;""</formula>
    </cfRule>
  </conditionalFormatting>
  <dataValidations count="4">
    <dataValidation type="list" allowBlank="1" showInputMessage="1" showErrorMessage="1" sqref="L8" xr:uid="{00000000-0002-0000-0800-000000000000}">
      <formula1>F9:F10</formula1>
    </dataValidation>
    <dataValidation type="list" allowBlank="1" showInputMessage="1" showErrorMessage="1" sqref="L9:L10" xr:uid="{00000000-0002-0000-0800-000001000000}">
      <formula1>$F$9:$F$10</formula1>
    </dataValidation>
    <dataValidation type="list" allowBlank="1" showInputMessage="1" showErrorMessage="1" sqref="K4:M4" xr:uid="{00000000-0002-0000-0800-000002000000}">
      <formula1>$CL$22:$CL$44</formula1>
    </dataValidation>
    <dataValidation type="list" allowBlank="1" showInputMessage="1" showErrorMessage="1" sqref="K6:M6" xr:uid="{00000000-0002-0000-08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69263"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69263" r:id="rId5" name="Toggle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tabColor indexed="17"/>
  </sheetPr>
  <dimension ref="A1:CM134"/>
  <sheetViews>
    <sheetView showGridLines="0" zoomScaleSheetLayoutView="85" workbookViewId="0">
      <pane xSplit="7" ySplit="1" topLeftCell="H3"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3" t="s">
        <v>139</v>
      </c>
      <c r="L4" s="754"/>
      <c r="M4" s="755"/>
      <c r="N4" s="27"/>
      <c r="O4" s="72" t="s">
        <v>87</v>
      </c>
      <c r="Q4" s="753" t="s">
        <v>172</v>
      </c>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"&amp;Q4,"08 - keine Nutzung")</f>
        <v>08 - keine Nutzung</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26">
        <f t="shared" ref="K18:K27" ca="1" si="1">INDIRECT(ADDRESS($D$4+ROW()-ROW($J$17)+1,$F$4,,,$B$4))</f>
        <v>0</v>
      </c>
      <c r="L18" s="726"/>
      <c r="M18" s="264"/>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683" t="str">
        <f t="shared" ref="D19:D27" si="4">IF($K$4=$CL$22,"",IF(AND(ISNUMBER(M19)=FALSE,ISNUMBER(B19)=TRUE,ISNUMBER(C19)=TRUE)=TRUE,"FEHLER",IF(OR(M19&lt;B19,M19&gt;C19)=TRUE,"FEHLER","")))</f>
        <v/>
      </c>
      <c r="E19" s="683"/>
      <c r="F19" s="683"/>
      <c r="G19" s="684"/>
      <c r="H19" s="33"/>
      <c r="I19" s="246" t="s">
        <v>116</v>
      </c>
      <c r="J19" s="250">
        <f t="shared" ca="1" si="0"/>
        <v>0</v>
      </c>
      <c r="K19" s="687">
        <f t="shared" ca="1" si="1"/>
        <v>0</v>
      </c>
      <c r="L19" s="687"/>
      <c r="M19" s="251"/>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ca="1" si="2"/>
        <v>0</v>
      </c>
      <c r="C20" s="69">
        <f t="shared" ca="1" si="3"/>
        <v>0</v>
      </c>
      <c r="D20" s="683" t="str">
        <f t="shared" si="4"/>
        <v/>
      </c>
      <c r="E20" s="683"/>
      <c r="F20" s="683"/>
      <c r="G20" s="684"/>
      <c r="H20" s="33"/>
      <c r="I20" s="246" t="s">
        <v>120</v>
      </c>
      <c r="J20" s="250">
        <f t="shared" ca="1" si="0"/>
        <v>0</v>
      </c>
      <c r="K20" s="687">
        <f t="shared" ca="1" si="1"/>
        <v>0</v>
      </c>
      <c r="L20" s="687"/>
      <c r="M20" s="251"/>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0</v>
      </c>
      <c r="C21" s="69">
        <f t="shared" ca="1" si="3"/>
        <v>0</v>
      </c>
      <c r="D21" s="683" t="str">
        <f t="shared" si="4"/>
        <v/>
      </c>
      <c r="E21" s="683"/>
      <c r="F21" s="683"/>
      <c r="G21" s="684"/>
      <c r="H21" s="33"/>
      <c r="I21" s="246" t="s">
        <v>124</v>
      </c>
      <c r="J21" s="250">
        <f t="shared" ca="1" si="0"/>
        <v>0</v>
      </c>
      <c r="K21" s="687">
        <f t="shared" ca="1" si="1"/>
        <v>0</v>
      </c>
      <c r="L21" s="687"/>
      <c r="M21" s="251"/>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683" t="str">
        <f t="shared" si="4"/>
        <v/>
      </c>
      <c r="E22" s="683"/>
      <c r="F22" s="683"/>
      <c r="G22" s="684"/>
      <c r="H22" s="33"/>
      <c r="I22" s="246" t="s">
        <v>134</v>
      </c>
      <c r="J22" s="250">
        <f t="shared" ca="1" si="0"/>
        <v>0</v>
      </c>
      <c r="K22" s="687">
        <f t="shared" ca="1" si="1"/>
        <v>0</v>
      </c>
      <c r="L22" s="687"/>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683" t="str">
        <f t="shared" si="4"/>
        <v/>
      </c>
      <c r="E23" s="683"/>
      <c r="F23" s="683"/>
      <c r="G23" s="684"/>
      <c r="H23" s="33"/>
      <c r="I23" s="246" t="s">
        <v>140</v>
      </c>
      <c r="J23" s="250">
        <f t="shared" ca="1" si="0"/>
        <v>0</v>
      </c>
      <c r="K23" s="687">
        <f t="shared" ca="1" si="1"/>
        <v>0</v>
      </c>
      <c r="L23" s="687"/>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683" t="str">
        <f t="shared" si="4"/>
        <v/>
      </c>
      <c r="E24" s="683"/>
      <c r="F24" s="683"/>
      <c r="G24" s="684"/>
      <c r="H24" s="33"/>
      <c r="I24" s="246" t="s">
        <v>141</v>
      </c>
      <c r="J24" s="250">
        <f t="shared" ca="1" si="0"/>
        <v>0</v>
      </c>
      <c r="K24" s="687">
        <f t="shared" ca="1" si="1"/>
        <v>0</v>
      </c>
      <c r="L24" s="687"/>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683" t="str">
        <f t="shared" si="4"/>
        <v/>
      </c>
      <c r="E25" s="683"/>
      <c r="F25" s="683"/>
      <c r="G25" s="684"/>
      <c r="H25" s="33"/>
      <c r="I25" s="246" t="s">
        <v>142</v>
      </c>
      <c r="J25" s="250">
        <f t="shared" ca="1" si="0"/>
        <v>0</v>
      </c>
      <c r="K25" s="687">
        <f t="shared" ca="1" si="1"/>
        <v>0</v>
      </c>
      <c r="L25" s="687"/>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683" t="str">
        <f t="shared" si="4"/>
        <v/>
      </c>
      <c r="E26" s="683"/>
      <c r="F26" s="683"/>
      <c r="G26" s="684"/>
      <c r="H26" s="33"/>
      <c r="I26" s="246" t="s">
        <v>143</v>
      </c>
      <c r="J26" s="250">
        <f t="shared" ca="1" si="0"/>
        <v>0</v>
      </c>
      <c r="K26" s="687">
        <f t="shared" ca="1" si="1"/>
        <v>0</v>
      </c>
      <c r="L26" s="687"/>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683" t="str">
        <f t="shared" si="4"/>
        <v/>
      </c>
      <c r="E27" s="683"/>
      <c r="F27" s="683"/>
      <c r="G27" s="684"/>
      <c r="H27" s="33"/>
      <c r="I27" s="258" t="s">
        <v>144</v>
      </c>
      <c r="J27" s="265">
        <f t="shared" ca="1" si="0"/>
        <v>0</v>
      </c>
      <c r="K27" s="733">
        <f t="shared" ca="1" si="1"/>
        <v>0</v>
      </c>
      <c r="L27" s="733"/>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08 - keine Nutzung</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08 - keine Nutzung</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password="C957"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6" priority="1" stopIfTrue="1">
      <formula>$I34&lt;&gt;""</formula>
    </cfRule>
  </conditionalFormatting>
  <dataValidations count="4">
    <dataValidation type="list" allowBlank="1" showInputMessage="1" showErrorMessage="1" sqref="L8" xr:uid="{00000000-0002-0000-0900-000000000000}">
      <formula1>F9:F10</formula1>
    </dataValidation>
    <dataValidation type="list" allowBlank="1" showInputMessage="1" showErrorMessage="1" sqref="L9:L10" xr:uid="{00000000-0002-0000-0900-000001000000}">
      <formula1>$F$9:$F$10</formula1>
    </dataValidation>
    <dataValidation type="list" allowBlank="1" showInputMessage="1" showErrorMessage="1" sqref="K4:M4" xr:uid="{00000000-0002-0000-0900-000002000000}">
      <formula1>$CL$22:$CL$44</formula1>
    </dataValidation>
    <dataValidation type="list" allowBlank="1" showInputMessage="1" showErrorMessage="1" sqref="K6:M6" xr:uid="{00000000-0002-0000-09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76431"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76431" r:id="rId5" name="Toggle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tabColor indexed="17"/>
  </sheetPr>
  <dimension ref="A1:CM134"/>
  <sheetViews>
    <sheetView showGridLines="0" zoomScaleSheetLayoutView="85" workbookViewId="0">
      <pane xSplit="7" ySplit="1" topLeftCell="Q3" activePane="bottomRight" state="frozen"/>
      <selection pane="topRight" activeCell="K4" sqref="K4:M4"/>
      <selection pane="bottomLeft" activeCell="K4" sqref="K4:M4"/>
      <selection pane="bottomRight" activeCell="Q4" sqref="Q4:S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3" t="s">
        <v>139</v>
      </c>
      <c r="L4" s="754"/>
      <c r="M4" s="755"/>
      <c r="N4" s="27"/>
      <c r="O4" s="72" t="s">
        <v>87</v>
      </c>
      <c r="Q4" s="753"/>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"&amp;Q4,"09 - keine Nutzung")</f>
        <v>09 - keine Nutzung</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26">
        <f t="shared" ref="K18:K27" ca="1" si="1">INDIRECT(ADDRESS($D$4+ROW()-ROW($J$17)+1,$F$4,,,$B$4))</f>
        <v>0</v>
      </c>
      <c r="L18" s="726"/>
      <c r="M18" s="264"/>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683" t="str">
        <f t="shared" ref="D19:D27" si="4">IF($K$4=$CL$22,"",IF(AND(ISNUMBER(M19)=FALSE,ISNUMBER(B19)=TRUE,ISNUMBER(C19)=TRUE)=TRUE,"FEHLER",IF(OR(M19&lt;B19,M19&gt;C19)=TRUE,"FEHLER","")))</f>
        <v/>
      </c>
      <c r="E19" s="683"/>
      <c r="F19" s="683"/>
      <c r="G19" s="684"/>
      <c r="H19" s="33"/>
      <c r="I19" s="246" t="s">
        <v>116</v>
      </c>
      <c r="J19" s="250">
        <f t="shared" ca="1" si="0"/>
        <v>0</v>
      </c>
      <c r="K19" s="687">
        <f t="shared" ca="1" si="1"/>
        <v>0</v>
      </c>
      <c r="L19" s="687"/>
      <c r="M19" s="251"/>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ca="1" si="2"/>
        <v>0</v>
      </c>
      <c r="C20" s="69">
        <f t="shared" ca="1" si="3"/>
        <v>0</v>
      </c>
      <c r="D20" s="683" t="str">
        <f t="shared" si="4"/>
        <v/>
      </c>
      <c r="E20" s="683"/>
      <c r="F20" s="683"/>
      <c r="G20" s="684"/>
      <c r="H20" s="33"/>
      <c r="I20" s="246" t="s">
        <v>120</v>
      </c>
      <c r="J20" s="250">
        <f t="shared" ca="1" si="0"/>
        <v>0</v>
      </c>
      <c r="K20" s="687">
        <f t="shared" ca="1" si="1"/>
        <v>0</v>
      </c>
      <c r="L20" s="687"/>
      <c r="M20" s="251"/>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0</v>
      </c>
      <c r="C21" s="69">
        <f t="shared" ca="1" si="3"/>
        <v>0</v>
      </c>
      <c r="D21" s="683" t="str">
        <f t="shared" si="4"/>
        <v/>
      </c>
      <c r="E21" s="683"/>
      <c r="F21" s="683"/>
      <c r="G21" s="684"/>
      <c r="H21" s="33"/>
      <c r="I21" s="246" t="s">
        <v>124</v>
      </c>
      <c r="J21" s="250">
        <f t="shared" ca="1" si="0"/>
        <v>0</v>
      </c>
      <c r="K21" s="687">
        <f t="shared" ca="1" si="1"/>
        <v>0</v>
      </c>
      <c r="L21" s="687"/>
      <c r="M21" s="251"/>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683" t="str">
        <f t="shared" si="4"/>
        <v/>
      </c>
      <c r="E22" s="683"/>
      <c r="F22" s="683"/>
      <c r="G22" s="684"/>
      <c r="H22" s="33"/>
      <c r="I22" s="246" t="s">
        <v>134</v>
      </c>
      <c r="J22" s="250">
        <f t="shared" ca="1" si="0"/>
        <v>0</v>
      </c>
      <c r="K22" s="687">
        <f t="shared" ca="1" si="1"/>
        <v>0</v>
      </c>
      <c r="L22" s="687"/>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683" t="str">
        <f t="shared" si="4"/>
        <v/>
      </c>
      <c r="E23" s="683"/>
      <c r="F23" s="683"/>
      <c r="G23" s="684"/>
      <c r="H23" s="33"/>
      <c r="I23" s="246" t="s">
        <v>140</v>
      </c>
      <c r="J23" s="250">
        <f t="shared" ca="1" si="0"/>
        <v>0</v>
      </c>
      <c r="K23" s="687">
        <f t="shared" ca="1" si="1"/>
        <v>0</v>
      </c>
      <c r="L23" s="687"/>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683" t="str">
        <f t="shared" si="4"/>
        <v/>
      </c>
      <c r="E24" s="683"/>
      <c r="F24" s="683"/>
      <c r="G24" s="684"/>
      <c r="H24" s="33"/>
      <c r="I24" s="246" t="s">
        <v>141</v>
      </c>
      <c r="J24" s="250">
        <f t="shared" ca="1" si="0"/>
        <v>0</v>
      </c>
      <c r="K24" s="687">
        <f t="shared" ca="1" si="1"/>
        <v>0</v>
      </c>
      <c r="L24" s="687"/>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6"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683" t="str">
        <f t="shared" si="4"/>
        <v/>
      </c>
      <c r="E25" s="683"/>
      <c r="F25" s="683"/>
      <c r="G25" s="684"/>
      <c r="H25" s="33"/>
      <c r="I25" s="246" t="s">
        <v>142</v>
      </c>
      <c r="J25" s="250">
        <f t="shared" ca="1" si="0"/>
        <v>0</v>
      </c>
      <c r="K25" s="687">
        <f t="shared" ca="1" si="1"/>
        <v>0</v>
      </c>
      <c r="L25" s="687"/>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683" t="str">
        <f t="shared" si="4"/>
        <v/>
      </c>
      <c r="E26" s="683"/>
      <c r="F26" s="683"/>
      <c r="G26" s="684"/>
      <c r="H26" s="33"/>
      <c r="I26" s="246" t="s">
        <v>143</v>
      </c>
      <c r="J26" s="250">
        <f t="shared" ca="1" si="0"/>
        <v>0</v>
      </c>
      <c r="K26" s="687">
        <f t="shared" ca="1" si="1"/>
        <v>0</v>
      </c>
      <c r="L26" s="687"/>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683" t="str">
        <f t="shared" si="4"/>
        <v/>
      </c>
      <c r="E27" s="683"/>
      <c r="F27" s="683"/>
      <c r="G27" s="684"/>
      <c r="H27" s="33"/>
      <c r="I27" s="258" t="s">
        <v>144</v>
      </c>
      <c r="J27" s="265">
        <f t="shared" ca="1" si="0"/>
        <v>0</v>
      </c>
      <c r="K27" s="733">
        <f t="shared" ca="1" si="1"/>
        <v>0</v>
      </c>
      <c r="L27" s="733"/>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t="shared" ca="1" si="59"/>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09 - keine Nutzung</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09 - keine Nutzung</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password="C957" sheet="1" objects="1" scenarios="1" selectLockedCells="1"/>
  <mergeCells count="141">
    <mergeCell ref="AC2:AL2"/>
    <mergeCell ref="AC13:AL13"/>
    <mergeCell ref="S6:AA7"/>
    <mergeCell ref="L9:M9"/>
    <mergeCell ref="L10:M10"/>
    <mergeCell ref="AL18:AW18"/>
    <mergeCell ref="AL19:AT19"/>
    <mergeCell ref="AU19:AW19"/>
    <mergeCell ref="U129:AA133"/>
    <mergeCell ref="Q4:S4"/>
    <mergeCell ref="Z96:Z101"/>
    <mergeCell ref="AA96:AA101"/>
    <mergeCell ref="J96:S100"/>
    <mergeCell ref="U96:V101"/>
    <mergeCell ref="W96:W101"/>
    <mergeCell ref="U109:V109"/>
    <mergeCell ref="U113:V113"/>
    <mergeCell ref="U114:V114"/>
    <mergeCell ref="U115:V115"/>
    <mergeCell ref="AO20:AQ20"/>
    <mergeCell ref="AL20:AN20"/>
    <mergeCell ref="AE18:AJ19"/>
    <mergeCell ref="AR20:AT20"/>
    <mergeCell ref="AI20:AJ20"/>
    <mergeCell ref="AE20:AF20"/>
    <mergeCell ref="AG20:AH20"/>
    <mergeCell ref="I101:I126"/>
    <mergeCell ref="I15:AA15"/>
    <mergeCell ref="K4:M4"/>
    <mergeCell ref="L8:M8"/>
    <mergeCell ref="Y49:AA49"/>
    <mergeCell ref="I16:M16"/>
    <mergeCell ref="Q17:S18"/>
    <mergeCell ref="K26:L26"/>
    <mergeCell ref="Z50:AA50"/>
    <mergeCell ref="O16:AA16"/>
    <mergeCell ref="Z14:AA14"/>
    <mergeCell ref="I93:AA93"/>
    <mergeCell ref="I34:M34"/>
    <mergeCell ref="J33:K33"/>
    <mergeCell ref="U102:V102"/>
    <mergeCell ref="U106:V106"/>
    <mergeCell ref="U107:V107"/>
    <mergeCell ref="U108:V108"/>
    <mergeCell ref="U103:V103"/>
    <mergeCell ref="U104:V104"/>
    <mergeCell ref="U105:V105"/>
    <mergeCell ref="U116:V116"/>
    <mergeCell ref="Y96:Y101"/>
    <mergeCell ref="K6:M6"/>
    <mergeCell ref="B2:G2"/>
    <mergeCell ref="S8:AA10"/>
    <mergeCell ref="B17:C17"/>
    <mergeCell ref="K29:L29"/>
    <mergeCell ref="K18:L18"/>
    <mergeCell ref="K23:L23"/>
    <mergeCell ref="D23:G23"/>
    <mergeCell ref="D26:G26"/>
    <mergeCell ref="D20:G20"/>
    <mergeCell ref="D25:G25"/>
    <mergeCell ref="Q6:R7"/>
    <mergeCell ref="Q8:R10"/>
    <mergeCell ref="K27:L27"/>
    <mergeCell ref="D21:G21"/>
    <mergeCell ref="K22:L22"/>
    <mergeCell ref="D19:G19"/>
    <mergeCell ref="U17:W18"/>
    <mergeCell ref="K21:L21"/>
    <mergeCell ref="U19:W21"/>
    <mergeCell ref="Q19:S21"/>
    <mergeCell ref="Y19:AA21"/>
    <mergeCell ref="Y17:AA18"/>
    <mergeCell ref="I2:M2"/>
    <mergeCell ref="O2:AA2"/>
    <mergeCell ref="AY18:BJ18"/>
    <mergeCell ref="BY18:CB18"/>
    <mergeCell ref="BL20:BN20"/>
    <mergeCell ref="AY20:BA20"/>
    <mergeCell ref="BE20:BG20"/>
    <mergeCell ref="BB20:BD20"/>
    <mergeCell ref="BL18:BW18"/>
    <mergeCell ref="CB19:CB20"/>
    <mergeCell ref="BY19:BY20"/>
    <mergeCell ref="BZ19:BZ20"/>
    <mergeCell ref="CA19:CA20"/>
    <mergeCell ref="BR20:BT20"/>
    <mergeCell ref="BO20:BQ20"/>
    <mergeCell ref="BL19:BT19"/>
    <mergeCell ref="BU19:BW19"/>
    <mergeCell ref="AY19:BG19"/>
    <mergeCell ref="BH19:BJ19"/>
    <mergeCell ref="O17:O18"/>
    <mergeCell ref="O19:O21"/>
    <mergeCell ref="K19:L19"/>
    <mergeCell ref="K20:L20"/>
    <mergeCell ref="K17:L17"/>
    <mergeCell ref="K30:L30"/>
    <mergeCell ref="D28:G28"/>
    <mergeCell ref="D22:G22"/>
    <mergeCell ref="K35:L35"/>
    <mergeCell ref="K32:L32"/>
    <mergeCell ref="D24:G24"/>
    <mergeCell ref="K24:L24"/>
    <mergeCell ref="K25:L25"/>
    <mergeCell ref="K31:L31"/>
    <mergeCell ref="I28:M28"/>
    <mergeCell ref="D27:G27"/>
    <mergeCell ref="M40:M43"/>
    <mergeCell ref="K38:L38"/>
    <mergeCell ref="I52:I70"/>
    <mergeCell ref="I40:K43"/>
    <mergeCell ref="I51:AA51"/>
    <mergeCell ref="Z92:AA92"/>
    <mergeCell ref="D36:F36"/>
    <mergeCell ref="D37:F37"/>
    <mergeCell ref="K37:L37"/>
    <mergeCell ref="K36:L36"/>
    <mergeCell ref="B34:C34"/>
    <mergeCell ref="I13:O13"/>
    <mergeCell ref="K1:T1"/>
    <mergeCell ref="AA126:AA127"/>
    <mergeCell ref="U126:V127"/>
    <mergeCell ref="W126:W127"/>
    <mergeCell ref="Y126:Y127"/>
    <mergeCell ref="Z126:Z127"/>
    <mergeCell ref="U121:V121"/>
    <mergeCell ref="U125:V125"/>
    <mergeCell ref="U124:V124"/>
    <mergeCell ref="U123:V123"/>
    <mergeCell ref="U117:V117"/>
    <mergeCell ref="U118:V118"/>
    <mergeCell ref="U119:V119"/>
    <mergeCell ref="U120:V120"/>
    <mergeCell ref="U122:V122"/>
    <mergeCell ref="U110:V110"/>
    <mergeCell ref="U111:V111"/>
    <mergeCell ref="U112:V112"/>
    <mergeCell ref="D38:F38"/>
    <mergeCell ref="I74:I91"/>
    <mergeCell ref="I92:Y92"/>
    <mergeCell ref="L40:L43"/>
  </mergeCells>
  <phoneticPr fontId="2" type="noConversion"/>
  <conditionalFormatting sqref="I34:M38">
    <cfRule type="expression" dxfId="15" priority="1" stopIfTrue="1">
      <formula>$I34&lt;&gt;""</formula>
    </cfRule>
  </conditionalFormatting>
  <dataValidations count="4">
    <dataValidation type="list" allowBlank="1" showInputMessage="1" showErrorMessage="1" sqref="L8" xr:uid="{00000000-0002-0000-0A00-000000000000}">
      <formula1>F9:F10</formula1>
    </dataValidation>
    <dataValidation type="list" allowBlank="1" showInputMessage="1" showErrorMessage="1" sqref="L9:L10" xr:uid="{00000000-0002-0000-0A00-000001000000}">
      <formula1>$F$9:$F$10</formula1>
    </dataValidation>
    <dataValidation type="list" allowBlank="1" showInputMessage="1" showErrorMessage="1" sqref="K4:M4" xr:uid="{00000000-0002-0000-0A00-000002000000}">
      <formula1>$CL$22:$CL$44</formula1>
    </dataValidation>
    <dataValidation type="list" allowBlank="1" showInputMessage="1" showErrorMessage="1" sqref="K6:M6" xr:uid="{00000000-0002-0000-0A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83599"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83599" r:id="rId5" name="Toggle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tabColor indexed="17"/>
  </sheetPr>
  <dimension ref="A1:CM134"/>
  <sheetViews>
    <sheetView showGridLines="0" zoomScaleSheetLayoutView="85" workbookViewId="0">
      <pane xSplit="7" ySplit="1" topLeftCell="H3" activePane="bottomRight" state="frozen"/>
      <selection pane="topRight" activeCell="K4" sqref="K4:M4"/>
      <selection pane="bottomLeft" activeCell="K4" sqref="K4:M4"/>
      <selection pane="bottomRight" activeCell="K4" sqref="K4:M4"/>
    </sheetView>
  </sheetViews>
  <sheetFormatPr defaultColWidth="11.44140625" defaultRowHeight="13.8"/>
  <cols>
    <col min="1" max="1" width="2" style="32" customWidth="1"/>
    <col min="2" max="3" width="5.6640625" style="32" customWidth="1"/>
    <col min="4" max="7" width="4.6640625" style="32" customWidth="1"/>
    <col min="8" max="8" width="3.33203125" style="33" customWidth="1"/>
    <col min="9" max="9" width="5.6640625" style="32" customWidth="1"/>
    <col min="10" max="10" width="30.6640625" style="32" customWidth="1"/>
    <col min="11" max="11" width="20.6640625" style="32" customWidth="1"/>
    <col min="12" max="13" width="10.33203125" style="32" customWidth="1"/>
    <col min="14" max="14" width="6.6640625" style="32" customWidth="1"/>
    <col min="15" max="15" width="11.6640625" style="33" customWidth="1"/>
    <col min="16" max="16" width="1.109375" style="33" customWidth="1"/>
    <col min="17" max="19" width="10.6640625" style="33" customWidth="1"/>
    <col min="20" max="20" width="1.109375" style="33" customWidth="1"/>
    <col min="21" max="23" width="10.6640625" style="33" customWidth="1"/>
    <col min="24" max="24" width="1.109375" style="33" customWidth="1"/>
    <col min="25" max="27" width="10.6640625" style="33" customWidth="1"/>
    <col min="28" max="28" width="14.6640625" style="32" customWidth="1"/>
    <col min="29" max="29" width="15.6640625" style="31" customWidth="1"/>
    <col min="30" max="30" width="1.109375" style="31" customWidth="1"/>
    <col min="31" max="36" width="8.6640625" style="31" customWidth="1"/>
    <col min="37" max="37" width="1.109375" style="33" customWidth="1"/>
    <col min="38" max="49" width="8.6640625" style="31" customWidth="1"/>
    <col min="50" max="50" width="1.109375" style="33" customWidth="1"/>
    <col min="51" max="62" width="8.6640625" style="31" customWidth="1"/>
    <col min="63" max="63" width="1.109375" style="33" customWidth="1"/>
    <col min="64" max="75" width="8.6640625" style="31" customWidth="1"/>
    <col min="76" max="76" width="1.109375" style="33" customWidth="1"/>
    <col min="77" max="80" width="20.6640625" style="31" customWidth="1"/>
    <col min="81" max="81" width="7.109375" style="31" customWidth="1"/>
    <col min="82" max="83" width="1.109375" style="33" customWidth="1"/>
    <col min="84" max="85" width="10.88671875" style="32" customWidth="1"/>
    <col min="86" max="88" width="11.44140625" style="33"/>
    <col min="89" max="90" width="10.88671875" style="45" customWidth="1"/>
    <col min="91" max="16384" width="11.44140625" style="33"/>
  </cols>
  <sheetData>
    <row r="1" spans="1:91" s="77" customFormat="1" ht="35.1" customHeight="1" thickTop="1" thickBot="1">
      <c r="A1" s="76"/>
      <c r="B1" s="527" t="s">
        <v>76</v>
      </c>
      <c r="C1" s="528"/>
      <c r="D1" s="529">
        <f ca="1">IF(COUNTIF(D19:G38,"FEHLER")&gt;0,COUNTIF(D19:G38,"FEHLER"),0)+(IF(J1&lt;&gt;"",1,0))</f>
        <v>0</v>
      </c>
      <c r="E1" s="81"/>
      <c r="F1" s="81"/>
      <c r="G1" s="81"/>
      <c r="I1" s="78"/>
      <c r="J1" s="519"/>
      <c r="K1" s="651" t="e">
        <f ca="1">IF(AM1&lt;&gt;I15,"!!!Achtung!!!  Der Registerblattname ist nicht identisch mit der Nutzungsformbezeichnung im Datenblatt. Bitte entweder die Nutzungsform ändern bzw. im Feld 'Zusatzinfos' ergänzende Angaben vornehmen.","")</f>
        <v>#VALUE!</v>
      </c>
      <c r="L1" s="651"/>
      <c r="M1" s="651"/>
      <c r="N1" s="651"/>
      <c r="O1" s="651"/>
      <c r="P1" s="651"/>
      <c r="Q1" s="651"/>
      <c r="R1" s="651"/>
      <c r="S1" s="651"/>
      <c r="T1" s="651"/>
      <c r="U1" s="519"/>
      <c r="V1" s="519"/>
      <c r="W1" s="519"/>
      <c r="X1" s="519"/>
      <c r="Y1" s="519"/>
      <c r="Z1" s="519"/>
      <c r="AA1" s="519"/>
      <c r="AB1" s="82" t="s">
        <v>77</v>
      </c>
      <c r="AC1" s="79" t="e">
        <f ca="1">CELL("Dateiname")</f>
        <v>#VALUE!</v>
      </c>
      <c r="AD1" s="83"/>
      <c r="AE1" s="83"/>
      <c r="AF1" s="80"/>
      <c r="AG1" s="80"/>
      <c r="AH1" s="83"/>
      <c r="AI1" s="83"/>
      <c r="AJ1" s="83"/>
      <c r="AK1" s="83"/>
      <c r="AL1" s="80"/>
      <c r="AM1" s="79" t="e">
        <f ca="1">MID(AC1,FIND("]",AC1,1)+1,99)</f>
        <v>#VALUE!</v>
      </c>
      <c r="AN1" s="80"/>
      <c r="AO1" s="80"/>
      <c r="AP1" s="80"/>
      <c r="AQ1" s="78"/>
      <c r="AR1" s="78"/>
      <c r="AS1" s="78"/>
      <c r="AT1" s="78"/>
      <c r="AU1" s="78"/>
      <c r="AV1" s="78"/>
      <c r="AW1" s="78"/>
      <c r="AY1" s="78"/>
      <c r="AZ1" s="78"/>
      <c r="BA1" s="78"/>
      <c r="BB1" s="78"/>
      <c r="BC1" s="78"/>
      <c r="BD1" s="78"/>
      <c r="BE1" s="78"/>
      <c r="BF1" s="78"/>
      <c r="BG1" s="78"/>
      <c r="BH1" s="78"/>
      <c r="BI1" s="78"/>
      <c r="BJ1" s="78"/>
      <c r="BL1" s="78"/>
      <c r="BM1" s="78"/>
      <c r="BN1" s="78"/>
      <c r="BO1" s="78"/>
      <c r="BP1" s="78"/>
      <c r="BQ1" s="78"/>
      <c r="BR1" s="78"/>
      <c r="BS1" s="78"/>
      <c r="BT1" s="78"/>
      <c r="BU1" s="78"/>
      <c r="BV1" s="78"/>
      <c r="BW1" s="78"/>
      <c r="BY1" s="78"/>
      <c r="BZ1" s="78"/>
      <c r="CA1" s="78"/>
      <c r="CB1" s="78"/>
      <c r="CC1" s="78"/>
      <c r="CF1" s="78"/>
      <c r="CG1" s="78"/>
      <c r="CK1" s="78"/>
      <c r="CL1" s="78"/>
    </row>
    <row r="2" spans="1:91" ht="30" customHeight="1" thickTop="1" thickBot="1">
      <c r="B2" s="718" t="s">
        <v>78</v>
      </c>
      <c r="C2" s="718"/>
      <c r="D2" s="718"/>
      <c r="E2" s="718"/>
      <c r="F2" s="718"/>
      <c r="G2" s="718"/>
      <c r="I2" s="650" t="s">
        <v>79</v>
      </c>
      <c r="J2" s="650"/>
      <c r="K2" s="650"/>
      <c r="L2" s="650"/>
      <c r="M2" s="650"/>
      <c r="N2" s="27"/>
      <c r="O2" s="683"/>
      <c r="P2" s="683"/>
      <c r="Q2" s="683"/>
      <c r="R2" s="683"/>
      <c r="S2" s="683"/>
      <c r="T2" s="683"/>
      <c r="U2" s="683"/>
      <c r="V2" s="683"/>
      <c r="W2" s="683"/>
      <c r="X2" s="683"/>
      <c r="Y2" s="683"/>
      <c r="Z2" s="683"/>
      <c r="AA2" s="683"/>
      <c r="AC2" s="650" t="s">
        <v>80</v>
      </c>
      <c r="AD2" s="650"/>
      <c r="AE2" s="650"/>
      <c r="AF2" s="650"/>
      <c r="AG2" s="650"/>
      <c r="AH2" s="650"/>
      <c r="AI2" s="650"/>
      <c r="AJ2" s="650"/>
      <c r="AK2" s="650"/>
      <c r="AL2" s="650"/>
      <c r="CE2" s="27"/>
      <c r="CF2" s="27"/>
      <c r="CG2" s="27"/>
      <c r="CH2" s="27"/>
      <c r="CI2" s="27"/>
      <c r="CJ2" s="27"/>
      <c r="CK2" s="34"/>
      <c r="CL2" s="34"/>
      <c r="CM2" s="35"/>
    </row>
    <row r="3" spans="1:91" ht="15" thickTop="1" thickBot="1">
      <c r="B3" s="474" t="s">
        <v>81</v>
      </c>
      <c r="C3" s="467"/>
      <c r="D3" s="467"/>
      <c r="E3" s="467"/>
      <c r="F3" s="467"/>
      <c r="G3" s="475"/>
      <c r="L3" s="27"/>
      <c r="M3" s="27"/>
      <c r="N3" s="27"/>
      <c r="AC3" s="368"/>
      <c r="AD3" s="38"/>
      <c r="AE3" s="36"/>
      <c r="AF3" s="36"/>
      <c r="AG3" s="36"/>
      <c r="AH3" s="36"/>
      <c r="AI3" s="36"/>
      <c r="AJ3" s="36"/>
      <c r="AK3" s="37"/>
      <c r="AL3" s="36"/>
      <c r="AM3" s="36"/>
      <c r="AN3" s="36"/>
      <c r="AO3" s="36"/>
      <c r="AP3" s="36"/>
      <c r="AQ3" s="36"/>
      <c r="AR3" s="36"/>
      <c r="CE3" s="27"/>
      <c r="CF3" s="27"/>
      <c r="CG3" s="27"/>
      <c r="CH3" s="27"/>
      <c r="CI3" s="27"/>
      <c r="CJ3" s="27"/>
      <c r="CK3" s="34"/>
      <c r="CL3" s="34"/>
      <c r="CM3" s="35"/>
    </row>
    <row r="4" spans="1:91" ht="16.2" thickBot="1">
      <c r="B4" s="476" t="s">
        <v>82</v>
      </c>
      <c r="C4" s="31" t="s">
        <v>83</v>
      </c>
      <c r="D4" s="71">
        <f t="array" ref="D4">IF(AND(K4&lt;&gt;"keine Nutzung gewählt",K4&lt;&gt;0,K4&lt;&gt;"")=TRUE,MAX(IF('NF-Sets'!B2:HO27=K4,ROW('NF-Sets'!B2:HO27))),99)</f>
        <v>99</v>
      </c>
      <c r="E4" s="31" t="s">
        <v>84</v>
      </c>
      <c r="F4" s="71">
        <f t="array" ref="F4">IF(AND(K4&lt;&gt;"keine Nutzung gewählt",K4&lt;&gt;0,K4&lt;&gt;"")=TRUE,MAX(IF('NF-Sets'!B2:HO26=K4,COLUMN('NF-Sets'!B2:HO26))),99)</f>
        <v>99</v>
      </c>
      <c r="G4" s="520">
        <f>IF(AND(K4&lt;&gt;"keine Nutzung",K4&lt;&gt;0,K4&lt;&gt;"")=TRUE,ROW(I17)-(D4),0)</f>
        <v>-82</v>
      </c>
      <c r="I4" s="517" t="s">
        <v>85</v>
      </c>
      <c r="K4" s="753" t="s">
        <v>139</v>
      </c>
      <c r="L4" s="754"/>
      <c r="M4" s="755"/>
      <c r="N4" s="27"/>
      <c r="O4" s="72" t="s">
        <v>87</v>
      </c>
      <c r="Q4" s="753"/>
      <c r="R4" s="754"/>
      <c r="S4" s="755"/>
      <c r="AD4" s="38"/>
      <c r="AE4" s="36"/>
      <c r="AF4" s="36"/>
      <c r="AG4" s="36"/>
      <c r="AH4" s="36"/>
      <c r="AI4" s="36"/>
      <c r="AJ4" s="36"/>
      <c r="AK4" s="37"/>
      <c r="AL4" s="36"/>
      <c r="AM4" s="36"/>
      <c r="AN4" s="36"/>
      <c r="AO4" s="36"/>
      <c r="AP4" s="36"/>
      <c r="AQ4" s="36"/>
      <c r="AR4" s="36"/>
      <c r="CE4" s="27"/>
      <c r="CF4" s="27"/>
      <c r="CG4" s="27"/>
      <c r="CH4" s="27"/>
      <c r="CI4" s="27"/>
      <c r="CJ4" s="27"/>
      <c r="CK4" s="34"/>
      <c r="CL4" s="34"/>
      <c r="CM4" s="35"/>
    </row>
    <row r="5" spans="1:91" ht="14.4" thickBot="1">
      <c r="A5" s="64"/>
      <c r="B5" s="477"/>
      <c r="D5" s="84"/>
      <c r="F5" s="84"/>
      <c r="G5" s="521"/>
      <c r="I5" s="84"/>
      <c r="L5" s="27"/>
      <c r="M5" s="27"/>
      <c r="N5" s="27"/>
      <c r="AC5" s="35"/>
      <c r="AD5" s="38"/>
      <c r="AE5" s="36"/>
      <c r="AF5" s="36"/>
      <c r="AG5" s="36"/>
      <c r="AH5" s="36"/>
      <c r="AI5" s="36"/>
      <c r="AJ5" s="36"/>
      <c r="AK5" s="37"/>
      <c r="AL5" s="36"/>
      <c r="AM5" s="36"/>
      <c r="AN5" s="36"/>
      <c r="AO5" s="36"/>
      <c r="AP5" s="36"/>
      <c r="AQ5" s="36"/>
      <c r="AR5" s="36"/>
      <c r="CE5" s="27"/>
      <c r="CF5" s="27"/>
      <c r="CG5" s="27"/>
      <c r="CH5" s="27"/>
      <c r="CI5" s="27"/>
      <c r="CJ5" s="27"/>
      <c r="CK5" s="34"/>
      <c r="CL5" s="34"/>
      <c r="CM5" s="35"/>
    </row>
    <row r="6" spans="1:91" ht="39.9" customHeight="1" thickBot="1">
      <c r="B6" s="478" t="s">
        <v>88</v>
      </c>
      <c r="C6" s="65" t="s">
        <v>83</v>
      </c>
      <c r="D6" s="513">
        <f t="array" ref="D6">IF(OR(K6="keine Ganglinie gewählt",K6=0,K6="")=TRUE,199,MIN(IF('GL-Sets'!$A$1:$EM$27=K6,ROW('GL-Sets'!$A$1:$EM$27))))</f>
        <v>199</v>
      </c>
      <c r="E6" s="65" t="s">
        <v>84</v>
      </c>
      <c r="F6" s="513">
        <f t="array" ref="F6">IF(OR(K6="keine Ganglinie gewählt",K6=0,K6="")=TRUE,199,MAX(IF('GL-Sets'!$A$1:$EM$27=K6,COLUMN('GL-Sets'!$A$1:$EM$27))))</f>
        <v>199</v>
      </c>
      <c r="G6" s="520">
        <f>IF(OR(K6="--- LEER ---",K6=0,K6="")=TRUE,0,ROW(AC23)-(D6+7))</f>
        <v>-183</v>
      </c>
      <c r="I6" s="518" t="s">
        <v>89</v>
      </c>
      <c r="J6" s="39"/>
      <c r="K6" s="715" t="s">
        <v>138</v>
      </c>
      <c r="L6" s="716"/>
      <c r="M6" s="717"/>
      <c r="N6" s="27"/>
      <c r="O6" s="75" t="s">
        <v>91</v>
      </c>
      <c r="P6" s="63"/>
      <c r="Q6" s="727" t="s">
        <v>92</v>
      </c>
      <c r="R6" s="728"/>
      <c r="S6" s="769" t="str">
        <f ca="1">IF(INDIRECT(ADDRESS(1,F4-1,,,B4))&lt;&gt;0,INDIRECT(ADDRESS(1,F4-1,,,B4)),"")</f>
        <v/>
      </c>
      <c r="T6" s="769"/>
      <c r="U6" s="769"/>
      <c r="V6" s="769"/>
      <c r="W6" s="769"/>
      <c r="X6" s="769"/>
      <c r="Y6" s="769"/>
      <c r="Z6" s="769"/>
      <c r="AA6" s="770"/>
      <c r="AD6" s="38"/>
      <c r="AE6" s="36"/>
      <c r="AF6" s="36"/>
      <c r="AG6" s="36"/>
      <c r="AH6" s="36"/>
      <c r="AI6" s="36"/>
      <c r="AJ6" s="36"/>
      <c r="AK6" s="37"/>
      <c r="AL6" s="36"/>
      <c r="AM6" s="36"/>
      <c r="AN6" s="36"/>
      <c r="AO6" s="36"/>
      <c r="AP6" s="36"/>
      <c r="AQ6" s="36"/>
      <c r="AR6" s="36"/>
      <c r="CE6" s="27"/>
      <c r="CM6" s="35"/>
    </row>
    <row r="7" spans="1:91" ht="16.2" thickBot="1">
      <c r="B7" s="479" t="s">
        <v>93</v>
      </c>
      <c r="C7" s="30"/>
      <c r="D7" s="31"/>
      <c r="E7" s="30"/>
      <c r="G7" s="480"/>
      <c r="I7" s="518"/>
      <c r="J7" s="39"/>
      <c r="K7" s="40"/>
      <c r="L7" s="28"/>
      <c r="M7" s="28"/>
      <c r="N7" s="28"/>
      <c r="Q7" s="729"/>
      <c r="R7" s="730"/>
      <c r="S7" s="719"/>
      <c r="T7" s="719"/>
      <c r="U7" s="719"/>
      <c r="V7" s="719"/>
      <c r="W7" s="719"/>
      <c r="X7" s="719"/>
      <c r="Y7" s="719"/>
      <c r="Z7" s="719"/>
      <c r="AA7" s="720"/>
      <c r="AC7" s="36"/>
      <c r="AD7" s="36"/>
      <c r="AE7" s="36"/>
      <c r="AF7" s="36"/>
      <c r="AG7" s="36"/>
      <c r="AH7" s="36"/>
      <c r="AI7" s="36"/>
      <c r="AJ7" s="36"/>
      <c r="AK7" s="37"/>
      <c r="AL7" s="36"/>
      <c r="AM7" s="36"/>
      <c r="AN7" s="36"/>
      <c r="AO7" s="36"/>
      <c r="AP7" s="36"/>
      <c r="AQ7" s="36"/>
      <c r="AR7" s="36"/>
      <c r="CE7" s="27"/>
      <c r="CM7" s="35"/>
    </row>
    <row r="8" spans="1:91" ht="16.2" thickBot="1">
      <c r="B8" s="514">
        <f ca="1">IF(INDIRECT(ADDRESS($D$4+15,$F$4,,,$B$4))&lt;&gt;"-",1,0)</f>
        <v>1</v>
      </c>
      <c r="C8" s="50">
        <f ca="1">IF(AND(L8="ja",B8=1)=TRUE,1,0)</f>
        <v>0</v>
      </c>
      <c r="D8" s="50">
        <f t="array" aca="1" ref="D8" ca="1">MAX(IF('NF-Sets'!$B$2:$FJ$38=K8,ROW('NF-Sets'!$B$2:$FJ$38)))</f>
        <v>18</v>
      </c>
      <c r="E8" s="30"/>
      <c r="F8" s="51" t="s">
        <v>94</v>
      </c>
      <c r="G8" s="480"/>
      <c r="I8" s="518" t="s">
        <v>95</v>
      </c>
      <c r="J8" s="39"/>
      <c r="K8" s="40" t="str">
        <f>'NF-Sets'!B18</f>
        <v>Verbundeffekt(e)</v>
      </c>
      <c r="L8" s="756" t="s">
        <v>97</v>
      </c>
      <c r="M8" s="757"/>
      <c r="N8" s="29"/>
      <c r="Q8" s="729" t="str">
        <f>"Ganglinie: "</f>
        <v xml:space="preserve">Ganglinie: </v>
      </c>
      <c r="R8" s="730"/>
      <c r="S8" s="719" t="str">
        <f ca="1">IF(INDIRECT(ADDRESS(D6+2,F6,,,B6))&lt;&gt;0,INDIRECT(ADDRESS(D6+2,F6,,,B6)),"")</f>
        <v/>
      </c>
      <c r="T8" s="719"/>
      <c r="U8" s="719"/>
      <c r="V8" s="719"/>
      <c r="W8" s="719"/>
      <c r="X8" s="719"/>
      <c r="Y8" s="719"/>
      <c r="Z8" s="719"/>
      <c r="AA8" s="720"/>
      <c r="AC8" s="36"/>
      <c r="AD8" s="36"/>
      <c r="AE8" s="36"/>
      <c r="AF8" s="36"/>
      <c r="AG8" s="36"/>
      <c r="AH8" s="36"/>
      <c r="AI8" s="36"/>
      <c r="AJ8" s="36"/>
      <c r="AK8" s="37"/>
      <c r="AL8" s="36"/>
      <c r="AM8" s="36"/>
      <c r="AN8" s="36"/>
      <c r="AO8" s="36"/>
      <c r="AP8" s="36"/>
      <c r="AQ8" s="36"/>
      <c r="AR8" s="36"/>
      <c r="CE8" s="27"/>
      <c r="CM8" s="35"/>
    </row>
    <row r="9" spans="1:91" ht="16.2" thickBot="1">
      <c r="B9" s="514">
        <f ca="1">IF(INDIRECT(ADDRESS($D$4+16,$F$4,,,$B$4))&lt;&gt;"-",1,0)</f>
        <v>1</v>
      </c>
      <c r="C9" s="50">
        <f ca="1">IF(AND(L9="ja",B9=1)=TRUE,1,0)</f>
        <v>0</v>
      </c>
      <c r="D9" s="50">
        <f t="array" aca="1" ref="D9" ca="1">MAX(IF('NF-Sets'!$B$2:$FJ$38=K9,ROW('NF-Sets'!$B$2:$FJ$38)))</f>
        <v>19</v>
      </c>
      <c r="E9" s="30"/>
      <c r="F9" s="50" t="s">
        <v>96</v>
      </c>
      <c r="G9" s="481"/>
      <c r="I9" s="518"/>
      <c r="J9" s="39"/>
      <c r="K9" s="40" t="str">
        <f>'NF-Sets'!B19</f>
        <v>Mitnahmeeffekt(e)</v>
      </c>
      <c r="L9" s="756" t="s">
        <v>97</v>
      </c>
      <c r="M9" s="757"/>
      <c r="N9" s="29"/>
      <c r="Q9" s="729"/>
      <c r="R9" s="730"/>
      <c r="S9" s="719"/>
      <c r="T9" s="719"/>
      <c r="U9" s="719"/>
      <c r="V9" s="719"/>
      <c r="W9" s="719"/>
      <c r="X9" s="719"/>
      <c r="Y9" s="719"/>
      <c r="Z9" s="719"/>
      <c r="AA9" s="720"/>
      <c r="AC9" s="43"/>
      <c r="CE9" s="27"/>
      <c r="CM9" s="35"/>
    </row>
    <row r="10" spans="1:91" ht="16.2" thickBot="1">
      <c r="B10" s="514">
        <f ca="1">IF(INDIRECT(ADDRESS($D$4+17,$F$4,,,$B$4))&lt;&gt;"-",1,0)</f>
        <v>1</v>
      </c>
      <c r="C10" s="50">
        <f ca="1">IF(AND(L10="ja",B10=1)=TRUE,1,0)</f>
        <v>0</v>
      </c>
      <c r="D10" s="50">
        <f t="array" aca="1" ref="D10" ca="1">MAX(IF('NF-Sets'!$B$2:$FJ$38=K10,ROW('NF-Sets'!$B$2:$FJ$38)))</f>
        <v>20</v>
      </c>
      <c r="E10" s="30"/>
      <c r="F10" s="50" t="s">
        <v>97</v>
      </c>
      <c r="G10" s="481"/>
      <c r="I10" s="518"/>
      <c r="J10" s="39"/>
      <c r="K10" s="40" t="str">
        <f>'NF-Sets'!B20</f>
        <v>Konkurrenzeffekt(e)</v>
      </c>
      <c r="L10" s="756" t="s">
        <v>97</v>
      </c>
      <c r="M10" s="757"/>
      <c r="N10" s="29"/>
      <c r="Q10" s="731"/>
      <c r="R10" s="732"/>
      <c r="S10" s="721"/>
      <c r="T10" s="721"/>
      <c r="U10" s="721"/>
      <c r="V10" s="721"/>
      <c r="W10" s="721"/>
      <c r="X10" s="721"/>
      <c r="Y10" s="721"/>
      <c r="Z10" s="721"/>
      <c r="AA10" s="722"/>
      <c r="AC10" s="30"/>
      <c r="BO10" s="45"/>
      <c r="BP10" s="45"/>
      <c r="BQ10" s="45"/>
      <c r="BR10" s="45"/>
      <c r="BS10" s="45"/>
      <c r="BT10" s="45"/>
      <c r="BU10" s="45"/>
      <c r="BV10" s="45"/>
      <c r="BW10" s="45"/>
      <c r="CE10" s="27"/>
      <c r="CM10" s="35"/>
    </row>
    <row r="11" spans="1:91" ht="17.100000000000001" customHeight="1" thickBot="1">
      <c r="B11" s="515">
        <f ca="1">SUM(B8:B10)</f>
        <v>3</v>
      </c>
      <c r="C11" s="516">
        <f ca="1">SUM(C8:C10)</f>
        <v>0</v>
      </c>
      <c r="D11" s="516"/>
      <c r="E11" s="482"/>
      <c r="F11" s="483"/>
      <c r="G11" s="484"/>
      <c r="I11" s="71"/>
      <c r="J11" s="30"/>
      <c r="K11" s="30"/>
      <c r="L11" s="30"/>
      <c r="M11" s="30"/>
      <c r="N11" s="30"/>
      <c r="AC11" s="30"/>
      <c r="BO11" s="45"/>
      <c r="BP11" s="45"/>
      <c r="BQ11" s="45"/>
      <c r="BR11" s="45"/>
      <c r="BS11" s="45"/>
      <c r="BT11" s="45"/>
      <c r="BU11" s="45"/>
      <c r="BV11" s="45"/>
      <c r="BW11" s="45"/>
      <c r="CE11" s="27"/>
      <c r="CM11" s="35"/>
    </row>
    <row r="12" spans="1:91" ht="20.100000000000001" customHeight="1" thickTop="1">
      <c r="B12" s="31"/>
      <c r="C12" s="31"/>
      <c r="D12" s="31"/>
      <c r="E12" s="30"/>
      <c r="F12" s="45"/>
      <c r="G12" s="67"/>
      <c r="I12" s="518" t="s">
        <v>98</v>
      </c>
      <c r="J12" s="66"/>
      <c r="K12" s="66"/>
      <c r="L12" s="66"/>
      <c r="M12" s="66"/>
      <c r="N12" s="30"/>
      <c r="AC12" s="240" t="s">
        <v>99</v>
      </c>
      <c r="AD12" s="65"/>
      <c r="AE12" s="65"/>
      <c r="AF12" s="65"/>
      <c r="BO12" s="45"/>
      <c r="BP12" s="45"/>
      <c r="BQ12" s="45"/>
      <c r="BR12" s="45"/>
      <c r="BS12" s="45"/>
      <c r="BT12" s="45"/>
      <c r="BU12" s="45"/>
      <c r="BV12" s="45"/>
      <c r="BW12" s="45"/>
      <c r="CC12" s="33"/>
      <c r="CE12" s="27"/>
      <c r="CM12" s="35"/>
    </row>
    <row r="13" spans="1:91" ht="30" customHeight="1">
      <c r="B13" s="31"/>
      <c r="C13" s="30"/>
      <c r="D13" s="31"/>
      <c r="E13" s="30"/>
      <c r="F13" s="45"/>
      <c r="G13" s="67"/>
      <c r="I13" s="650" t="s">
        <v>100</v>
      </c>
      <c r="J13" s="650"/>
      <c r="K13" s="650"/>
      <c r="L13" s="650"/>
      <c r="M13" s="650"/>
      <c r="N13" s="650"/>
      <c r="O13" s="650"/>
      <c r="P13" s="485"/>
      <c r="Q13" s="485"/>
      <c r="R13" s="485"/>
      <c r="S13" s="485"/>
      <c r="T13" s="485"/>
      <c r="U13" s="485"/>
      <c r="AC13" s="650" t="s">
        <v>101</v>
      </c>
      <c r="AD13" s="650"/>
      <c r="AE13" s="650"/>
      <c r="AF13" s="650"/>
      <c r="AG13" s="650"/>
      <c r="AH13" s="650"/>
      <c r="AI13" s="650"/>
      <c r="AJ13" s="650"/>
      <c r="AK13" s="650"/>
      <c r="AL13" s="650"/>
      <c r="BO13" s="45"/>
      <c r="BP13" s="45"/>
      <c r="BQ13" s="45"/>
      <c r="BR13" s="45"/>
      <c r="BS13" s="45"/>
      <c r="BT13" s="45"/>
      <c r="BU13" s="45"/>
      <c r="BV13" s="45"/>
      <c r="BW13" s="45"/>
      <c r="CC13" s="56"/>
      <c r="CE13" s="27"/>
      <c r="CM13" s="35"/>
    </row>
    <row r="14" spans="1:91" ht="15" customHeight="1">
      <c r="I14" s="73"/>
      <c r="J14" s="73"/>
      <c r="K14" s="73"/>
      <c r="L14" s="73"/>
      <c r="M14" s="73"/>
      <c r="N14" s="73"/>
      <c r="O14" s="73"/>
      <c r="P14" s="73"/>
      <c r="Q14" s="73"/>
      <c r="R14" s="73"/>
      <c r="S14" s="73"/>
      <c r="T14" s="73"/>
      <c r="U14" s="73"/>
      <c r="V14" s="73"/>
      <c r="W14" s="73"/>
      <c r="X14" s="73"/>
      <c r="Y14" s="73"/>
      <c r="Z14" s="677" t="s">
        <v>5</v>
      </c>
      <c r="AA14" s="677"/>
      <c r="AC14" s="30"/>
      <c r="BO14" s="45"/>
      <c r="BP14" s="45"/>
      <c r="BQ14" s="45"/>
      <c r="BR14" s="45"/>
      <c r="BS14" s="45"/>
      <c r="BT14" s="45"/>
      <c r="BU14" s="45"/>
      <c r="BV14" s="45"/>
      <c r="BW14" s="45"/>
      <c r="CC14" s="56"/>
      <c r="CE14" s="27"/>
      <c r="CM14" s="35"/>
    </row>
    <row r="15" spans="1:91" s="32" customFormat="1" ht="30" customHeight="1">
      <c r="B15" s="68"/>
      <c r="C15" s="68"/>
      <c r="D15" s="68"/>
      <c r="H15" s="33"/>
      <c r="I15" s="752" t="str">
        <f>IF(AND(K4&lt;&gt;"Keine Nutzung gewählt",K4&lt;&gt;0)=TRUE,K4&amp;" "&amp;Q4,"10 - keine Nutzung")</f>
        <v>10 - keine Nutzung</v>
      </c>
      <c r="J15" s="752"/>
      <c r="K15" s="752"/>
      <c r="L15" s="752"/>
      <c r="M15" s="752"/>
      <c r="N15" s="752"/>
      <c r="O15" s="752"/>
      <c r="P15" s="752"/>
      <c r="Q15" s="752"/>
      <c r="R15" s="752"/>
      <c r="S15" s="752"/>
      <c r="T15" s="752"/>
      <c r="U15" s="752"/>
      <c r="V15" s="752"/>
      <c r="W15" s="752"/>
      <c r="X15" s="752"/>
      <c r="Y15" s="752"/>
      <c r="Z15" s="752"/>
      <c r="AA15" s="752"/>
      <c r="AC15" s="30"/>
      <c r="AD15" s="31"/>
      <c r="AE15" s="31"/>
      <c r="AF15" s="31"/>
      <c r="AG15" s="31"/>
      <c r="AH15" s="31"/>
      <c r="AI15" s="31"/>
      <c r="AJ15" s="31"/>
      <c r="AK15" s="33"/>
      <c r="AL15" s="31"/>
      <c r="AM15" s="31"/>
      <c r="AN15" s="31"/>
      <c r="AO15" s="31"/>
      <c r="AP15" s="31"/>
      <c r="AQ15" s="31"/>
      <c r="AR15" s="31"/>
      <c r="AS15" s="31"/>
      <c r="AT15" s="31"/>
      <c r="AU15" s="31"/>
      <c r="AV15" s="31"/>
      <c r="AW15" s="31"/>
      <c r="AX15" s="33"/>
      <c r="AY15" s="31"/>
      <c r="AZ15" s="31"/>
      <c r="BA15" s="31"/>
      <c r="BB15" s="31"/>
      <c r="BC15" s="31"/>
      <c r="BD15" s="31"/>
      <c r="BE15" s="31"/>
      <c r="BF15" s="31"/>
      <c r="BG15" s="31"/>
      <c r="BH15" s="31"/>
      <c r="BI15" s="31"/>
      <c r="BJ15" s="31"/>
      <c r="BK15" s="33"/>
      <c r="BL15" s="31"/>
      <c r="BM15" s="31"/>
      <c r="BN15" s="31"/>
      <c r="BO15" s="45"/>
      <c r="BP15" s="45"/>
      <c r="BQ15" s="45"/>
      <c r="BR15" s="45"/>
      <c r="BS15" s="45"/>
      <c r="BT15" s="45"/>
      <c r="BU15" s="45"/>
      <c r="BV15" s="45"/>
      <c r="BW15" s="45"/>
      <c r="BX15" s="33"/>
      <c r="BY15" s="31"/>
      <c r="BZ15" s="31"/>
      <c r="CA15" s="31"/>
      <c r="CB15" s="31"/>
      <c r="CC15" s="56"/>
      <c r="CD15" s="33"/>
      <c r="CE15" s="27"/>
      <c r="CM15" s="27"/>
    </row>
    <row r="16" spans="1:91" s="32" customFormat="1" ht="30" customHeight="1" thickBot="1">
      <c r="B16" s="68"/>
      <c r="C16" s="68"/>
      <c r="D16" s="68"/>
      <c r="H16" s="33"/>
      <c r="I16" s="759" t="s">
        <v>102</v>
      </c>
      <c r="J16" s="759"/>
      <c r="K16" s="759"/>
      <c r="L16" s="759"/>
      <c r="M16" s="759"/>
      <c r="N16" s="242"/>
      <c r="O16" s="588" t="s">
        <v>103</v>
      </c>
      <c r="P16" s="588"/>
      <c r="Q16" s="588"/>
      <c r="R16" s="588"/>
      <c r="S16" s="588"/>
      <c r="T16" s="588"/>
      <c r="U16" s="588"/>
      <c r="V16" s="588"/>
      <c r="W16" s="588"/>
      <c r="X16" s="588"/>
      <c r="Y16" s="588"/>
      <c r="Z16" s="588"/>
      <c r="AA16" s="588"/>
      <c r="AC16" s="31"/>
      <c r="AD16" s="31"/>
      <c r="AE16" s="31"/>
      <c r="AF16" s="31"/>
      <c r="AG16" s="31"/>
      <c r="AH16" s="31"/>
      <c r="AI16" s="31"/>
      <c r="AJ16" s="31"/>
      <c r="AK16" s="33"/>
      <c r="AL16" s="31"/>
      <c r="AM16" s="31"/>
      <c r="AN16" s="31"/>
      <c r="AO16" s="31"/>
      <c r="AP16" s="31"/>
      <c r="AQ16" s="31"/>
      <c r="AR16" s="31"/>
      <c r="AS16" s="31"/>
      <c r="AT16" s="31"/>
      <c r="AU16" s="31"/>
      <c r="AV16" s="31"/>
      <c r="AW16" s="31"/>
      <c r="AX16" s="33"/>
      <c r="AY16" s="31"/>
      <c r="AZ16" s="31"/>
      <c r="BA16" s="31"/>
      <c r="BB16" s="31"/>
      <c r="BC16" s="31"/>
      <c r="BD16" s="31"/>
      <c r="BE16" s="31"/>
      <c r="BF16" s="31"/>
      <c r="BG16" s="31"/>
      <c r="BH16" s="31"/>
      <c r="BI16" s="31"/>
      <c r="BJ16" s="31"/>
      <c r="BK16" s="33"/>
      <c r="BL16" s="31"/>
      <c r="BM16" s="31"/>
      <c r="BN16" s="31"/>
      <c r="BO16" s="31"/>
      <c r="BP16" s="31"/>
      <c r="BQ16" s="31"/>
      <c r="BR16" s="31"/>
      <c r="BS16" s="31"/>
      <c r="BT16" s="31"/>
      <c r="BU16" s="31"/>
      <c r="BV16" s="31"/>
      <c r="BW16" s="31"/>
      <c r="BX16" s="33"/>
      <c r="BY16" s="31"/>
      <c r="BZ16" s="31"/>
      <c r="CA16" s="31"/>
      <c r="CB16" s="31"/>
      <c r="CC16" s="369"/>
      <c r="CD16" s="44"/>
      <c r="CE16" s="27"/>
      <c r="CM16" s="27"/>
    </row>
    <row r="17" spans="2:91" s="32" customFormat="1" ht="18.899999999999999" customHeight="1" thickTop="1" thickBot="1">
      <c r="B17" s="723" t="s">
        <v>104</v>
      </c>
      <c r="C17" s="724"/>
      <c r="D17" s="467"/>
      <c r="E17" s="467"/>
      <c r="F17" s="467"/>
      <c r="G17" s="468"/>
      <c r="H17" s="33"/>
      <c r="I17" s="272" t="s">
        <v>105</v>
      </c>
      <c r="J17" s="273" t="s">
        <v>106</v>
      </c>
      <c r="K17" s="712" t="s">
        <v>107</v>
      </c>
      <c r="L17" s="712"/>
      <c r="M17" s="272" t="s">
        <v>108</v>
      </c>
      <c r="N17" s="2"/>
      <c r="O17" s="708" t="s">
        <v>109</v>
      </c>
      <c r="P17" s="54"/>
      <c r="Q17" s="760" t="s">
        <v>15</v>
      </c>
      <c r="R17" s="761"/>
      <c r="S17" s="762"/>
      <c r="T17" s="55"/>
      <c r="U17" s="734" t="s">
        <v>110</v>
      </c>
      <c r="V17" s="735"/>
      <c r="W17" s="736"/>
      <c r="X17" s="55"/>
      <c r="Y17" s="734" t="str">
        <f ca="1">IF(OR(J36=K9,J37=K9,J38=K9)=TRUE,"davon zusätzlich erzeugtes Verkehrsaufkommen","Quell- und Zielverkehrsaufkommen")</f>
        <v>Quell- und Zielverkehrsaufkommen</v>
      </c>
      <c r="Z17" s="735"/>
      <c r="AA17" s="736"/>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70"/>
      <c r="CD17" s="44"/>
      <c r="CE17" s="27"/>
      <c r="CM17" s="27"/>
    </row>
    <row r="18" spans="2:91" s="32" customFormat="1" ht="18.899999999999999" customHeight="1">
      <c r="B18" s="486" t="s">
        <v>111</v>
      </c>
      <c r="C18" s="487" t="s">
        <v>112</v>
      </c>
      <c r="G18" s="469"/>
      <c r="H18" s="33"/>
      <c r="I18" s="262" t="s">
        <v>113</v>
      </c>
      <c r="J18" s="263">
        <f t="shared" ref="J18:J27" ca="1" si="0">INDIRECT(ADDRESS($D$4+ROW()-ROW($I$17)+1,$F$4-1,,,$B$4))</f>
        <v>0</v>
      </c>
      <c r="K18" s="726">
        <f t="shared" ref="K18:K27" ca="1" si="1">INDIRECT(ADDRESS($D$4+ROW()-ROW($J$17)+1,$F$4,,,$B$4))</f>
        <v>0</v>
      </c>
      <c r="L18" s="726"/>
      <c r="M18" s="264"/>
      <c r="N18" s="5"/>
      <c r="O18" s="709"/>
      <c r="P18" s="54"/>
      <c r="Q18" s="763"/>
      <c r="R18" s="764"/>
      <c r="S18" s="765"/>
      <c r="T18" s="55"/>
      <c r="U18" s="737"/>
      <c r="V18" s="738"/>
      <c r="W18" s="739"/>
      <c r="X18" s="55"/>
      <c r="Y18" s="737"/>
      <c r="Z18" s="738"/>
      <c r="AA18" s="739"/>
      <c r="AC18" s="336"/>
      <c r="AD18" s="275"/>
      <c r="AE18" s="782" t="s">
        <v>114</v>
      </c>
      <c r="AF18" s="783"/>
      <c r="AG18" s="783"/>
      <c r="AH18" s="783"/>
      <c r="AI18" s="783"/>
      <c r="AJ18" s="784"/>
      <c r="AK18" s="280"/>
      <c r="AL18" s="690" t="s">
        <v>15</v>
      </c>
      <c r="AM18" s="691"/>
      <c r="AN18" s="691"/>
      <c r="AO18" s="691"/>
      <c r="AP18" s="691"/>
      <c r="AQ18" s="691"/>
      <c r="AR18" s="691"/>
      <c r="AS18" s="691"/>
      <c r="AT18" s="691"/>
      <c r="AU18" s="691"/>
      <c r="AV18" s="691"/>
      <c r="AW18" s="692"/>
      <c r="AX18" s="280"/>
      <c r="AY18" s="690" t="str">
        <f>U17</f>
        <v xml:space="preserve"> Quell- und Zielverkehrsaufkommen</v>
      </c>
      <c r="AZ18" s="691"/>
      <c r="BA18" s="691"/>
      <c r="BB18" s="691"/>
      <c r="BC18" s="691"/>
      <c r="BD18" s="691"/>
      <c r="BE18" s="691"/>
      <c r="BF18" s="691"/>
      <c r="BG18" s="691"/>
      <c r="BH18" s="691"/>
      <c r="BI18" s="691"/>
      <c r="BJ18" s="692"/>
      <c r="BK18" s="280"/>
      <c r="BL18" s="690" t="str">
        <f ca="1">Y17</f>
        <v>Quell- und Zielverkehrsaufkommen</v>
      </c>
      <c r="BM18" s="691"/>
      <c r="BN18" s="691"/>
      <c r="BO18" s="691"/>
      <c r="BP18" s="691"/>
      <c r="BQ18" s="691"/>
      <c r="BR18" s="691"/>
      <c r="BS18" s="691"/>
      <c r="BT18" s="691"/>
      <c r="BU18" s="691"/>
      <c r="BV18" s="691"/>
      <c r="BW18" s="692"/>
      <c r="BX18" s="280"/>
      <c r="BY18" s="690" t="s">
        <v>115</v>
      </c>
      <c r="BZ18" s="691"/>
      <c r="CA18" s="691"/>
      <c r="CB18" s="692"/>
      <c r="CC18" s="370"/>
      <c r="CD18" s="44"/>
      <c r="CE18" s="27"/>
      <c r="CM18" s="27"/>
    </row>
    <row r="19" spans="2:91" s="32" customFormat="1" ht="18.899999999999999" customHeight="1">
      <c r="B19" s="522">
        <f t="shared" ref="B19:B28" ca="1" si="2">INDIRECT(ADDRESS($D$4+ROW()-ROW($J$17)+1,$F$4+1,,,$B$4))</f>
        <v>0</v>
      </c>
      <c r="C19" s="69">
        <f t="shared" ref="C19:C28" ca="1" si="3">INDIRECT(ADDRESS($D$4+ROW()-ROW($J$17)+1,$F$4+2,,,$B$4))</f>
        <v>0</v>
      </c>
      <c r="D19" s="683" t="str">
        <f t="shared" ref="D19:D27" si="4">IF($K$4=$CL$22,"",IF(AND(ISNUMBER(M19)=FALSE,ISNUMBER(B19)=TRUE,ISNUMBER(C19)=TRUE)=TRUE,"FEHLER",IF(OR(M19&lt;B19,M19&gt;C19)=TRUE,"FEHLER","")))</f>
        <v/>
      </c>
      <c r="E19" s="683"/>
      <c r="F19" s="683"/>
      <c r="G19" s="684"/>
      <c r="H19" s="33"/>
      <c r="I19" s="246" t="s">
        <v>116</v>
      </c>
      <c r="J19" s="250">
        <f t="shared" ca="1" si="0"/>
        <v>0</v>
      </c>
      <c r="K19" s="687">
        <f t="shared" ca="1" si="1"/>
        <v>0</v>
      </c>
      <c r="L19" s="687"/>
      <c r="M19" s="251"/>
      <c r="N19" s="22"/>
      <c r="O19" s="710" t="s">
        <v>117</v>
      </c>
      <c r="P19" s="54"/>
      <c r="Q19" s="746" t="s">
        <v>19</v>
      </c>
      <c r="R19" s="747"/>
      <c r="S19" s="748"/>
      <c r="T19" s="367"/>
      <c r="U19" s="740" t="str">
        <f ca="1">IF(AND(G40&gt;1,OR(J36&lt;&gt;"",J37&lt;&gt;"",J38&lt;&gt;"")=TRUE,OR(J36=K9,J37=K9,J38=K9)=TRUE)=TRUE,"inkl. Berücksichtigung von abmindernden Effekten im Kundenverkehr | exkl. Mitnahmeeffekte",IF(AND(G40&gt;=1,OR(J36&lt;&gt;"",J37&lt;&gt;"",J38&lt;&gt;"")=TRUE,OR(J36&lt;&gt;K9,J37&lt;&gt;K9,J38&lt;&gt;K9)=TRUE)=TRUE,"inkl. Berücksichtigung von abmindernden Effekten im Kundenverkehr","ohne Berücksichtigung von abmindernden Effekten im Kundenverkehr"))</f>
        <v>ohne Berücksichtigung von abmindernden Effekten im Kundenverkehr</v>
      </c>
      <c r="V19" s="741"/>
      <c r="W19" s="742"/>
      <c r="X19" s="367"/>
      <c r="Y19" s="740" t="str">
        <f ca="1">IF(AND(OR(J36=K9,J37=K9,J38=K9)=TRUE,OR(J36&lt;&gt;"",J37&lt;&gt;"",J38&lt;&gt;"")=TRUE)=TRUE,"inkl. Berücksichtigung aller abmindernder Effekte im Kundenverkehr",IF(OR(J36&lt;&gt;"",J37&lt;&gt;"",J38&lt;&gt;"")=TRUE,"inkl. Berücksichtigung von abmindernden Effekten im Kundenverkehr","ohne Berücksichtigung von abmindernden Effekten im Kundenverkehr"))</f>
        <v>ohne Berücksichtigung von abmindernden Effekten im Kundenverkehr</v>
      </c>
      <c r="Z19" s="741"/>
      <c r="AA19" s="742"/>
      <c r="AC19" s="336"/>
      <c r="AD19" s="275"/>
      <c r="AE19" s="785"/>
      <c r="AF19" s="706"/>
      <c r="AG19" s="706"/>
      <c r="AH19" s="706"/>
      <c r="AI19" s="706"/>
      <c r="AJ19" s="707"/>
      <c r="AK19" s="280"/>
      <c r="AL19" s="702" t="s">
        <v>118</v>
      </c>
      <c r="AM19" s="703"/>
      <c r="AN19" s="703"/>
      <c r="AO19" s="703"/>
      <c r="AP19" s="703"/>
      <c r="AQ19" s="703"/>
      <c r="AR19" s="703"/>
      <c r="AS19" s="703"/>
      <c r="AT19" s="704"/>
      <c r="AU19" s="705" t="s">
        <v>47</v>
      </c>
      <c r="AV19" s="706"/>
      <c r="AW19" s="707"/>
      <c r="AX19" s="280"/>
      <c r="AY19" s="702" t="str">
        <f ca="1">U19</f>
        <v>ohne Berücksichtigung von abmindernden Effekten im Kundenverkehr</v>
      </c>
      <c r="AZ19" s="703"/>
      <c r="BA19" s="703"/>
      <c r="BB19" s="703"/>
      <c r="BC19" s="703"/>
      <c r="BD19" s="703"/>
      <c r="BE19" s="703"/>
      <c r="BF19" s="703"/>
      <c r="BG19" s="704"/>
      <c r="BH19" s="705" t="s">
        <v>47</v>
      </c>
      <c r="BI19" s="706"/>
      <c r="BJ19" s="707"/>
      <c r="BL19" s="702" t="str">
        <f ca="1">Y19</f>
        <v>ohne Berücksichtigung von abmindernden Effekten im Kundenverkehr</v>
      </c>
      <c r="BM19" s="703"/>
      <c r="BN19" s="703"/>
      <c r="BO19" s="703"/>
      <c r="BP19" s="703"/>
      <c r="BQ19" s="703"/>
      <c r="BR19" s="703"/>
      <c r="BS19" s="703"/>
      <c r="BT19" s="704"/>
      <c r="BU19" s="705" t="s">
        <v>47</v>
      </c>
      <c r="BV19" s="706"/>
      <c r="BW19" s="707"/>
      <c r="BX19" s="280"/>
      <c r="BY19" s="698" t="str">
        <f ca="1">AE20</f>
        <v>Kundenverkehr</v>
      </c>
      <c r="BZ19" s="700" t="str">
        <f ca="1">AG20</f>
        <v>Beschäftigtenverkehr</v>
      </c>
      <c r="CA19" s="700" t="str">
        <f>AI20</f>
        <v>Wirtschaftsverkehr</v>
      </c>
      <c r="CB19" s="696" t="s">
        <v>119</v>
      </c>
      <c r="CC19" s="370"/>
      <c r="CD19" s="44"/>
      <c r="CE19" s="27"/>
      <c r="CM19" s="27"/>
    </row>
    <row r="20" spans="2:91" s="32" customFormat="1" ht="18.899999999999999" customHeight="1" thickBot="1">
      <c r="B20" s="522">
        <f t="shared" ca="1" si="2"/>
        <v>0</v>
      </c>
      <c r="C20" s="69">
        <f t="shared" ca="1" si="3"/>
        <v>0</v>
      </c>
      <c r="D20" s="683" t="str">
        <f t="shared" si="4"/>
        <v/>
      </c>
      <c r="E20" s="683"/>
      <c r="F20" s="683"/>
      <c r="G20" s="684"/>
      <c r="H20" s="33"/>
      <c r="I20" s="246" t="s">
        <v>120</v>
      </c>
      <c r="J20" s="250">
        <f t="shared" ca="1" si="0"/>
        <v>0</v>
      </c>
      <c r="K20" s="687">
        <f t="shared" ca="1" si="1"/>
        <v>0</v>
      </c>
      <c r="L20" s="687"/>
      <c r="M20" s="251"/>
      <c r="N20" s="23"/>
      <c r="O20" s="711"/>
      <c r="P20" s="54"/>
      <c r="Q20" s="746"/>
      <c r="R20" s="747"/>
      <c r="S20" s="748"/>
      <c r="T20" s="367"/>
      <c r="U20" s="740"/>
      <c r="V20" s="741"/>
      <c r="W20" s="742"/>
      <c r="X20" s="367"/>
      <c r="Y20" s="740"/>
      <c r="Z20" s="741"/>
      <c r="AA20" s="742"/>
      <c r="AC20" s="336"/>
      <c r="AD20" s="275"/>
      <c r="AE20" s="693" t="str">
        <f ca="1">J30</f>
        <v>Kundenverkehr</v>
      </c>
      <c r="AF20" s="694"/>
      <c r="AG20" s="694" t="str">
        <f ca="1">J29</f>
        <v>Beschäftigtenverkehr</v>
      </c>
      <c r="AH20" s="694"/>
      <c r="AI20" s="694" t="str">
        <f>J31</f>
        <v>Wirtschaftsverkehr</v>
      </c>
      <c r="AJ20" s="786"/>
      <c r="AK20" s="280"/>
      <c r="AL20" s="693" t="str">
        <f ca="1">AE20</f>
        <v>Kundenverkehr</v>
      </c>
      <c r="AM20" s="694"/>
      <c r="AN20" s="695"/>
      <c r="AO20" s="694" t="str">
        <f ca="1">AG20</f>
        <v>Beschäftigtenverkehr</v>
      </c>
      <c r="AP20" s="694"/>
      <c r="AQ20" s="695"/>
      <c r="AR20" s="694" t="str">
        <f>AI20</f>
        <v>Wirtschaftsverkehr</v>
      </c>
      <c r="AS20" s="694"/>
      <c r="AT20" s="695"/>
      <c r="AU20" s="337" t="s">
        <v>122</v>
      </c>
      <c r="AV20" s="338" t="s">
        <v>123</v>
      </c>
      <c r="AW20" s="339" t="s">
        <v>67</v>
      </c>
      <c r="AX20" s="280"/>
      <c r="AY20" s="693" t="str">
        <f ca="1">AE20</f>
        <v>Kundenverkehr</v>
      </c>
      <c r="AZ20" s="694"/>
      <c r="BA20" s="695"/>
      <c r="BB20" s="694" t="str">
        <f ca="1">AG20</f>
        <v>Beschäftigtenverkehr</v>
      </c>
      <c r="BC20" s="694"/>
      <c r="BD20" s="695"/>
      <c r="BE20" s="694" t="str">
        <f>AI20</f>
        <v>Wirtschaftsverkehr</v>
      </c>
      <c r="BF20" s="694"/>
      <c r="BG20" s="695"/>
      <c r="BH20" s="337" t="s">
        <v>122</v>
      </c>
      <c r="BI20" s="338" t="s">
        <v>123</v>
      </c>
      <c r="BJ20" s="339" t="s">
        <v>67</v>
      </c>
      <c r="BK20" s="280"/>
      <c r="BL20" s="693" t="str">
        <f ca="1">AE20</f>
        <v>Kundenverkehr</v>
      </c>
      <c r="BM20" s="694"/>
      <c r="BN20" s="695"/>
      <c r="BO20" s="694" t="str">
        <f ca="1">AG20</f>
        <v>Beschäftigtenverkehr</v>
      </c>
      <c r="BP20" s="694"/>
      <c r="BQ20" s="695"/>
      <c r="BR20" s="694" t="str">
        <f>AI20</f>
        <v>Wirtschaftsverkehr</v>
      </c>
      <c r="BS20" s="694"/>
      <c r="BT20" s="695"/>
      <c r="BU20" s="337" t="s">
        <v>122</v>
      </c>
      <c r="BV20" s="338" t="s">
        <v>123</v>
      </c>
      <c r="BW20" s="339" t="s">
        <v>67</v>
      </c>
      <c r="BX20" s="280"/>
      <c r="BY20" s="699"/>
      <c r="BZ20" s="701"/>
      <c r="CA20" s="701"/>
      <c r="CB20" s="697"/>
      <c r="CC20" s="370"/>
      <c r="CD20" s="44"/>
      <c r="CE20" s="27"/>
      <c r="CM20" s="27"/>
    </row>
    <row r="21" spans="2:91" s="32" customFormat="1" ht="18.899999999999999" customHeight="1" thickBot="1">
      <c r="B21" s="522">
        <f t="shared" ca="1" si="2"/>
        <v>0</v>
      </c>
      <c r="C21" s="69">
        <f t="shared" ca="1" si="3"/>
        <v>0</v>
      </c>
      <c r="D21" s="683" t="str">
        <f t="shared" si="4"/>
        <v/>
      </c>
      <c r="E21" s="683"/>
      <c r="F21" s="683"/>
      <c r="G21" s="684"/>
      <c r="H21" s="33"/>
      <c r="I21" s="246" t="s">
        <v>124</v>
      </c>
      <c r="J21" s="250">
        <f t="shared" ca="1" si="0"/>
        <v>0</v>
      </c>
      <c r="K21" s="687">
        <f t="shared" ca="1" si="1"/>
        <v>0</v>
      </c>
      <c r="L21" s="687"/>
      <c r="M21" s="251"/>
      <c r="N21" s="23"/>
      <c r="O21" s="711"/>
      <c r="P21" s="54"/>
      <c r="Q21" s="749"/>
      <c r="R21" s="750"/>
      <c r="S21" s="751"/>
      <c r="T21" s="367"/>
      <c r="U21" s="743"/>
      <c r="V21" s="744"/>
      <c r="W21" s="745"/>
      <c r="X21" s="367"/>
      <c r="Y21" s="743"/>
      <c r="Z21" s="744"/>
      <c r="AA21" s="745"/>
      <c r="AC21" s="340" t="s">
        <v>125</v>
      </c>
      <c r="AD21" s="275"/>
      <c r="AE21" s="341" t="s">
        <v>126</v>
      </c>
      <c r="AF21" s="342" t="s">
        <v>127</v>
      </c>
      <c r="AG21" s="343" t="s">
        <v>126</v>
      </c>
      <c r="AH21" s="342" t="s">
        <v>127</v>
      </c>
      <c r="AI21" s="343" t="s">
        <v>126</v>
      </c>
      <c r="AJ21" s="344" t="s">
        <v>127</v>
      </c>
      <c r="AK21" s="280"/>
      <c r="AL21" s="341" t="s">
        <v>128</v>
      </c>
      <c r="AM21" s="345" t="s">
        <v>129</v>
      </c>
      <c r="AN21" s="342" t="s">
        <v>130</v>
      </c>
      <c r="AO21" s="343" t="s">
        <v>128</v>
      </c>
      <c r="AP21" s="345" t="s">
        <v>129</v>
      </c>
      <c r="AQ21" s="342" t="s">
        <v>130</v>
      </c>
      <c r="AR21" s="343" t="s">
        <v>128</v>
      </c>
      <c r="AS21" s="345" t="s">
        <v>129</v>
      </c>
      <c r="AT21" s="342" t="s">
        <v>130</v>
      </c>
      <c r="AU21" s="343" t="s">
        <v>131</v>
      </c>
      <c r="AV21" s="342" t="s">
        <v>132</v>
      </c>
      <c r="AW21" s="344"/>
      <c r="AX21" s="280"/>
      <c r="AY21" s="341" t="s">
        <v>128</v>
      </c>
      <c r="AZ21" s="345" t="s">
        <v>129</v>
      </c>
      <c r="BA21" s="342" t="s">
        <v>130</v>
      </c>
      <c r="BB21" s="343" t="s">
        <v>128</v>
      </c>
      <c r="BC21" s="345" t="s">
        <v>129</v>
      </c>
      <c r="BD21" s="342" t="s">
        <v>130</v>
      </c>
      <c r="BE21" s="343" t="s">
        <v>128</v>
      </c>
      <c r="BF21" s="345" t="s">
        <v>129</v>
      </c>
      <c r="BG21" s="342" t="s">
        <v>130</v>
      </c>
      <c r="BH21" s="343" t="s">
        <v>131</v>
      </c>
      <c r="BI21" s="342" t="s">
        <v>132</v>
      </c>
      <c r="BJ21" s="344"/>
      <c r="BK21" s="280"/>
      <c r="BL21" s="341" t="s">
        <v>128</v>
      </c>
      <c r="BM21" s="345" t="s">
        <v>129</v>
      </c>
      <c r="BN21" s="342" t="s">
        <v>130</v>
      </c>
      <c r="BO21" s="343" t="s">
        <v>128</v>
      </c>
      <c r="BP21" s="345" t="s">
        <v>129</v>
      </c>
      <c r="BQ21" s="342" t="s">
        <v>130</v>
      </c>
      <c r="BR21" s="343" t="s">
        <v>128</v>
      </c>
      <c r="BS21" s="345" t="s">
        <v>129</v>
      </c>
      <c r="BT21" s="342" t="s">
        <v>130</v>
      </c>
      <c r="BU21" s="343" t="s">
        <v>131</v>
      </c>
      <c r="BV21" s="342" t="s">
        <v>132</v>
      </c>
      <c r="BW21" s="344"/>
      <c r="BX21" s="280"/>
      <c r="BY21" s="346" t="s">
        <v>133</v>
      </c>
      <c r="BZ21" s="347" t="s">
        <v>133</v>
      </c>
      <c r="CA21" s="347" t="s">
        <v>133</v>
      </c>
      <c r="CB21" s="348" t="s">
        <v>133</v>
      </c>
      <c r="CC21" s="370"/>
      <c r="CD21" s="44"/>
      <c r="CE21" s="27"/>
      <c r="CF21" s="27" t="str">
        <f>'GL-Sets'!C86</f>
        <v>Auswahlliste Ganglinien</v>
      </c>
      <c r="CG21" s="27"/>
      <c r="CH21" s="27"/>
      <c r="CI21" s="27"/>
      <c r="CJ21" s="27"/>
      <c r="CK21" s="34" t="str">
        <f>'NF-Sets'!B27</f>
        <v>Auswahlliste Nutzungsformen</v>
      </c>
      <c r="CL21" s="34"/>
      <c r="CM21" s="27"/>
    </row>
    <row r="22" spans="2:91" s="32" customFormat="1" ht="18.899999999999999" customHeight="1" thickBot="1">
      <c r="B22" s="522">
        <f t="shared" ca="1" si="2"/>
        <v>0</v>
      </c>
      <c r="C22" s="69">
        <f t="shared" ca="1" si="3"/>
        <v>0</v>
      </c>
      <c r="D22" s="683" t="str">
        <f t="shared" si="4"/>
        <v/>
      </c>
      <c r="E22" s="683"/>
      <c r="F22" s="683"/>
      <c r="G22" s="684"/>
      <c r="H22" s="33"/>
      <c r="I22" s="246" t="s">
        <v>134</v>
      </c>
      <c r="J22" s="250">
        <f t="shared" ca="1" si="0"/>
        <v>0</v>
      </c>
      <c r="K22" s="687">
        <f t="shared" ca="1" si="1"/>
        <v>0</v>
      </c>
      <c r="L22" s="687"/>
      <c r="M22" s="251"/>
      <c r="N22" s="23"/>
      <c r="O22" s="366" t="s">
        <v>125</v>
      </c>
      <c r="P22" s="54"/>
      <c r="Q22" s="489" t="s">
        <v>135</v>
      </c>
      <c r="R22" s="490" t="s">
        <v>136</v>
      </c>
      <c r="S22" s="491" t="s">
        <v>137</v>
      </c>
      <c r="T22" s="492"/>
      <c r="U22" s="489" t="s">
        <v>135</v>
      </c>
      <c r="V22" s="490" t="s">
        <v>136</v>
      </c>
      <c r="W22" s="491" t="s">
        <v>137</v>
      </c>
      <c r="X22" s="492"/>
      <c r="Y22" s="489" t="s">
        <v>135</v>
      </c>
      <c r="Z22" s="490" t="s">
        <v>136</v>
      </c>
      <c r="AA22" s="491" t="s">
        <v>137</v>
      </c>
      <c r="AC22" s="493" t="s">
        <v>24</v>
      </c>
      <c r="AD22" s="275"/>
      <c r="AE22" s="276">
        <f t="shared" ref="AE22:AJ22" ca="1" si="5">AE46</f>
        <v>0</v>
      </c>
      <c r="AF22" s="277">
        <f t="shared" ca="1" si="5"/>
        <v>0</v>
      </c>
      <c r="AG22" s="278">
        <f t="shared" ca="1" si="5"/>
        <v>0</v>
      </c>
      <c r="AH22" s="277">
        <f t="shared" ca="1" si="5"/>
        <v>0</v>
      </c>
      <c r="AI22" s="278">
        <f t="shared" ca="1" si="5"/>
        <v>0</v>
      </c>
      <c r="AJ22" s="279">
        <f t="shared" ca="1" si="5"/>
        <v>0</v>
      </c>
      <c r="AK22" s="280"/>
      <c r="AL22" s="281">
        <f ca="1">AL46</f>
        <v>0</v>
      </c>
      <c r="AM22" s="282">
        <f ca="1">AM46</f>
        <v>0</v>
      </c>
      <c r="AN22" s="283">
        <f t="shared" ref="AN22:AN46" ca="1" si="6">AL22+AM22</f>
        <v>0</v>
      </c>
      <c r="AO22" s="284">
        <f ca="1">AO46</f>
        <v>0</v>
      </c>
      <c r="AP22" s="282">
        <f ca="1">AP46</f>
        <v>0</v>
      </c>
      <c r="AQ22" s="283">
        <f t="shared" ref="AQ22:AQ46" ca="1" si="7">AO22+AP22</f>
        <v>0</v>
      </c>
      <c r="AR22" s="284">
        <f ca="1">AR46</f>
        <v>0</v>
      </c>
      <c r="AS22" s="282">
        <f ca="1">AS46</f>
        <v>0</v>
      </c>
      <c r="AT22" s="283">
        <f t="shared" ref="AT22:AT46" ca="1" si="8">AR22+AS22</f>
        <v>0</v>
      </c>
      <c r="AU22" s="284">
        <f t="shared" ref="AU22:AU46" ca="1" si="9">AL22+AO22+AR22</f>
        <v>0</v>
      </c>
      <c r="AV22" s="283">
        <f t="shared" ref="AV22:AV46" ca="1" si="10">AM22+AP22+AS22</f>
        <v>0</v>
      </c>
      <c r="AW22" s="285">
        <f t="shared" ref="AW22:AW46" ca="1" si="11">AU22+AV22</f>
        <v>0</v>
      </c>
      <c r="AX22" s="286"/>
      <c r="AY22" s="281">
        <f ca="1">AY46</f>
        <v>0</v>
      </c>
      <c r="AZ22" s="282">
        <f ca="1">AZ46</f>
        <v>0</v>
      </c>
      <c r="BA22" s="283">
        <f ca="1">BA46</f>
        <v>0</v>
      </c>
      <c r="BB22" s="284">
        <f ca="1">BB46</f>
        <v>0</v>
      </c>
      <c r="BC22" s="282">
        <f ca="1">BC46</f>
        <v>0</v>
      </c>
      <c r="BD22" s="283">
        <f t="shared" ref="BD22:BD46" ca="1" si="12">BB22+BC22</f>
        <v>0</v>
      </c>
      <c r="BE22" s="284">
        <f ca="1">BE46</f>
        <v>0</v>
      </c>
      <c r="BF22" s="282">
        <f ca="1">BF46</f>
        <v>0</v>
      </c>
      <c r="BG22" s="283">
        <f t="shared" ref="BG22:BG46" ca="1" si="13">BE22+BF22</f>
        <v>0</v>
      </c>
      <c r="BH22" s="284">
        <f ca="1">BH46</f>
        <v>0</v>
      </c>
      <c r="BI22" s="283">
        <f ca="1">BI46</f>
        <v>0</v>
      </c>
      <c r="BJ22" s="285">
        <f t="shared" ref="BJ22:BJ46" ca="1" si="14">BH22+BI22</f>
        <v>0</v>
      </c>
      <c r="BK22" s="286"/>
      <c r="BL22" s="281">
        <f ca="1">BL46</f>
        <v>0</v>
      </c>
      <c r="BM22" s="282">
        <f ca="1">BM46</f>
        <v>0</v>
      </c>
      <c r="BN22" s="283">
        <f t="shared" ref="BN22:BN46" ca="1" si="15">BL22+BM22</f>
        <v>0</v>
      </c>
      <c r="BO22" s="284">
        <f ca="1">BO46</f>
        <v>0</v>
      </c>
      <c r="BP22" s="282">
        <f ca="1">BP46</f>
        <v>0</v>
      </c>
      <c r="BQ22" s="283">
        <f t="shared" ref="BQ22:BQ46" ca="1" si="16">BO22+BP22</f>
        <v>0</v>
      </c>
      <c r="BR22" s="284">
        <f ca="1">BR46</f>
        <v>0</v>
      </c>
      <c r="BS22" s="282">
        <f ca="1">BS46</f>
        <v>0</v>
      </c>
      <c r="BT22" s="283">
        <f t="shared" ref="BT22:BT46" ca="1" si="17">BR22+BS22</f>
        <v>0</v>
      </c>
      <c r="BU22" s="284">
        <f t="shared" ref="BU22:BU46" ca="1" si="18">BL22+BO22+BR22</f>
        <v>0</v>
      </c>
      <c r="BV22" s="283">
        <f t="shared" ref="BV22:BV46" ca="1" si="19">BM22+BP22+BS22</f>
        <v>0</v>
      </c>
      <c r="BW22" s="285">
        <f t="shared" ref="BW22:BW46" ca="1" si="20">BU22+BV22</f>
        <v>0</v>
      </c>
      <c r="BX22" s="286"/>
      <c r="BY22" s="287">
        <v>0</v>
      </c>
      <c r="BZ22" s="288">
        <v>0</v>
      </c>
      <c r="CA22" s="289">
        <v>0</v>
      </c>
      <c r="CB22" s="290">
        <f ca="1">CB46</f>
        <v>0</v>
      </c>
      <c r="CC22" s="370"/>
      <c r="CD22" s="44"/>
      <c r="CE22" s="27"/>
      <c r="CF22" s="27">
        <v>0</v>
      </c>
      <c r="CG22" s="27" t="s">
        <v>138</v>
      </c>
      <c r="CI22" s="27"/>
      <c r="CJ22" s="27"/>
      <c r="CK22" s="34">
        <v>0</v>
      </c>
      <c r="CL22" s="34" t="s">
        <v>139</v>
      </c>
      <c r="CM22" s="27"/>
    </row>
    <row r="23" spans="2:91" s="32" customFormat="1" ht="18.899999999999999" customHeight="1">
      <c r="B23" s="522">
        <f t="shared" ca="1" si="2"/>
        <v>0</v>
      </c>
      <c r="C23" s="69">
        <f t="shared" ca="1" si="3"/>
        <v>0</v>
      </c>
      <c r="D23" s="683" t="str">
        <f t="shared" si="4"/>
        <v/>
      </c>
      <c r="E23" s="683"/>
      <c r="F23" s="683"/>
      <c r="G23" s="684"/>
      <c r="H23" s="33"/>
      <c r="I23" s="246" t="s">
        <v>140</v>
      </c>
      <c r="J23" s="250">
        <f t="shared" ca="1" si="0"/>
        <v>0</v>
      </c>
      <c r="K23" s="687">
        <f t="shared" ca="1" si="1"/>
        <v>0</v>
      </c>
      <c r="L23" s="687"/>
      <c r="M23" s="251"/>
      <c r="N23" s="23"/>
      <c r="O23" s="357" t="s">
        <v>23</v>
      </c>
      <c r="P23" s="247"/>
      <c r="Q23" s="360">
        <f t="shared" ref="Q23:Q46" ca="1" si="21">AU23</f>
        <v>0</v>
      </c>
      <c r="R23" s="351">
        <f t="shared" ref="R23:R46" ca="1" si="22">AV23</f>
        <v>0</v>
      </c>
      <c r="S23" s="361">
        <f t="shared" ref="S23:S46" ca="1" si="23">SUM(Q23:R23)</f>
        <v>0</v>
      </c>
      <c r="T23" s="247"/>
      <c r="U23" s="360">
        <f t="shared" ref="U23:U46" ca="1" si="24">BH23</f>
        <v>0</v>
      </c>
      <c r="V23" s="351">
        <f t="shared" ref="V23:V46" ca="1" si="25">BI23</f>
        <v>0</v>
      </c>
      <c r="W23" s="361">
        <f t="shared" ref="W23:W46" ca="1" si="26">SUM(U23:V23)</f>
        <v>0</v>
      </c>
      <c r="X23" s="247"/>
      <c r="Y23" s="360">
        <f t="shared" ref="Y23:Y46" ca="1" si="27">BU23</f>
        <v>0</v>
      </c>
      <c r="Z23" s="351">
        <f t="shared" ref="Z23:Z46" ca="1" si="28">BV23</f>
        <v>0</v>
      </c>
      <c r="AA23" s="361">
        <f t="shared" ref="AA23:AA46" ca="1" si="29">SUM(Y23:Z23)</f>
        <v>0</v>
      </c>
      <c r="AB23" s="58" t="str">
        <f t="shared" ref="AB23:AB34" ca="1" si="30">IF(AND(AA23=MAX($AA$23:$AA$34),AA23&gt;0)=TRUE,"morgendliche
Spitzenstunde","")</f>
        <v/>
      </c>
      <c r="AC23" s="494" t="s">
        <v>23</v>
      </c>
      <c r="AD23" s="275"/>
      <c r="AE23" s="291">
        <f t="shared" ref="AE23:AE46" ca="1" si="31">INDIRECT(ADDRESS(ROW()-$G$6,$F$6,,,$B$6))</f>
        <v>0</v>
      </c>
      <c r="AF23" s="292">
        <f t="shared" ref="AF23:AF46" ca="1" si="32">INDIRECT(ADDRESS(ROW()-$G$6,$F$6+1,,,$B$6))</f>
        <v>0</v>
      </c>
      <c r="AG23" s="293">
        <f t="shared" ref="AG23:AG46" ca="1" si="33">INDIRECT(ADDRESS(ROW()-$G$6,$F$6+2,,,$B$6))</f>
        <v>0</v>
      </c>
      <c r="AH23" s="292">
        <f t="shared" ref="AH23:AH46" ca="1" si="34">INDIRECT(ADDRESS(ROW()-$G$6,$F$6+3,,,$B$6))</f>
        <v>0</v>
      </c>
      <c r="AI23" s="293">
        <f t="shared" ref="AI23:AI46" ca="1" si="35">INDIRECT(ADDRESS(ROW()-$G$6,$F$6+4,,,$B$6))</f>
        <v>0</v>
      </c>
      <c r="AJ23" s="294">
        <f t="shared" ref="AJ23:AJ46" ca="1" si="36">INDIRECT(ADDRESS(ROW()-$G$6,$F$6+5,,,$B$6))</f>
        <v>0</v>
      </c>
      <c r="AK23" s="280"/>
      <c r="AL23" s="295">
        <f t="shared" ref="AL23:AL46" ca="1" si="37">-AE23*1/2*IF(ISERROR($M$30)=FALSE,$M$30,0)/100</f>
        <v>0</v>
      </c>
      <c r="AM23" s="296">
        <f t="shared" ref="AM23:AM46" ca="1" si="38">AF23*1/2*IF(ISERROR($M$30)=FALSE,$M$30,0)/100</f>
        <v>0</v>
      </c>
      <c r="AN23" s="297">
        <f t="shared" ca="1" si="6"/>
        <v>0</v>
      </c>
      <c r="AO23" s="298">
        <f t="shared" ref="AO23:AO46" ca="1" si="39">-AG23*1/2*IF(ISERROR($M$29)=FALSE,$M$29,0)/100</f>
        <v>0</v>
      </c>
      <c r="AP23" s="296">
        <f t="shared" ref="AP23:AP46" ca="1" si="40">AH23*1/2*IF(ISERROR($M$29)=FALSE,$M$29,0)/100</f>
        <v>0</v>
      </c>
      <c r="AQ23" s="297">
        <f t="shared" ca="1" si="7"/>
        <v>0</v>
      </c>
      <c r="AR23" s="298">
        <f t="shared" ref="AR23:AR46" ca="1" si="41">-AI23*1/2*IF(ISERROR($M$31)=FALSE,$M$31,0)/100</f>
        <v>0</v>
      </c>
      <c r="AS23" s="296">
        <f t="shared" ref="AS23:AS46" ca="1" si="42">AJ23*1/2*IF(ISERROR($M$31)=FALSE,$M$31,0)/100</f>
        <v>0</v>
      </c>
      <c r="AT23" s="297">
        <f t="shared" ca="1" si="8"/>
        <v>0</v>
      </c>
      <c r="AU23" s="298">
        <f t="shared" ca="1" si="9"/>
        <v>0</v>
      </c>
      <c r="AV23" s="297">
        <f t="shared" ca="1" si="10"/>
        <v>0</v>
      </c>
      <c r="AW23" s="299">
        <f t="shared" ca="1" si="11"/>
        <v>0</v>
      </c>
      <c r="AX23" s="286"/>
      <c r="AY23" s="295">
        <f t="shared" ref="AY23:AY46" ca="1" si="43">AL23*(100-IF(AND($J$36&lt;&gt;$K$9,$J$36&lt;&gt;"")=TRUE,$M$36,)-IF(AND($J$37&lt;&gt;$K$9,$J$37&lt;&gt;"")=TRUE,$M$37,)-IF(AND($J$38&lt;&gt;$K$9,$J$38&lt;&gt;"")=TRUE,$M$38,))/100</f>
        <v>0</v>
      </c>
      <c r="AZ23" s="296">
        <f t="shared" ref="AZ23:AZ46" ca="1" si="44">AM23*(100-IF(AND($J$36&lt;&gt;$K$9,$J$36&lt;&gt;"")=TRUE,$M$36,)-IF(AND($J$37&lt;&gt;$K$9,$J$37&lt;&gt;"")=TRUE,$M$37,)-IF(AND($J$38&lt;&gt;$K$9,$J$38&lt;&gt;"")=TRUE,$M$38,))/100</f>
        <v>0</v>
      </c>
      <c r="BA23" s="297">
        <f t="shared" ref="BA23:BA46" ca="1" si="45">AY23+AZ23</f>
        <v>0</v>
      </c>
      <c r="BB23" s="298">
        <f t="shared" ref="BB23:BB46" ca="1" si="46">BO23</f>
        <v>0</v>
      </c>
      <c r="BC23" s="296">
        <f t="shared" ref="BC23:BC46" ca="1" si="47">BP23</f>
        <v>0</v>
      </c>
      <c r="BD23" s="297">
        <f t="shared" ca="1" si="12"/>
        <v>0</v>
      </c>
      <c r="BE23" s="298">
        <f t="shared" ref="BE23:BE46" ca="1" si="48">BR23</f>
        <v>0</v>
      </c>
      <c r="BF23" s="296">
        <f t="shared" ref="BF23:BF46" ca="1" si="49">BS23</f>
        <v>0</v>
      </c>
      <c r="BG23" s="297">
        <f t="shared" ca="1" si="13"/>
        <v>0</v>
      </c>
      <c r="BH23" s="298">
        <f t="shared" ref="BH23:BH46" ca="1" si="50">AY23+BB23+BE23</f>
        <v>0</v>
      </c>
      <c r="BI23" s="297">
        <f t="shared" ref="BI23:BI46" ca="1" si="51">AZ23+BC23+BF23</f>
        <v>0</v>
      </c>
      <c r="BJ23" s="299">
        <f t="shared" ca="1" si="14"/>
        <v>0</v>
      </c>
      <c r="BK23" s="286"/>
      <c r="BL23" s="295">
        <f t="shared" ref="BL23:BL46" ca="1" si="52">AL23*(100-IF(AND($J$36&lt;&gt;"",$M$36&gt;0)=TRUE,$M$36,)-IF(AND($J$37&lt;&gt;"",$M$37&gt;0)=TRUE,$M$37,)-IF(AND($J$38&lt;&gt;"",$M$38&gt;0)=TRUE,$M$38))/100</f>
        <v>0</v>
      </c>
      <c r="BM23" s="296">
        <f t="shared" ref="BM23:BM46" ca="1" si="53">AM23*(100-IF(AND($J$36&lt;&gt;"",$M$36&gt;0)=TRUE,$M$36,)-IF(AND($J$37&lt;&gt;"",$M$37&gt;0)=TRUE,$M$37,)-IF(AND($J$38&lt;&gt;"",$M$38&gt;0)=TRUE,$M$38))/100</f>
        <v>0</v>
      </c>
      <c r="BN23" s="297">
        <f t="shared" ca="1" si="15"/>
        <v>0</v>
      </c>
      <c r="BO23" s="298">
        <f t="shared" ref="BO23:BO46" ca="1" si="54">AO23</f>
        <v>0</v>
      </c>
      <c r="BP23" s="296">
        <f t="shared" ref="BP23:BP46" ca="1" si="55">AP23</f>
        <v>0</v>
      </c>
      <c r="BQ23" s="297">
        <f t="shared" ca="1" si="16"/>
        <v>0</v>
      </c>
      <c r="BR23" s="298">
        <f t="shared" ref="BR23:BR46" ca="1" si="56">AR23</f>
        <v>0</v>
      </c>
      <c r="BS23" s="296">
        <f t="shared" ref="BS23:BS46" ca="1" si="57">AS23</f>
        <v>0</v>
      </c>
      <c r="BT23" s="297">
        <f t="shared" ca="1" si="17"/>
        <v>0</v>
      </c>
      <c r="BU23" s="298">
        <f t="shared" ca="1" si="18"/>
        <v>0</v>
      </c>
      <c r="BV23" s="297">
        <f t="shared" ca="1" si="19"/>
        <v>0</v>
      </c>
      <c r="BW23" s="299">
        <f t="shared" ca="1" si="20"/>
        <v>0</v>
      </c>
      <c r="BX23" s="286"/>
      <c r="BY23" s="300">
        <f ca="1">IF((-AY23+AZ23+BY22)&gt;=0,-AY23+AZ23+BY22,0)</f>
        <v>0</v>
      </c>
      <c r="BZ23" s="301">
        <f ca="1">IF((-BB23+BC23+BZ22)&gt;=0,-BB23+BC23+BZ22,0)</f>
        <v>0</v>
      </c>
      <c r="CA23" s="301">
        <f ca="1">IF((-BE23+BF23+CA22)&gt;=0,-BE23+BF23+CA22,0)</f>
        <v>0</v>
      </c>
      <c r="CB23" s="302">
        <f t="shared" ref="CB23:CB46" ca="1" si="58">SUM(BY23:CA23)</f>
        <v>0</v>
      </c>
      <c r="CC23" s="370"/>
      <c r="CD23" s="44"/>
      <c r="CE23" s="27"/>
      <c r="CF23" s="27">
        <f>'GL-Sets'!C87</f>
        <v>1</v>
      </c>
      <c r="CG23" s="27" t="str">
        <f>'GL-Sets'!D87</f>
        <v>Wohnnutzung 
(Hinweise zur Schätzung des Verkehrsaufkommens von Gebietstypen)</v>
      </c>
      <c r="CH23" s="27"/>
      <c r="CI23" s="27"/>
      <c r="CJ23" s="27"/>
      <c r="CK23" s="41">
        <f>'NF-Sets'!C28</f>
        <v>1</v>
      </c>
      <c r="CL23" s="42" t="str">
        <f>'NF-Sets'!B28</f>
        <v>Büronutzung</v>
      </c>
      <c r="CM23" s="27"/>
    </row>
    <row r="24" spans="2:91" s="32" customFormat="1" ht="18.899999999999999" customHeight="1">
      <c r="B24" s="522">
        <f t="shared" ca="1" si="2"/>
        <v>0</v>
      </c>
      <c r="C24" s="69">
        <f t="shared" ca="1" si="3"/>
        <v>0</v>
      </c>
      <c r="D24" s="683" t="str">
        <f t="shared" si="4"/>
        <v/>
      </c>
      <c r="E24" s="683"/>
      <c r="F24" s="683"/>
      <c r="G24" s="684"/>
      <c r="H24" s="33"/>
      <c r="I24" s="246" t="s">
        <v>141</v>
      </c>
      <c r="J24" s="250">
        <f t="shared" ca="1" si="0"/>
        <v>0</v>
      </c>
      <c r="K24" s="687">
        <f t="shared" ca="1" si="1"/>
        <v>0</v>
      </c>
      <c r="L24" s="687"/>
      <c r="M24" s="251"/>
      <c r="N24" s="23"/>
      <c r="O24" s="358" t="s">
        <v>25</v>
      </c>
      <c r="P24" s="247"/>
      <c r="Q24" s="362">
        <f t="shared" ca="1" si="21"/>
        <v>0</v>
      </c>
      <c r="R24" s="248">
        <f t="shared" ca="1" si="22"/>
        <v>0</v>
      </c>
      <c r="S24" s="363">
        <f t="shared" ca="1" si="23"/>
        <v>0</v>
      </c>
      <c r="T24" s="247"/>
      <c r="U24" s="362">
        <f t="shared" ca="1" si="24"/>
        <v>0</v>
      </c>
      <c r="V24" s="248">
        <f t="shared" ca="1" si="25"/>
        <v>0</v>
      </c>
      <c r="W24" s="363">
        <f t="shared" ca="1" si="26"/>
        <v>0</v>
      </c>
      <c r="X24" s="247"/>
      <c r="Y24" s="362">
        <f t="shared" ca="1" si="27"/>
        <v>0</v>
      </c>
      <c r="Z24" s="248">
        <f t="shared" ca="1" si="28"/>
        <v>0</v>
      </c>
      <c r="AA24" s="363">
        <f t="shared" ca="1" si="29"/>
        <v>0</v>
      </c>
      <c r="AB24" s="58" t="str">
        <f t="shared" ca="1" si="30"/>
        <v/>
      </c>
      <c r="AC24" s="495" t="s">
        <v>25</v>
      </c>
      <c r="AD24" s="275"/>
      <c r="AE24" s="303">
        <f t="shared" ca="1" si="31"/>
        <v>0</v>
      </c>
      <c r="AF24" s="304">
        <f t="shared" ca="1" si="32"/>
        <v>0</v>
      </c>
      <c r="AG24" s="305">
        <f t="shared" ca="1" si="33"/>
        <v>0</v>
      </c>
      <c r="AH24" s="304">
        <f t="shared" ca="1" si="34"/>
        <v>0</v>
      </c>
      <c r="AI24" s="305">
        <f t="shared" ca="1" si="35"/>
        <v>0</v>
      </c>
      <c r="AJ24" s="306">
        <f t="shared" ca="1" si="36"/>
        <v>0</v>
      </c>
      <c r="AK24" s="280"/>
      <c r="AL24" s="307">
        <f t="shared" ca="1" si="37"/>
        <v>0</v>
      </c>
      <c r="AM24" s="308">
        <f t="shared" ca="1" si="38"/>
        <v>0</v>
      </c>
      <c r="AN24" s="309">
        <f t="shared" ca="1" si="6"/>
        <v>0</v>
      </c>
      <c r="AO24" s="310">
        <f t="shared" ca="1" si="39"/>
        <v>0</v>
      </c>
      <c r="AP24" s="308">
        <f t="shared" ca="1" si="40"/>
        <v>0</v>
      </c>
      <c r="AQ24" s="309">
        <f t="shared" ca="1" si="7"/>
        <v>0</v>
      </c>
      <c r="AR24" s="310">
        <f t="shared" ca="1" si="41"/>
        <v>0</v>
      </c>
      <c r="AS24" s="308">
        <f t="shared" ca="1" si="42"/>
        <v>0</v>
      </c>
      <c r="AT24" s="309">
        <f t="shared" ca="1" si="8"/>
        <v>0</v>
      </c>
      <c r="AU24" s="310">
        <f t="shared" ca="1" si="9"/>
        <v>0</v>
      </c>
      <c r="AV24" s="309">
        <f t="shared" ca="1" si="10"/>
        <v>0</v>
      </c>
      <c r="AW24" s="311">
        <f t="shared" ca="1" si="11"/>
        <v>0</v>
      </c>
      <c r="AX24" s="286"/>
      <c r="AY24" s="307">
        <f t="shared" ca="1" si="43"/>
        <v>0</v>
      </c>
      <c r="AZ24" s="308">
        <f t="shared" ca="1" si="44"/>
        <v>0</v>
      </c>
      <c r="BA24" s="309">
        <f t="shared" ca="1" si="45"/>
        <v>0</v>
      </c>
      <c r="BB24" s="310">
        <f t="shared" ca="1" si="46"/>
        <v>0</v>
      </c>
      <c r="BC24" s="308">
        <f t="shared" ca="1" si="47"/>
        <v>0</v>
      </c>
      <c r="BD24" s="309">
        <f t="shared" ca="1" si="12"/>
        <v>0</v>
      </c>
      <c r="BE24" s="310">
        <f t="shared" ca="1" si="48"/>
        <v>0</v>
      </c>
      <c r="BF24" s="308">
        <f t="shared" ca="1" si="49"/>
        <v>0</v>
      </c>
      <c r="BG24" s="309">
        <f t="shared" ca="1" si="13"/>
        <v>0</v>
      </c>
      <c r="BH24" s="310">
        <f t="shared" ca="1" si="50"/>
        <v>0</v>
      </c>
      <c r="BI24" s="309">
        <f t="shared" ca="1" si="51"/>
        <v>0</v>
      </c>
      <c r="BJ24" s="311">
        <f t="shared" ca="1" si="14"/>
        <v>0</v>
      </c>
      <c r="BK24" s="286"/>
      <c r="BL24" s="307">
        <f t="shared" ca="1" si="52"/>
        <v>0</v>
      </c>
      <c r="BM24" s="308">
        <f t="shared" ca="1" si="53"/>
        <v>0</v>
      </c>
      <c r="BN24" s="309">
        <f t="shared" ca="1" si="15"/>
        <v>0</v>
      </c>
      <c r="BO24" s="310">
        <f t="shared" ca="1" si="54"/>
        <v>0</v>
      </c>
      <c r="BP24" s="308">
        <f t="shared" ca="1" si="55"/>
        <v>0</v>
      </c>
      <c r="BQ24" s="309">
        <f t="shared" ca="1" si="16"/>
        <v>0</v>
      </c>
      <c r="BR24" s="310">
        <f t="shared" ca="1" si="56"/>
        <v>0</v>
      </c>
      <c r="BS24" s="308">
        <f t="shared" ca="1" si="57"/>
        <v>0</v>
      </c>
      <c r="BT24" s="309">
        <f t="shared" ca="1" si="17"/>
        <v>0</v>
      </c>
      <c r="BU24" s="310">
        <f t="shared" ca="1" si="18"/>
        <v>0</v>
      </c>
      <c r="BV24" s="309">
        <f t="shared" ca="1" si="19"/>
        <v>0</v>
      </c>
      <c r="BW24" s="311">
        <f t="shared" ca="1" si="20"/>
        <v>0</v>
      </c>
      <c r="BX24" s="286"/>
      <c r="BY24" s="300">
        <f t="shared" ref="BY24:BY45" ca="1" si="59">IF((-AY24+AZ24+BY23)&gt;=0,-AY24+AZ24+BY23,0)</f>
        <v>0</v>
      </c>
      <c r="BZ24" s="301">
        <f t="shared" ref="BZ24:BZ46" ca="1" si="60">IF((-BB24+BC24+BZ23)&gt;=0,-BB24+BC24+BZ23,0)</f>
        <v>0</v>
      </c>
      <c r="CA24" s="301">
        <f t="shared" ref="CA24:CA46" ca="1" si="61">IF((-BE24+BF24+CA23)&gt;=0,-BE24+BF24+CA23,0)</f>
        <v>0</v>
      </c>
      <c r="CB24" s="312">
        <f t="shared" ca="1" si="58"/>
        <v>0</v>
      </c>
      <c r="CC24" s="370"/>
      <c r="CD24" s="44"/>
      <c r="CE24" s="27"/>
      <c r="CF24" s="27">
        <f>'GL-Sets'!C88</f>
        <v>2</v>
      </c>
      <c r="CG24" s="27" t="str">
        <f ca="1">'GL-Sets'!D88</f>
        <v>kleinflächige gewerbliche Nutzung 
(Hinweise zur Schätzung des Verkehrsaufkommens von Gebietstypen)</v>
      </c>
      <c r="CH24" s="27"/>
      <c r="CI24" s="27"/>
      <c r="CJ24" s="27"/>
      <c r="CK24" s="41">
        <f>'NF-Sets'!C29</f>
        <v>2</v>
      </c>
      <c r="CL24" s="42" t="str">
        <f ca="1">'NF-Sets'!B29</f>
        <v>Discounter</v>
      </c>
      <c r="CM24" s="27"/>
    </row>
    <row r="25" spans="2:91" s="32" customFormat="1" ht="18.899999999999999" customHeight="1">
      <c r="B25" s="522">
        <f t="shared" ca="1" si="2"/>
        <v>0</v>
      </c>
      <c r="C25" s="69">
        <f t="shared" ca="1" si="3"/>
        <v>0</v>
      </c>
      <c r="D25" s="683" t="str">
        <f t="shared" si="4"/>
        <v/>
      </c>
      <c r="E25" s="683"/>
      <c r="F25" s="683"/>
      <c r="G25" s="684"/>
      <c r="H25" s="33"/>
      <c r="I25" s="246" t="s">
        <v>142</v>
      </c>
      <c r="J25" s="250">
        <f t="shared" ca="1" si="0"/>
        <v>0</v>
      </c>
      <c r="K25" s="687">
        <f t="shared" ca="1" si="1"/>
        <v>0</v>
      </c>
      <c r="L25" s="687"/>
      <c r="M25" s="251"/>
      <c r="N25" s="23"/>
      <c r="O25" s="358" t="s">
        <v>26</v>
      </c>
      <c r="P25" s="247"/>
      <c r="Q25" s="362">
        <f t="shared" ca="1" si="21"/>
        <v>0</v>
      </c>
      <c r="R25" s="248">
        <f t="shared" ca="1" si="22"/>
        <v>0</v>
      </c>
      <c r="S25" s="363">
        <f t="shared" ca="1" si="23"/>
        <v>0</v>
      </c>
      <c r="T25" s="247"/>
      <c r="U25" s="362">
        <f t="shared" ca="1" si="24"/>
        <v>0</v>
      </c>
      <c r="V25" s="248">
        <f t="shared" ca="1" si="25"/>
        <v>0</v>
      </c>
      <c r="W25" s="363">
        <f t="shared" ca="1" si="26"/>
        <v>0</v>
      </c>
      <c r="X25" s="247"/>
      <c r="Y25" s="362">
        <f t="shared" ca="1" si="27"/>
        <v>0</v>
      </c>
      <c r="Z25" s="248">
        <f t="shared" ca="1" si="28"/>
        <v>0</v>
      </c>
      <c r="AA25" s="363">
        <f t="shared" ca="1" si="29"/>
        <v>0</v>
      </c>
      <c r="AB25" s="58" t="str">
        <f t="shared" ca="1" si="30"/>
        <v/>
      </c>
      <c r="AC25" s="495" t="s">
        <v>26</v>
      </c>
      <c r="AD25" s="275"/>
      <c r="AE25" s="303">
        <f t="shared" ca="1" si="31"/>
        <v>0</v>
      </c>
      <c r="AF25" s="304">
        <f t="shared" ca="1" si="32"/>
        <v>0</v>
      </c>
      <c r="AG25" s="305">
        <f t="shared" ca="1" si="33"/>
        <v>0</v>
      </c>
      <c r="AH25" s="304">
        <f t="shared" ca="1" si="34"/>
        <v>0</v>
      </c>
      <c r="AI25" s="305">
        <f t="shared" ca="1" si="35"/>
        <v>0</v>
      </c>
      <c r="AJ25" s="306">
        <f t="shared" ca="1" si="36"/>
        <v>0</v>
      </c>
      <c r="AK25" s="280"/>
      <c r="AL25" s="307">
        <f t="shared" ca="1" si="37"/>
        <v>0</v>
      </c>
      <c r="AM25" s="308">
        <f t="shared" ca="1" si="38"/>
        <v>0</v>
      </c>
      <c r="AN25" s="309">
        <f t="shared" ca="1" si="6"/>
        <v>0</v>
      </c>
      <c r="AO25" s="310">
        <f t="shared" ca="1" si="39"/>
        <v>0</v>
      </c>
      <c r="AP25" s="308">
        <f t="shared" ca="1" si="40"/>
        <v>0</v>
      </c>
      <c r="AQ25" s="309">
        <f t="shared" ca="1" si="7"/>
        <v>0</v>
      </c>
      <c r="AR25" s="310">
        <f t="shared" ca="1" si="41"/>
        <v>0</v>
      </c>
      <c r="AS25" s="308">
        <f t="shared" ca="1" si="42"/>
        <v>0</v>
      </c>
      <c r="AT25" s="309">
        <f t="shared" ca="1" si="8"/>
        <v>0</v>
      </c>
      <c r="AU25" s="310">
        <f t="shared" ca="1" si="9"/>
        <v>0</v>
      </c>
      <c r="AV25" s="309">
        <f t="shared" ca="1" si="10"/>
        <v>0</v>
      </c>
      <c r="AW25" s="311">
        <f t="shared" ca="1" si="11"/>
        <v>0</v>
      </c>
      <c r="AX25" s="286"/>
      <c r="AY25" s="307">
        <f t="shared" ca="1" si="43"/>
        <v>0</v>
      </c>
      <c r="AZ25" s="308">
        <f t="shared" ca="1" si="44"/>
        <v>0</v>
      </c>
      <c r="BA25" s="309">
        <f t="shared" ca="1" si="45"/>
        <v>0</v>
      </c>
      <c r="BB25" s="310">
        <f t="shared" ca="1" si="46"/>
        <v>0</v>
      </c>
      <c r="BC25" s="308">
        <f t="shared" ca="1" si="47"/>
        <v>0</v>
      </c>
      <c r="BD25" s="309">
        <f t="shared" ca="1" si="12"/>
        <v>0</v>
      </c>
      <c r="BE25" s="310">
        <f t="shared" ca="1" si="48"/>
        <v>0</v>
      </c>
      <c r="BF25" s="308">
        <f t="shared" ca="1" si="49"/>
        <v>0</v>
      </c>
      <c r="BG25" s="309">
        <f t="shared" ca="1" si="13"/>
        <v>0</v>
      </c>
      <c r="BH25" s="310">
        <f t="shared" ca="1" si="50"/>
        <v>0</v>
      </c>
      <c r="BI25" s="309">
        <f t="shared" ca="1" si="51"/>
        <v>0</v>
      </c>
      <c r="BJ25" s="311">
        <f t="shared" ca="1" si="14"/>
        <v>0</v>
      </c>
      <c r="BK25" s="286"/>
      <c r="BL25" s="307">
        <f t="shared" ca="1" si="52"/>
        <v>0</v>
      </c>
      <c r="BM25" s="308">
        <f t="shared" ca="1" si="53"/>
        <v>0</v>
      </c>
      <c r="BN25" s="309">
        <f t="shared" ca="1" si="15"/>
        <v>0</v>
      </c>
      <c r="BO25" s="310">
        <f t="shared" ca="1" si="54"/>
        <v>0</v>
      </c>
      <c r="BP25" s="308">
        <f t="shared" ca="1" si="55"/>
        <v>0</v>
      </c>
      <c r="BQ25" s="309">
        <f t="shared" ca="1" si="16"/>
        <v>0</v>
      </c>
      <c r="BR25" s="310">
        <f t="shared" ca="1" si="56"/>
        <v>0</v>
      </c>
      <c r="BS25" s="308">
        <f t="shared" ca="1" si="57"/>
        <v>0</v>
      </c>
      <c r="BT25" s="309">
        <f t="shared" ca="1" si="17"/>
        <v>0</v>
      </c>
      <c r="BU25" s="310">
        <f t="shared" ca="1" si="18"/>
        <v>0</v>
      </c>
      <c r="BV25" s="309">
        <f t="shared" ca="1" si="19"/>
        <v>0</v>
      </c>
      <c r="BW25" s="311">
        <f t="shared" ca="1" si="20"/>
        <v>0</v>
      </c>
      <c r="BX25" s="286"/>
      <c r="BY25" s="300">
        <f t="shared" ca="1" si="59"/>
        <v>0</v>
      </c>
      <c r="BZ25" s="301">
        <f t="shared" ca="1" si="60"/>
        <v>0</v>
      </c>
      <c r="CA25" s="301">
        <f t="shared" ca="1" si="61"/>
        <v>0</v>
      </c>
      <c r="CB25" s="312">
        <f t="shared" ca="1" si="58"/>
        <v>0</v>
      </c>
      <c r="CC25" s="370"/>
      <c r="CD25" s="44"/>
      <c r="CE25" s="27"/>
      <c r="CF25" s="27">
        <f>'GL-Sets'!C89</f>
        <v>3</v>
      </c>
      <c r="CG25" s="27" t="str">
        <f ca="1">'GL-Sets'!D89</f>
        <v>großflächige gewerbliche Nutzung 
(Hinweise zur Schätzung des Verkehrsaufkommens von Gebietstypen)</v>
      </c>
      <c r="CH25" s="27"/>
      <c r="CI25" s="27"/>
      <c r="CJ25" s="27"/>
      <c r="CK25" s="41">
        <f>'NF-Sets'!C30</f>
        <v>3</v>
      </c>
      <c r="CL25" s="42" t="str">
        <f ca="1">'NF-Sets'!B30</f>
        <v>kleinfl. Einzelhandel</v>
      </c>
      <c r="CM25" s="27"/>
    </row>
    <row r="26" spans="2:91" s="32" customFormat="1" ht="18.899999999999999" customHeight="1">
      <c r="B26" s="522">
        <f t="shared" ca="1" si="2"/>
        <v>0</v>
      </c>
      <c r="C26" s="69">
        <f t="shared" ca="1" si="3"/>
        <v>0</v>
      </c>
      <c r="D26" s="683" t="str">
        <f t="shared" si="4"/>
        <v/>
      </c>
      <c r="E26" s="683"/>
      <c r="F26" s="683"/>
      <c r="G26" s="684"/>
      <c r="H26" s="33"/>
      <c r="I26" s="246" t="s">
        <v>143</v>
      </c>
      <c r="J26" s="250">
        <f t="shared" ca="1" si="0"/>
        <v>0</v>
      </c>
      <c r="K26" s="687">
        <f t="shared" ca="1" si="1"/>
        <v>0</v>
      </c>
      <c r="L26" s="687"/>
      <c r="M26" s="251"/>
      <c r="N26" s="23"/>
      <c r="O26" s="358" t="s">
        <v>27</v>
      </c>
      <c r="P26" s="247"/>
      <c r="Q26" s="362">
        <f t="shared" ca="1" si="21"/>
        <v>0</v>
      </c>
      <c r="R26" s="248">
        <f t="shared" ca="1" si="22"/>
        <v>0</v>
      </c>
      <c r="S26" s="363">
        <f t="shared" ca="1" si="23"/>
        <v>0</v>
      </c>
      <c r="T26" s="247"/>
      <c r="U26" s="362">
        <f t="shared" ca="1" si="24"/>
        <v>0</v>
      </c>
      <c r="V26" s="248">
        <f t="shared" ca="1" si="25"/>
        <v>0</v>
      </c>
      <c r="W26" s="363">
        <f t="shared" ca="1" si="26"/>
        <v>0</v>
      </c>
      <c r="X26" s="247"/>
      <c r="Y26" s="362">
        <f t="shared" ca="1" si="27"/>
        <v>0</v>
      </c>
      <c r="Z26" s="248">
        <f t="shared" ca="1" si="28"/>
        <v>0</v>
      </c>
      <c r="AA26" s="363">
        <f t="shared" ca="1" si="29"/>
        <v>0</v>
      </c>
      <c r="AB26" s="58" t="str">
        <f t="shared" ca="1" si="30"/>
        <v/>
      </c>
      <c r="AC26" s="495" t="s">
        <v>27</v>
      </c>
      <c r="AD26" s="275"/>
      <c r="AE26" s="303">
        <f t="shared" ca="1" si="31"/>
        <v>0</v>
      </c>
      <c r="AF26" s="304">
        <f t="shared" ca="1" si="32"/>
        <v>0</v>
      </c>
      <c r="AG26" s="305">
        <f t="shared" ca="1" si="33"/>
        <v>0</v>
      </c>
      <c r="AH26" s="304">
        <f t="shared" ca="1" si="34"/>
        <v>0</v>
      </c>
      <c r="AI26" s="305">
        <f t="shared" ca="1" si="35"/>
        <v>0</v>
      </c>
      <c r="AJ26" s="306">
        <f t="shared" ca="1" si="36"/>
        <v>0</v>
      </c>
      <c r="AK26" s="280"/>
      <c r="AL26" s="307">
        <f t="shared" ca="1" si="37"/>
        <v>0</v>
      </c>
      <c r="AM26" s="308">
        <f t="shared" ca="1" si="38"/>
        <v>0</v>
      </c>
      <c r="AN26" s="309">
        <f t="shared" ca="1" si="6"/>
        <v>0</v>
      </c>
      <c r="AO26" s="310">
        <f t="shared" ca="1" si="39"/>
        <v>0</v>
      </c>
      <c r="AP26" s="308">
        <f t="shared" ca="1" si="40"/>
        <v>0</v>
      </c>
      <c r="AQ26" s="309">
        <f t="shared" ca="1" si="7"/>
        <v>0</v>
      </c>
      <c r="AR26" s="310">
        <f t="shared" ca="1" si="41"/>
        <v>0</v>
      </c>
      <c r="AS26" s="308">
        <f t="shared" ca="1" si="42"/>
        <v>0</v>
      </c>
      <c r="AT26" s="309">
        <f t="shared" ca="1" si="8"/>
        <v>0</v>
      </c>
      <c r="AU26" s="310">
        <f t="shared" ca="1" si="9"/>
        <v>0</v>
      </c>
      <c r="AV26" s="309">
        <f t="shared" ca="1" si="10"/>
        <v>0</v>
      </c>
      <c r="AW26" s="311">
        <f t="shared" ca="1" si="11"/>
        <v>0</v>
      </c>
      <c r="AX26" s="286"/>
      <c r="AY26" s="307">
        <f t="shared" ca="1" si="43"/>
        <v>0</v>
      </c>
      <c r="AZ26" s="308">
        <f t="shared" ca="1" si="44"/>
        <v>0</v>
      </c>
      <c r="BA26" s="309">
        <f t="shared" ca="1" si="45"/>
        <v>0</v>
      </c>
      <c r="BB26" s="310">
        <f t="shared" ca="1" si="46"/>
        <v>0</v>
      </c>
      <c r="BC26" s="308">
        <f t="shared" ca="1" si="47"/>
        <v>0</v>
      </c>
      <c r="BD26" s="309">
        <f t="shared" ca="1" si="12"/>
        <v>0</v>
      </c>
      <c r="BE26" s="310">
        <f t="shared" ca="1" si="48"/>
        <v>0</v>
      </c>
      <c r="BF26" s="308">
        <f t="shared" ca="1" si="49"/>
        <v>0</v>
      </c>
      <c r="BG26" s="309">
        <f t="shared" ca="1" si="13"/>
        <v>0</v>
      </c>
      <c r="BH26" s="310">
        <f t="shared" ca="1" si="50"/>
        <v>0</v>
      </c>
      <c r="BI26" s="309">
        <f t="shared" ca="1" si="51"/>
        <v>0</v>
      </c>
      <c r="BJ26" s="311">
        <f t="shared" ca="1" si="14"/>
        <v>0</v>
      </c>
      <c r="BK26" s="286"/>
      <c r="BL26" s="307">
        <f t="shared" ca="1" si="52"/>
        <v>0</v>
      </c>
      <c r="BM26" s="308">
        <f t="shared" ca="1" si="53"/>
        <v>0</v>
      </c>
      <c r="BN26" s="309">
        <f t="shared" ca="1" si="15"/>
        <v>0</v>
      </c>
      <c r="BO26" s="310">
        <f t="shared" ca="1" si="54"/>
        <v>0</v>
      </c>
      <c r="BP26" s="308">
        <f t="shared" ca="1" si="55"/>
        <v>0</v>
      </c>
      <c r="BQ26" s="309">
        <f t="shared" ca="1" si="16"/>
        <v>0</v>
      </c>
      <c r="BR26" s="310">
        <f t="shared" ca="1" si="56"/>
        <v>0</v>
      </c>
      <c r="BS26" s="308">
        <f t="shared" ca="1" si="57"/>
        <v>0</v>
      </c>
      <c r="BT26" s="309">
        <f t="shared" ca="1" si="17"/>
        <v>0</v>
      </c>
      <c r="BU26" s="310">
        <f t="shared" ca="1" si="18"/>
        <v>0</v>
      </c>
      <c r="BV26" s="309">
        <f t="shared" ca="1" si="19"/>
        <v>0</v>
      </c>
      <c r="BW26" s="311">
        <f t="shared" ca="1" si="20"/>
        <v>0</v>
      </c>
      <c r="BX26" s="286"/>
      <c r="BY26" s="300">
        <f t="shared" ca="1" si="59"/>
        <v>0</v>
      </c>
      <c r="BZ26" s="301">
        <f t="shared" ca="1" si="60"/>
        <v>0</v>
      </c>
      <c r="CA26" s="301">
        <f t="shared" ca="1" si="61"/>
        <v>0</v>
      </c>
      <c r="CB26" s="312">
        <f t="shared" ca="1" si="58"/>
        <v>0</v>
      </c>
      <c r="CC26" s="370"/>
      <c r="CD26" s="44"/>
      <c r="CE26" s="27"/>
      <c r="CF26" s="27">
        <f>'GL-Sets'!C90</f>
        <v>4</v>
      </c>
      <c r="CG26" s="27" t="str">
        <f ca="1">'GL-Sets'!D90</f>
        <v>Freizeiteinrichtung allgemein
(Hinweise zur Schätzung des Verkehrsaufkommens von Gebietstypen)</v>
      </c>
      <c r="CH26" s="27"/>
      <c r="CI26" s="27"/>
      <c r="CJ26" s="27"/>
      <c r="CK26" s="41">
        <f>'NF-Sets'!C31</f>
        <v>4</v>
      </c>
      <c r="CL26" s="42" t="str">
        <f ca="1">'NF-Sets'!B31</f>
        <v>Einkaufszentrum</v>
      </c>
      <c r="CM26" s="27"/>
    </row>
    <row r="27" spans="2:91" s="45" customFormat="1" ht="18.899999999999999" customHeight="1">
      <c r="B27" s="522">
        <f t="shared" ca="1" si="2"/>
        <v>0</v>
      </c>
      <c r="C27" s="69">
        <f t="shared" ca="1" si="3"/>
        <v>0</v>
      </c>
      <c r="D27" s="683" t="str">
        <f t="shared" si="4"/>
        <v/>
      </c>
      <c r="E27" s="683"/>
      <c r="F27" s="683"/>
      <c r="G27" s="684"/>
      <c r="H27" s="33"/>
      <c r="I27" s="258" t="s">
        <v>144</v>
      </c>
      <c r="J27" s="265">
        <f t="shared" ca="1" si="0"/>
        <v>0</v>
      </c>
      <c r="K27" s="733">
        <f t="shared" ca="1" si="1"/>
        <v>0</v>
      </c>
      <c r="L27" s="733"/>
      <c r="M27" s="266"/>
      <c r="N27" s="23"/>
      <c r="O27" s="358" t="s">
        <v>28</v>
      </c>
      <c r="P27" s="247"/>
      <c r="Q27" s="362">
        <f t="shared" ca="1" si="21"/>
        <v>0</v>
      </c>
      <c r="R27" s="248">
        <f t="shared" ca="1" si="22"/>
        <v>0</v>
      </c>
      <c r="S27" s="363">
        <f t="shared" ca="1" si="23"/>
        <v>0</v>
      </c>
      <c r="T27" s="247"/>
      <c r="U27" s="362">
        <f t="shared" ca="1" si="24"/>
        <v>0</v>
      </c>
      <c r="V27" s="248">
        <f t="shared" ca="1" si="25"/>
        <v>0</v>
      </c>
      <c r="W27" s="363">
        <f t="shared" ca="1" si="26"/>
        <v>0</v>
      </c>
      <c r="X27" s="247"/>
      <c r="Y27" s="362">
        <f t="shared" ca="1" si="27"/>
        <v>0</v>
      </c>
      <c r="Z27" s="248">
        <f t="shared" ca="1" si="28"/>
        <v>0</v>
      </c>
      <c r="AA27" s="363">
        <f t="shared" ca="1" si="29"/>
        <v>0</v>
      </c>
      <c r="AB27" s="58" t="str">
        <f t="shared" ca="1" si="30"/>
        <v/>
      </c>
      <c r="AC27" s="495" t="s">
        <v>28</v>
      </c>
      <c r="AD27" s="275"/>
      <c r="AE27" s="303">
        <f t="shared" ca="1" si="31"/>
        <v>0</v>
      </c>
      <c r="AF27" s="304">
        <f t="shared" ca="1" si="32"/>
        <v>0</v>
      </c>
      <c r="AG27" s="305">
        <f t="shared" ca="1" si="33"/>
        <v>0</v>
      </c>
      <c r="AH27" s="304">
        <f t="shared" ca="1" si="34"/>
        <v>0</v>
      </c>
      <c r="AI27" s="305">
        <f t="shared" ca="1" si="35"/>
        <v>0</v>
      </c>
      <c r="AJ27" s="306">
        <f t="shared" ca="1" si="36"/>
        <v>0</v>
      </c>
      <c r="AK27" s="280"/>
      <c r="AL27" s="307">
        <f t="shared" ca="1" si="37"/>
        <v>0</v>
      </c>
      <c r="AM27" s="308">
        <f t="shared" ca="1" si="38"/>
        <v>0</v>
      </c>
      <c r="AN27" s="309">
        <f t="shared" ca="1" si="6"/>
        <v>0</v>
      </c>
      <c r="AO27" s="310">
        <f t="shared" ca="1" si="39"/>
        <v>0</v>
      </c>
      <c r="AP27" s="308">
        <f t="shared" ca="1" si="40"/>
        <v>0</v>
      </c>
      <c r="AQ27" s="309">
        <f t="shared" ca="1" si="7"/>
        <v>0</v>
      </c>
      <c r="AR27" s="310">
        <f t="shared" ca="1" si="41"/>
        <v>0</v>
      </c>
      <c r="AS27" s="308">
        <f t="shared" ca="1" si="42"/>
        <v>0</v>
      </c>
      <c r="AT27" s="309">
        <f t="shared" ca="1" si="8"/>
        <v>0</v>
      </c>
      <c r="AU27" s="310">
        <f t="shared" ca="1" si="9"/>
        <v>0</v>
      </c>
      <c r="AV27" s="309">
        <f t="shared" ca="1" si="10"/>
        <v>0</v>
      </c>
      <c r="AW27" s="311">
        <f t="shared" ca="1" si="11"/>
        <v>0</v>
      </c>
      <c r="AX27" s="286"/>
      <c r="AY27" s="307">
        <f t="shared" ca="1" si="43"/>
        <v>0</v>
      </c>
      <c r="AZ27" s="308">
        <f t="shared" ca="1" si="44"/>
        <v>0</v>
      </c>
      <c r="BA27" s="309">
        <f t="shared" ca="1" si="45"/>
        <v>0</v>
      </c>
      <c r="BB27" s="310">
        <f t="shared" ca="1" si="46"/>
        <v>0</v>
      </c>
      <c r="BC27" s="308">
        <f t="shared" ca="1" si="47"/>
        <v>0</v>
      </c>
      <c r="BD27" s="309">
        <f t="shared" ca="1" si="12"/>
        <v>0</v>
      </c>
      <c r="BE27" s="310">
        <f t="shared" ca="1" si="48"/>
        <v>0</v>
      </c>
      <c r="BF27" s="308">
        <f t="shared" ca="1" si="49"/>
        <v>0</v>
      </c>
      <c r="BG27" s="309">
        <f t="shared" ca="1" si="13"/>
        <v>0</v>
      </c>
      <c r="BH27" s="310">
        <f t="shared" ca="1" si="50"/>
        <v>0</v>
      </c>
      <c r="BI27" s="309">
        <f t="shared" ca="1" si="51"/>
        <v>0</v>
      </c>
      <c r="BJ27" s="311">
        <f t="shared" ca="1" si="14"/>
        <v>0</v>
      </c>
      <c r="BK27" s="286"/>
      <c r="BL27" s="307">
        <f t="shared" ca="1" si="52"/>
        <v>0</v>
      </c>
      <c r="BM27" s="308">
        <f t="shared" ca="1" si="53"/>
        <v>0</v>
      </c>
      <c r="BN27" s="309">
        <f t="shared" ca="1" si="15"/>
        <v>0</v>
      </c>
      <c r="BO27" s="310">
        <f t="shared" ca="1" si="54"/>
        <v>0</v>
      </c>
      <c r="BP27" s="308">
        <f t="shared" ca="1" si="55"/>
        <v>0</v>
      </c>
      <c r="BQ27" s="309">
        <f t="shared" ca="1" si="16"/>
        <v>0</v>
      </c>
      <c r="BR27" s="310">
        <f t="shared" ca="1" si="56"/>
        <v>0</v>
      </c>
      <c r="BS27" s="308">
        <f t="shared" ca="1" si="57"/>
        <v>0</v>
      </c>
      <c r="BT27" s="309">
        <f t="shared" ca="1" si="17"/>
        <v>0</v>
      </c>
      <c r="BU27" s="310">
        <f t="shared" ca="1" si="18"/>
        <v>0</v>
      </c>
      <c r="BV27" s="309">
        <f t="shared" ca="1" si="19"/>
        <v>0</v>
      </c>
      <c r="BW27" s="311">
        <f t="shared" ca="1" si="20"/>
        <v>0</v>
      </c>
      <c r="BX27" s="286"/>
      <c r="BY27" s="300">
        <f t="shared" ca="1" si="59"/>
        <v>0</v>
      </c>
      <c r="BZ27" s="301">
        <f t="shared" ca="1" si="60"/>
        <v>0</v>
      </c>
      <c r="CA27" s="301">
        <f t="shared" ca="1" si="61"/>
        <v>0</v>
      </c>
      <c r="CB27" s="312">
        <f t="shared" ca="1" si="58"/>
        <v>0</v>
      </c>
      <c r="CC27" s="370"/>
      <c r="CD27" s="44"/>
      <c r="CE27" s="34"/>
      <c r="CF27" s="27">
        <f>'GL-Sets'!C91</f>
        <v>5</v>
      </c>
      <c r="CG27" s="27" t="str">
        <f ca="1">'GL-Sets'!D91</f>
        <v>Kur- und Heilbad 
(Hinweise zur Schätzung des Verkehrsaufkommens von Gebietstypen)</v>
      </c>
      <c r="CH27" s="27"/>
      <c r="CI27" s="27"/>
      <c r="CJ27" s="27"/>
      <c r="CK27" s="41">
        <f>'NF-Sets'!C32</f>
        <v>5</v>
      </c>
      <c r="CL27" s="42" t="str">
        <f ca="1">'NF-Sets'!B32</f>
        <v>großfl. Einzelhandel</v>
      </c>
      <c r="CM27" s="34"/>
    </row>
    <row r="28" spans="2:91" s="32" customFormat="1" ht="18.899999999999999" customHeight="1">
      <c r="B28" s="522">
        <f t="shared" ca="1" si="2"/>
        <v>0</v>
      </c>
      <c r="C28" s="69">
        <f t="shared" ca="1" si="3"/>
        <v>0</v>
      </c>
      <c r="D28" s="679" t="s">
        <v>145</v>
      </c>
      <c r="E28" s="679"/>
      <c r="F28" s="679"/>
      <c r="G28" s="682"/>
      <c r="H28" s="33"/>
      <c r="I28" s="689" t="s">
        <v>15</v>
      </c>
      <c r="J28" s="689"/>
      <c r="K28" s="689"/>
      <c r="L28" s="689"/>
      <c r="M28" s="689"/>
      <c r="N28" s="23"/>
      <c r="O28" s="358" t="s">
        <v>29</v>
      </c>
      <c r="P28" s="247"/>
      <c r="Q28" s="362">
        <f t="shared" ca="1" si="21"/>
        <v>0</v>
      </c>
      <c r="R28" s="248">
        <f t="shared" ca="1" si="22"/>
        <v>0</v>
      </c>
      <c r="S28" s="363">
        <f t="shared" ca="1" si="23"/>
        <v>0</v>
      </c>
      <c r="T28" s="247"/>
      <c r="U28" s="362">
        <f t="shared" ca="1" si="24"/>
        <v>0</v>
      </c>
      <c r="V28" s="248">
        <f t="shared" ca="1" si="25"/>
        <v>0</v>
      </c>
      <c r="W28" s="363">
        <f t="shared" ca="1" si="26"/>
        <v>0</v>
      </c>
      <c r="X28" s="247"/>
      <c r="Y28" s="362">
        <f t="shared" ca="1" si="27"/>
        <v>0</v>
      </c>
      <c r="Z28" s="248">
        <f t="shared" ca="1" si="28"/>
        <v>0</v>
      </c>
      <c r="AA28" s="363">
        <f t="shared" ca="1" si="29"/>
        <v>0</v>
      </c>
      <c r="AB28" s="58" t="str">
        <f t="shared" ca="1" si="30"/>
        <v/>
      </c>
      <c r="AC28" s="495" t="s">
        <v>29</v>
      </c>
      <c r="AD28" s="275"/>
      <c r="AE28" s="303">
        <f t="shared" ca="1" si="31"/>
        <v>0</v>
      </c>
      <c r="AF28" s="304">
        <f t="shared" ca="1" si="32"/>
        <v>0</v>
      </c>
      <c r="AG28" s="305">
        <f t="shared" ca="1" si="33"/>
        <v>0</v>
      </c>
      <c r="AH28" s="304">
        <f t="shared" ca="1" si="34"/>
        <v>0</v>
      </c>
      <c r="AI28" s="305">
        <f t="shared" ca="1" si="35"/>
        <v>0</v>
      </c>
      <c r="AJ28" s="306">
        <f t="shared" ca="1" si="36"/>
        <v>0</v>
      </c>
      <c r="AK28" s="280"/>
      <c r="AL28" s="307">
        <f t="shared" ca="1" si="37"/>
        <v>0</v>
      </c>
      <c r="AM28" s="308">
        <f t="shared" ca="1" si="38"/>
        <v>0</v>
      </c>
      <c r="AN28" s="309">
        <f t="shared" ca="1" si="6"/>
        <v>0</v>
      </c>
      <c r="AO28" s="310">
        <f t="shared" ca="1" si="39"/>
        <v>0</v>
      </c>
      <c r="AP28" s="308">
        <f t="shared" ca="1" si="40"/>
        <v>0</v>
      </c>
      <c r="AQ28" s="309">
        <f t="shared" ca="1" si="7"/>
        <v>0</v>
      </c>
      <c r="AR28" s="310">
        <f t="shared" ca="1" si="41"/>
        <v>0</v>
      </c>
      <c r="AS28" s="308">
        <f t="shared" ca="1" si="42"/>
        <v>0</v>
      </c>
      <c r="AT28" s="309">
        <f t="shared" ca="1" si="8"/>
        <v>0</v>
      </c>
      <c r="AU28" s="310">
        <f t="shared" ca="1" si="9"/>
        <v>0</v>
      </c>
      <c r="AV28" s="309">
        <f t="shared" ca="1" si="10"/>
        <v>0</v>
      </c>
      <c r="AW28" s="311">
        <f t="shared" ca="1" si="11"/>
        <v>0</v>
      </c>
      <c r="AX28" s="286"/>
      <c r="AY28" s="307">
        <f t="shared" ca="1" si="43"/>
        <v>0</v>
      </c>
      <c r="AZ28" s="308">
        <f t="shared" ca="1" si="44"/>
        <v>0</v>
      </c>
      <c r="BA28" s="309">
        <f t="shared" ca="1" si="45"/>
        <v>0</v>
      </c>
      <c r="BB28" s="310">
        <f t="shared" ca="1" si="46"/>
        <v>0</v>
      </c>
      <c r="BC28" s="308">
        <f t="shared" ca="1" si="47"/>
        <v>0</v>
      </c>
      <c r="BD28" s="309">
        <f t="shared" ca="1" si="12"/>
        <v>0</v>
      </c>
      <c r="BE28" s="310">
        <f t="shared" ca="1" si="48"/>
        <v>0</v>
      </c>
      <c r="BF28" s="308">
        <f t="shared" ca="1" si="49"/>
        <v>0</v>
      </c>
      <c r="BG28" s="309">
        <f t="shared" ca="1" si="13"/>
        <v>0</v>
      </c>
      <c r="BH28" s="310">
        <f t="shared" ca="1" si="50"/>
        <v>0</v>
      </c>
      <c r="BI28" s="309">
        <f t="shared" ca="1" si="51"/>
        <v>0</v>
      </c>
      <c r="BJ28" s="311">
        <f t="shared" ca="1" si="14"/>
        <v>0</v>
      </c>
      <c r="BK28" s="286"/>
      <c r="BL28" s="307">
        <f t="shared" ca="1" si="52"/>
        <v>0</v>
      </c>
      <c r="BM28" s="308">
        <f t="shared" ca="1" si="53"/>
        <v>0</v>
      </c>
      <c r="BN28" s="309">
        <f t="shared" ca="1" si="15"/>
        <v>0</v>
      </c>
      <c r="BO28" s="310">
        <f t="shared" ca="1" si="54"/>
        <v>0</v>
      </c>
      <c r="BP28" s="308">
        <f t="shared" ca="1" si="55"/>
        <v>0</v>
      </c>
      <c r="BQ28" s="309">
        <f t="shared" ca="1" si="16"/>
        <v>0</v>
      </c>
      <c r="BR28" s="310">
        <f t="shared" ca="1" si="56"/>
        <v>0</v>
      </c>
      <c r="BS28" s="308">
        <f t="shared" ca="1" si="57"/>
        <v>0</v>
      </c>
      <c r="BT28" s="309">
        <f t="shared" ca="1" si="17"/>
        <v>0</v>
      </c>
      <c r="BU28" s="310">
        <f t="shared" ca="1" si="18"/>
        <v>0</v>
      </c>
      <c r="BV28" s="309">
        <f t="shared" ca="1" si="19"/>
        <v>0</v>
      </c>
      <c r="BW28" s="311">
        <f t="shared" ca="1" si="20"/>
        <v>0</v>
      </c>
      <c r="BX28" s="286"/>
      <c r="BY28" s="300">
        <f t="shared" ca="1" si="59"/>
        <v>0</v>
      </c>
      <c r="BZ28" s="301">
        <f t="shared" ca="1" si="60"/>
        <v>0</v>
      </c>
      <c r="CA28" s="301">
        <f t="shared" ca="1" si="61"/>
        <v>0</v>
      </c>
      <c r="CB28" s="312">
        <f t="shared" ca="1" si="58"/>
        <v>0</v>
      </c>
      <c r="CC28" s="370"/>
      <c r="CD28" s="46"/>
      <c r="CE28" s="27"/>
      <c r="CF28" s="27">
        <f>'GL-Sets'!C92</f>
        <v>6</v>
      </c>
      <c r="CG28" s="27" t="str">
        <f ca="1">'GL-Sets'!D92</f>
        <v>Spaß- und Erlebnisbad 
(Hinweise zur Schätzung des Verkehrsaufkommens von Gebietstypen)</v>
      </c>
      <c r="CH28" s="27"/>
      <c r="CI28" s="27"/>
      <c r="CJ28" s="27"/>
      <c r="CK28" s="41">
        <f>'NF-Sets'!C33</f>
        <v>6</v>
      </c>
      <c r="CL28" s="42" t="str">
        <f ca="1">'NF-Sets'!B33</f>
        <v>Getränkemarkt</v>
      </c>
      <c r="CM28" s="27"/>
    </row>
    <row r="29" spans="2:91" s="32" customFormat="1" ht="18.899999999999999" customHeight="1">
      <c r="B29" s="488" t="str">
        <f>"hinterlegte Formel: "&amp;IF(OR(M18=0,M18="-")=TRUE,"b*d*f/h"," a/b*d*f/h")</f>
        <v>hinterlegte Formel: b*d*f/h</v>
      </c>
      <c r="D29" s="45"/>
      <c r="E29" s="45"/>
      <c r="F29" s="45"/>
      <c r="G29" s="470"/>
      <c r="H29" s="33"/>
      <c r="I29" s="262" t="s">
        <v>146</v>
      </c>
      <c r="J29" s="267" t="str">
        <f ca="1">IF(OR(K4=CL43,K4=CL44)=TRUE,"Bewohnerverkehr","Beschäftigtenverkehr")</f>
        <v>Beschäftigtenverkehr</v>
      </c>
      <c r="K29" s="725" t="s">
        <v>147</v>
      </c>
      <c r="L29" s="725"/>
      <c r="M29" s="268">
        <f>IF(OR(K4="",K4=0,K4="keine Nutzung")=TRUE,0,IF(AND(M25&lt;&gt;0,OR(M18=0,M18="-")=TRUE)=TRUE,ROUND(M19*M21*M23/M25,0),IF(AND(M19&lt;&gt;0,M19&lt;&gt;"-",M25&lt;&gt;0)=TRUE,ROUND(M18/M19*M21*M23/M25,0),0)))</f>
        <v>0</v>
      </c>
      <c r="N29" s="24"/>
      <c r="O29" s="358" t="s">
        <v>30</v>
      </c>
      <c r="P29" s="247"/>
      <c r="Q29" s="362">
        <f t="shared" ca="1" si="21"/>
        <v>0</v>
      </c>
      <c r="R29" s="248">
        <f t="shared" ca="1" si="22"/>
        <v>0</v>
      </c>
      <c r="S29" s="363">
        <f t="shared" ca="1" si="23"/>
        <v>0</v>
      </c>
      <c r="T29" s="247"/>
      <c r="U29" s="362">
        <f t="shared" ca="1" si="24"/>
        <v>0</v>
      </c>
      <c r="V29" s="248">
        <f t="shared" ca="1" si="25"/>
        <v>0</v>
      </c>
      <c r="W29" s="363">
        <f t="shared" ca="1" si="26"/>
        <v>0</v>
      </c>
      <c r="X29" s="247"/>
      <c r="Y29" s="362">
        <f t="shared" ca="1" si="27"/>
        <v>0</v>
      </c>
      <c r="Z29" s="248">
        <f t="shared" ca="1" si="28"/>
        <v>0</v>
      </c>
      <c r="AA29" s="363">
        <f t="shared" ca="1" si="29"/>
        <v>0</v>
      </c>
      <c r="AB29" s="58" t="str">
        <f t="shared" ca="1" si="30"/>
        <v/>
      </c>
      <c r="AC29" s="495" t="s">
        <v>30</v>
      </c>
      <c r="AD29" s="275"/>
      <c r="AE29" s="303">
        <f t="shared" ca="1" si="31"/>
        <v>0</v>
      </c>
      <c r="AF29" s="304">
        <f t="shared" ca="1" si="32"/>
        <v>0</v>
      </c>
      <c r="AG29" s="305">
        <f t="shared" ca="1" si="33"/>
        <v>0</v>
      </c>
      <c r="AH29" s="304">
        <f t="shared" ca="1" si="34"/>
        <v>0</v>
      </c>
      <c r="AI29" s="305">
        <f t="shared" ca="1" si="35"/>
        <v>0</v>
      </c>
      <c r="AJ29" s="306">
        <f t="shared" ca="1" si="36"/>
        <v>0</v>
      </c>
      <c r="AK29" s="280"/>
      <c r="AL29" s="307">
        <f t="shared" ca="1" si="37"/>
        <v>0</v>
      </c>
      <c r="AM29" s="308">
        <f t="shared" ca="1" si="38"/>
        <v>0</v>
      </c>
      <c r="AN29" s="309">
        <f t="shared" ca="1" si="6"/>
        <v>0</v>
      </c>
      <c r="AO29" s="310">
        <f t="shared" ca="1" si="39"/>
        <v>0</v>
      </c>
      <c r="AP29" s="308">
        <f t="shared" ca="1" si="40"/>
        <v>0</v>
      </c>
      <c r="AQ29" s="309">
        <f t="shared" ca="1" si="7"/>
        <v>0</v>
      </c>
      <c r="AR29" s="310">
        <f t="shared" ca="1" si="41"/>
        <v>0</v>
      </c>
      <c r="AS29" s="308">
        <f t="shared" ca="1" si="42"/>
        <v>0</v>
      </c>
      <c r="AT29" s="309">
        <f t="shared" ca="1" si="8"/>
        <v>0</v>
      </c>
      <c r="AU29" s="310">
        <f t="shared" ca="1" si="9"/>
        <v>0</v>
      </c>
      <c r="AV29" s="309">
        <f t="shared" ca="1" si="10"/>
        <v>0</v>
      </c>
      <c r="AW29" s="311">
        <f t="shared" ca="1" si="11"/>
        <v>0</v>
      </c>
      <c r="AX29" s="286"/>
      <c r="AY29" s="307">
        <f t="shared" ca="1" si="43"/>
        <v>0</v>
      </c>
      <c r="AZ29" s="308">
        <f t="shared" ca="1" si="44"/>
        <v>0</v>
      </c>
      <c r="BA29" s="309">
        <f t="shared" ca="1" si="45"/>
        <v>0</v>
      </c>
      <c r="BB29" s="310">
        <f t="shared" ca="1" si="46"/>
        <v>0</v>
      </c>
      <c r="BC29" s="308">
        <f t="shared" ca="1" si="47"/>
        <v>0</v>
      </c>
      <c r="BD29" s="309">
        <f t="shared" ca="1" si="12"/>
        <v>0</v>
      </c>
      <c r="BE29" s="310">
        <f t="shared" ca="1" si="48"/>
        <v>0</v>
      </c>
      <c r="BF29" s="308">
        <f t="shared" ca="1" si="49"/>
        <v>0</v>
      </c>
      <c r="BG29" s="309">
        <f t="shared" ca="1" si="13"/>
        <v>0</v>
      </c>
      <c r="BH29" s="310">
        <f t="shared" ca="1" si="50"/>
        <v>0</v>
      </c>
      <c r="BI29" s="309">
        <f t="shared" ca="1" si="51"/>
        <v>0</v>
      </c>
      <c r="BJ29" s="311">
        <f t="shared" ca="1" si="14"/>
        <v>0</v>
      </c>
      <c r="BK29" s="286"/>
      <c r="BL29" s="307">
        <f t="shared" ca="1" si="52"/>
        <v>0</v>
      </c>
      <c r="BM29" s="308">
        <f t="shared" ca="1" si="53"/>
        <v>0</v>
      </c>
      <c r="BN29" s="309">
        <f t="shared" ca="1" si="15"/>
        <v>0</v>
      </c>
      <c r="BO29" s="310">
        <f t="shared" ca="1" si="54"/>
        <v>0</v>
      </c>
      <c r="BP29" s="308">
        <f t="shared" ca="1" si="55"/>
        <v>0</v>
      </c>
      <c r="BQ29" s="309">
        <f t="shared" ca="1" si="16"/>
        <v>0</v>
      </c>
      <c r="BR29" s="310">
        <f t="shared" ca="1" si="56"/>
        <v>0</v>
      </c>
      <c r="BS29" s="308">
        <f t="shared" ca="1" si="57"/>
        <v>0</v>
      </c>
      <c r="BT29" s="309">
        <f t="shared" ca="1" si="17"/>
        <v>0</v>
      </c>
      <c r="BU29" s="310">
        <f t="shared" ca="1" si="18"/>
        <v>0</v>
      </c>
      <c r="BV29" s="309">
        <f t="shared" ca="1" si="19"/>
        <v>0</v>
      </c>
      <c r="BW29" s="311">
        <f t="shared" ca="1" si="20"/>
        <v>0</v>
      </c>
      <c r="BX29" s="286"/>
      <c r="BY29" s="300">
        <f t="shared" ca="1" si="59"/>
        <v>0</v>
      </c>
      <c r="BZ29" s="301">
        <f t="shared" ca="1" si="60"/>
        <v>0</v>
      </c>
      <c r="CA29" s="301">
        <f t="shared" ca="1" si="61"/>
        <v>0</v>
      </c>
      <c r="CB29" s="312">
        <f t="shared" ca="1" si="58"/>
        <v>0</v>
      </c>
      <c r="CC29" s="370"/>
      <c r="CD29" s="44"/>
      <c r="CE29" s="27"/>
      <c r="CF29" s="27">
        <f>'GL-Sets'!C93</f>
        <v>7</v>
      </c>
      <c r="CG29" s="27" t="str">
        <f ca="1">'GL-Sets'!D93</f>
        <v>Großkino
(Hinweise zur Schätzung des Verkehrsaufkommens von Gebietstypen)</v>
      </c>
      <c r="CH29" s="27"/>
      <c r="CI29" s="27"/>
      <c r="CJ29" s="27"/>
      <c r="CK29" s="41">
        <f>'NF-Sets'!C34</f>
        <v>7</v>
      </c>
      <c r="CL29" s="42" t="str">
        <f ca="1">'NF-Sets'!B34</f>
        <v>Möbelmarkt</v>
      </c>
      <c r="CM29" s="27"/>
    </row>
    <row r="30" spans="2:91" s="32" customFormat="1" ht="18.899999999999999" customHeight="1">
      <c r="B30" s="488" t="str">
        <f>IF(M20&lt;&gt;"-","hinterlegte Formel: a*c*e*g/i","hinterlegte Formel: a/b*e*g/i")</f>
        <v>hinterlegte Formel: a*c*e*g/i</v>
      </c>
      <c r="G30" s="469"/>
      <c r="H30" s="33"/>
      <c r="I30" s="246" t="s">
        <v>148</v>
      </c>
      <c r="J30" s="252" t="str">
        <f ca="1">IF(OR(K4=CL43,K4=CL44)=TRUE,"Besucherverkehr","Kundenverkehr")</f>
        <v>Kundenverkehr</v>
      </c>
      <c r="K30" s="681" t="s">
        <v>147</v>
      </c>
      <c r="L30" s="681"/>
      <c r="M30" s="254">
        <f ca="1">IF(OR(K4="",K4=0,K4="keine Nutzung")=TRUE,0,IF(AND(M26&lt;&gt;0,M19&lt;&gt;0,M19&lt;&gt;"-",OR(M18&lt;&gt;0,M18&lt;&gt;"-")=TRUE,OR(K4=CL43,K4=CL44)=TRUE,M20&lt;&gt;"-")=TRUE,ROUND(M18/M19*M20*M22*M24/M26,0),IF(AND(M18&lt;&gt;"-",M18&lt;&gt;0,M20&lt;&gt;"-",M26&lt;&gt;0)=TRUE,ROUND(M18*M20*M22*M24/M26,0),IF(AND(M18&lt;&gt;"-",M18&lt;&gt;0,M19&lt;&gt;0,M19&lt;&gt;"-",M20="-",M26&lt;&gt;0)=TRUE,ROUND(M18/M19*M22*M24/M26,0),IF(AND(OR(M18="-",M18=0)=TRUE,M20&lt;&gt;"-",M26&lt;&gt;0)=TRUE,ROUND(M19*M20*M22*M24/M26,0),IF(AND(OR(M18="-",M18=0)=TRUE,M20="-",M26&lt;&gt;0)=TRUE,ROUND(M19*M22*M24/M26,0),0))))))</f>
        <v>0</v>
      </c>
      <c r="N30" s="25"/>
      <c r="O30" s="358" t="s">
        <v>31</v>
      </c>
      <c r="P30" s="247"/>
      <c r="Q30" s="362">
        <f t="shared" ca="1" si="21"/>
        <v>0</v>
      </c>
      <c r="R30" s="248">
        <f t="shared" ca="1" si="22"/>
        <v>0</v>
      </c>
      <c r="S30" s="363">
        <f t="shared" ca="1" si="23"/>
        <v>0</v>
      </c>
      <c r="T30" s="247"/>
      <c r="U30" s="362">
        <f t="shared" ca="1" si="24"/>
        <v>0</v>
      </c>
      <c r="V30" s="248">
        <f t="shared" ca="1" si="25"/>
        <v>0</v>
      </c>
      <c r="W30" s="363">
        <f t="shared" ca="1" si="26"/>
        <v>0</v>
      </c>
      <c r="X30" s="247"/>
      <c r="Y30" s="362">
        <f t="shared" ca="1" si="27"/>
        <v>0</v>
      </c>
      <c r="Z30" s="248">
        <f t="shared" ca="1" si="28"/>
        <v>0</v>
      </c>
      <c r="AA30" s="363">
        <f t="shared" ca="1" si="29"/>
        <v>0</v>
      </c>
      <c r="AB30" s="58" t="str">
        <f t="shared" ca="1" si="30"/>
        <v/>
      </c>
      <c r="AC30" s="495" t="s">
        <v>31</v>
      </c>
      <c r="AD30" s="275"/>
      <c r="AE30" s="303">
        <f t="shared" ca="1" si="31"/>
        <v>0</v>
      </c>
      <c r="AF30" s="304">
        <f t="shared" ca="1" si="32"/>
        <v>0</v>
      </c>
      <c r="AG30" s="305">
        <f t="shared" ca="1" si="33"/>
        <v>0</v>
      </c>
      <c r="AH30" s="304">
        <f t="shared" ca="1" si="34"/>
        <v>0</v>
      </c>
      <c r="AI30" s="305">
        <f t="shared" ca="1" si="35"/>
        <v>0</v>
      </c>
      <c r="AJ30" s="306">
        <f t="shared" ca="1" si="36"/>
        <v>0</v>
      </c>
      <c r="AK30" s="280"/>
      <c r="AL30" s="307">
        <f t="shared" ca="1" si="37"/>
        <v>0</v>
      </c>
      <c r="AM30" s="308">
        <f t="shared" ca="1" si="38"/>
        <v>0</v>
      </c>
      <c r="AN30" s="309">
        <f t="shared" ca="1" si="6"/>
        <v>0</v>
      </c>
      <c r="AO30" s="310">
        <f t="shared" ca="1" si="39"/>
        <v>0</v>
      </c>
      <c r="AP30" s="308">
        <f t="shared" ca="1" si="40"/>
        <v>0</v>
      </c>
      <c r="AQ30" s="309">
        <f t="shared" ca="1" si="7"/>
        <v>0</v>
      </c>
      <c r="AR30" s="310">
        <f t="shared" ca="1" si="41"/>
        <v>0</v>
      </c>
      <c r="AS30" s="308">
        <f t="shared" ca="1" si="42"/>
        <v>0</v>
      </c>
      <c r="AT30" s="309">
        <f t="shared" ca="1" si="8"/>
        <v>0</v>
      </c>
      <c r="AU30" s="310">
        <f t="shared" ca="1" si="9"/>
        <v>0</v>
      </c>
      <c r="AV30" s="309">
        <f t="shared" ca="1" si="10"/>
        <v>0</v>
      </c>
      <c r="AW30" s="311">
        <f t="shared" ca="1" si="11"/>
        <v>0</v>
      </c>
      <c r="AX30" s="286"/>
      <c r="AY30" s="307">
        <f t="shared" ca="1" si="43"/>
        <v>0</v>
      </c>
      <c r="AZ30" s="308">
        <f t="shared" ca="1" si="44"/>
        <v>0</v>
      </c>
      <c r="BA30" s="309">
        <f t="shared" ca="1" si="45"/>
        <v>0</v>
      </c>
      <c r="BB30" s="310">
        <f t="shared" ca="1" si="46"/>
        <v>0</v>
      </c>
      <c r="BC30" s="308">
        <f t="shared" ca="1" si="47"/>
        <v>0</v>
      </c>
      <c r="BD30" s="309">
        <f t="shared" ca="1" si="12"/>
        <v>0</v>
      </c>
      <c r="BE30" s="310">
        <f t="shared" ca="1" si="48"/>
        <v>0</v>
      </c>
      <c r="BF30" s="308">
        <f t="shared" ca="1" si="49"/>
        <v>0</v>
      </c>
      <c r="BG30" s="309">
        <f t="shared" ca="1" si="13"/>
        <v>0</v>
      </c>
      <c r="BH30" s="310">
        <f t="shared" ca="1" si="50"/>
        <v>0</v>
      </c>
      <c r="BI30" s="309">
        <f t="shared" ca="1" si="51"/>
        <v>0</v>
      </c>
      <c r="BJ30" s="311">
        <f t="shared" ca="1" si="14"/>
        <v>0</v>
      </c>
      <c r="BK30" s="286"/>
      <c r="BL30" s="307">
        <f t="shared" ca="1" si="52"/>
        <v>0</v>
      </c>
      <c r="BM30" s="308">
        <f t="shared" ca="1" si="53"/>
        <v>0</v>
      </c>
      <c r="BN30" s="309">
        <f t="shared" ca="1" si="15"/>
        <v>0</v>
      </c>
      <c r="BO30" s="310">
        <f t="shared" ca="1" si="54"/>
        <v>0</v>
      </c>
      <c r="BP30" s="308">
        <f t="shared" ca="1" si="55"/>
        <v>0</v>
      </c>
      <c r="BQ30" s="309">
        <f t="shared" ca="1" si="16"/>
        <v>0</v>
      </c>
      <c r="BR30" s="310">
        <f t="shared" ca="1" si="56"/>
        <v>0</v>
      </c>
      <c r="BS30" s="308">
        <f t="shared" ca="1" si="57"/>
        <v>0</v>
      </c>
      <c r="BT30" s="309">
        <f t="shared" ca="1" si="17"/>
        <v>0</v>
      </c>
      <c r="BU30" s="310">
        <f t="shared" ca="1" si="18"/>
        <v>0</v>
      </c>
      <c r="BV30" s="309">
        <f t="shared" ca="1" si="19"/>
        <v>0</v>
      </c>
      <c r="BW30" s="311">
        <f t="shared" ca="1" si="20"/>
        <v>0</v>
      </c>
      <c r="BX30" s="286"/>
      <c r="BY30" s="300">
        <f t="shared" ca="1" si="59"/>
        <v>0</v>
      </c>
      <c r="BZ30" s="301">
        <f t="shared" ca="1" si="60"/>
        <v>0</v>
      </c>
      <c r="CA30" s="301">
        <f t="shared" ca="1" si="61"/>
        <v>0</v>
      </c>
      <c r="CB30" s="312">
        <f t="shared" ca="1" si="58"/>
        <v>0</v>
      </c>
      <c r="CC30" s="370"/>
      <c r="CD30" s="44"/>
      <c r="CE30" s="27"/>
      <c r="CF30" s="27">
        <f>'GL-Sets'!C94</f>
        <v>8</v>
      </c>
      <c r="CG30" s="27" t="str">
        <f ca="1">'GL-Sets'!D94</f>
        <v>Discounter (Eigenkreation)</v>
      </c>
      <c r="CH30" s="27"/>
      <c r="CI30" s="27"/>
      <c r="CJ30" s="27"/>
      <c r="CK30" s="41">
        <f>'NF-Sets'!C35</f>
        <v>8</v>
      </c>
      <c r="CL30" s="42" t="str">
        <f ca="1">'NF-Sets'!B35</f>
        <v>Logistikzentrum</v>
      </c>
      <c r="CM30" s="27"/>
    </row>
    <row r="31" spans="2:91" s="32" customFormat="1" ht="18.899999999999999" customHeight="1">
      <c r="B31" s="488" t="str">
        <f ca="1">IF(OR(C28=1,C28=2)=TRUE,"hinterlegte Formel:  a/b*j","hinterlegte Formel: a/100*j")</f>
        <v>hinterlegte Formel: a/100*j</v>
      </c>
      <c r="G31" s="469"/>
      <c r="H31" s="33"/>
      <c r="I31" s="258" t="s">
        <v>149</v>
      </c>
      <c r="J31" s="259" t="s">
        <v>150</v>
      </c>
      <c r="K31" s="688" t="s">
        <v>147</v>
      </c>
      <c r="L31" s="688"/>
      <c r="M31" s="261">
        <f ca="1">IF(OR(K4="",K4=0,K4="keine Nutzung")=TRUE,0,IF(AND(M18&lt;&gt;"-",M18&lt;&gt;0,M19&lt;&gt;0,OR(C28=1,C28=2)=TRUE)=TRUE,ROUND(M18/M19*M27,0),IF(AND(M18&lt;&gt;"-",M18&lt;&gt;0,C28=0)=TRUE,ROUND(M18/100*M27,0),IF(AND(OR(M18="-",M18=0)=TRUE,C28=1)=TRUE,ROUND(M19*M27,0),IF(AND(OR(M18="-",M18=0)=TRUE,C28=0)=TRUE,0,0)))))</f>
        <v>0</v>
      </c>
      <c r="N31" s="25"/>
      <c r="O31" s="358" t="s">
        <v>32</v>
      </c>
      <c r="P31" s="247"/>
      <c r="Q31" s="362">
        <f t="shared" ca="1" si="21"/>
        <v>0</v>
      </c>
      <c r="R31" s="248">
        <f t="shared" ca="1" si="22"/>
        <v>0</v>
      </c>
      <c r="S31" s="363">
        <f t="shared" ca="1" si="23"/>
        <v>0</v>
      </c>
      <c r="T31" s="247"/>
      <c r="U31" s="362">
        <f t="shared" ca="1" si="24"/>
        <v>0</v>
      </c>
      <c r="V31" s="248">
        <f t="shared" ca="1" si="25"/>
        <v>0</v>
      </c>
      <c r="W31" s="363">
        <f t="shared" ca="1" si="26"/>
        <v>0</v>
      </c>
      <c r="X31" s="247"/>
      <c r="Y31" s="362">
        <f t="shared" ca="1" si="27"/>
        <v>0</v>
      </c>
      <c r="Z31" s="248">
        <f t="shared" ca="1" si="28"/>
        <v>0</v>
      </c>
      <c r="AA31" s="363">
        <f t="shared" ca="1" si="29"/>
        <v>0</v>
      </c>
      <c r="AB31" s="58" t="str">
        <f t="shared" ca="1" si="30"/>
        <v/>
      </c>
      <c r="AC31" s="495" t="s">
        <v>32</v>
      </c>
      <c r="AD31" s="275"/>
      <c r="AE31" s="303">
        <f t="shared" ca="1" si="31"/>
        <v>0</v>
      </c>
      <c r="AF31" s="304">
        <f t="shared" ca="1" si="32"/>
        <v>0</v>
      </c>
      <c r="AG31" s="305">
        <f t="shared" ca="1" si="33"/>
        <v>0</v>
      </c>
      <c r="AH31" s="304">
        <f t="shared" ca="1" si="34"/>
        <v>0</v>
      </c>
      <c r="AI31" s="305">
        <f t="shared" ca="1" si="35"/>
        <v>0</v>
      </c>
      <c r="AJ31" s="306">
        <f t="shared" ca="1" si="36"/>
        <v>0</v>
      </c>
      <c r="AK31" s="280"/>
      <c r="AL31" s="307">
        <f t="shared" ca="1" si="37"/>
        <v>0</v>
      </c>
      <c r="AM31" s="308">
        <f t="shared" ca="1" si="38"/>
        <v>0</v>
      </c>
      <c r="AN31" s="309">
        <f t="shared" ca="1" si="6"/>
        <v>0</v>
      </c>
      <c r="AO31" s="310">
        <f t="shared" ca="1" si="39"/>
        <v>0</v>
      </c>
      <c r="AP31" s="308">
        <f t="shared" ca="1" si="40"/>
        <v>0</v>
      </c>
      <c r="AQ31" s="309">
        <f t="shared" ca="1" si="7"/>
        <v>0</v>
      </c>
      <c r="AR31" s="310">
        <f t="shared" ca="1" si="41"/>
        <v>0</v>
      </c>
      <c r="AS31" s="308">
        <f t="shared" ca="1" si="42"/>
        <v>0</v>
      </c>
      <c r="AT31" s="309">
        <f t="shared" ca="1" si="8"/>
        <v>0</v>
      </c>
      <c r="AU31" s="310">
        <f t="shared" ca="1" si="9"/>
        <v>0</v>
      </c>
      <c r="AV31" s="309">
        <f t="shared" ca="1" si="10"/>
        <v>0</v>
      </c>
      <c r="AW31" s="311">
        <f t="shared" ca="1" si="11"/>
        <v>0</v>
      </c>
      <c r="AX31" s="286"/>
      <c r="AY31" s="307">
        <f t="shared" ca="1" si="43"/>
        <v>0</v>
      </c>
      <c r="AZ31" s="308">
        <f t="shared" ca="1" si="44"/>
        <v>0</v>
      </c>
      <c r="BA31" s="309">
        <f t="shared" ca="1" si="45"/>
        <v>0</v>
      </c>
      <c r="BB31" s="310">
        <f t="shared" ca="1" si="46"/>
        <v>0</v>
      </c>
      <c r="BC31" s="308">
        <f t="shared" ca="1" si="47"/>
        <v>0</v>
      </c>
      <c r="BD31" s="309">
        <f t="shared" ca="1" si="12"/>
        <v>0</v>
      </c>
      <c r="BE31" s="310">
        <f t="shared" ca="1" si="48"/>
        <v>0</v>
      </c>
      <c r="BF31" s="308">
        <f t="shared" ca="1" si="49"/>
        <v>0</v>
      </c>
      <c r="BG31" s="309">
        <f t="shared" ca="1" si="13"/>
        <v>0</v>
      </c>
      <c r="BH31" s="310">
        <f t="shared" ca="1" si="50"/>
        <v>0</v>
      </c>
      <c r="BI31" s="309">
        <f t="shared" ca="1" si="51"/>
        <v>0</v>
      </c>
      <c r="BJ31" s="311">
        <f t="shared" ca="1" si="14"/>
        <v>0</v>
      </c>
      <c r="BK31" s="286"/>
      <c r="BL31" s="307">
        <f t="shared" ca="1" si="52"/>
        <v>0</v>
      </c>
      <c r="BM31" s="308">
        <f t="shared" ca="1" si="53"/>
        <v>0</v>
      </c>
      <c r="BN31" s="309">
        <f t="shared" ca="1" si="15"/>
        <v>0</v>
      </c>
      <c r="BO31" s="310">
        <f t="shared" ca="1" si="54"/>
        <v>0</v>
      </c>
      <c r="BP31" s="308">
        <f t="shared" ca="1" si="55"/>
        <v>0</v>
      </c>
      <c r="BQ31" s="309">
        <f t="shared" ca="1" si="16"/>
        <v>0</v>
      </c>
      <c r="BR31" s="310">
        <f t="shared" ca="1" si="56"/>
        <v>0</v>
      </c>
      <c r="BS31" s="308">
        <f t="shared" ca="1" si="57"/>
        <v>0</v>
      </c>
      <c r="BT31" s="309">
        <f t="shared" ca="1" si="17"/>
        <v>0</v>
      </c>
      <c r="BU31" s="310">
        <f t="shared" ca="1" si="18"/>
        <v>0</v>
      </c>
      <c r="BV31" s="309">
        <f t="shared" ca="1" si="19"/>
        <v>0</v>
      </c>
      <c r="BW31" s="311">
        <f t="shared" ca="1" si="20"/>
        <v>0</v>
      </c>
      <c r="BX31" s="286"/>
      <c r="BY31" s="300">
        <f t="shared" ca="1" si="59"/>
        <v>0</v>
      </c>
      <c r="BZ31" s="301">
        <f t="shared" ca="1" si="60"/>
        <v>0</v>
      </c>
      <c r="CA31" s="301">
        <f t="shared" ca="1" si="61"/>
        <v>0</v>
      </c>
      <c r="CB31" s="312">
        <f t="shared" ca="1" si="58"/>
        <v>0</v>
      </c>
      <c r="CC31" s="370"/>
      <c r="CD31" s="44"/>
      <c r="CE31" s="27"/>
      <c r="CF31" s="27">
        <f>'GL-Sets'!C95</f>
        <v>9</v>
      </c>
      <c r="CG31" s="27" t="str">
        <f ca="1">'GL-Sets'!D95</f>
        <v>Tankstellen</v>
      </c>
      <c r="CH31" s="27"/>
      <c r="CI31" s="27"/>
      <c r="CJ31" s="27"/>
      <c r="CK31" s="41">
        <f>'NF-Sets'!C36</f>
        <v>9</v>
      </c>
      <c r="CL31" s="42" t="str">
        <f ca="1">'NF-Sets'!B36</f>
        <v>Baumarkt</v>
      </c>
      <c r="CM31" s="27"/>
    </row>
    <row r="32" spans="2:91" ht="18.899999999999999" customHeight="1">
      <c r="B32" s="488" t="s">
        <v>151</v>
      </c>
      <c r="G32" s="469"/>
      <c r="I32" s="255"/>
      <c r="J32" s="256" t="s">
        <v>22</v>
      </c>
      <c r="K32" s="686" t="s">
        <v>147</v>
      </c>
      <c r="L32" s="686"/>
      <c r="M32" s="249">
        <f ca="1">SUM(M29:M31)</f>
        <v>0</v>
      </c>
      <c r="N32" s="25"/>
      <c r="O32" s="358" t="s">
        <v>33</v>
      </c>
      <c r="P32" s="247"/>
      <c r="Q32" s="362">
        <f t="shared" ca="1" si="21"/>
        <v>0</v>
      </c>
      <c r="R32" s="248">
        <f t="shared" ca="1" si="22"/>
        <v>0</v>
      </c>
      <c r="S32" s="363">
        <f t="shared" ca="1" si="23"/>
        <v>0</v>
      </c>
      <c r="T32" s="247"/>
      <c r="U32" s="362">
        <f t="shared" ca="1" si="24"/>
        <v>0</v>
      </c>
      <c r="V32" s="248">
        <f t="shared" ca="1" si="25"/>
        <v>0</v>
      </c>
      <c r="W32" s="363">
        <f t="shared" ca="1" si="26"/>
        <v>0</v>
      </c>
      <c r="X32" s="247"/>
      <c r="Y32" s="362">
        <f t="shared" ca="1" si="27"/>
        <v>0</v>
      </c>
      <c r="Z32" s="248">
        <f t="shared" ca="1" si="28"/>
        <v>0</v>
      </c>
      <c r="AA32" s="363">
        <f t="shared" ca="1" si="29"/>
        <v>0</v>
      </c>
      <c r="AB32" s="58" t="str">
        <f t="shared" ca="1" si="30"/>
        <v/>
      </c>
      <c r="AC32" s="495" t="s">
        <v>33</v>
      </c>
      <c r="AD32" s="275"/>
      <c r="AE32" s="303">
        <f t="shared" ca="1" si="31"/>
        <v>0</v>
      </c>
      <c r="AF32" s="304">
        <f t="shared" ca="1" si="32"/>
        <v>0</v>
      </c>
      <c r="AG32" s="305">
        <f t="shared" ca="1" si="33"/>
        <v>0</v>
      </c>
      <c r="AH32" s="304">
        <f t="shared" ca="1" si="34"/>
        <v>0</v>
      </c>
      <c r="AI32" s="305">
        <f t="shared" ca="1" si="35"/>
        <v>0</v>
      </c>
      <c r="AJ32" s="306">
        <f t="shared" ca="1" si="36"/>
        <v>0</v>
      </c>
      <c r="AK32" s="280"/>
      <c r="AL32" s="307">
        <f t="shared" ca="1" si="37"/>
        <v>0</v>
      </c>
      <c r="AM32" s="308">
        <f t="shared" ca="1" si="38"/>
        <v>0</v>
      </c>
      <c r="AN32" s="309">
        <f t="shared" ca="1" si="6"/>
        <v>0</v>
      </c>
      <c r="AO32" s="310">
        <f t="shared" ca="1" si="39"/>
        <v>0</v>
      </c>
      <c r="AP32" s="308">
        <f t="shared" ca="1" si="40"/>
        <v>0</v>
      </c>
      <c r="AQ32" s="309">
        <f t="shared" ca="1" si="7"/>
        <v>0</v>
      </c>
      <c r="AR32" s="310">
        <f t="shared" ca="1" si="41"/>
        <v>0</v>
      </c>
      <c r="AS32" s="308">
        <f t="shared" ca="1" si="42"/>
        <v>0</v>
      </c>
      <c r="AT32" s="309">
        <f t="shared" ca="1" si="8"/>
        <v>0</v>
      </c>
      <c r="AU32" s="310">
        <f t="shared" ca="1" si="9"/>
        <v>0</v>
      </c>
      <c r="AV32" s="309">
        <f t="shared" ca="1" si="10"/>
        <v>0</v>
      </c>
      <c r="AW32" s="311">
        <f t="shared" ca="1" si="11"/>
        <v>0</v>
      </c>
      <c r="AX32" s="286"/>
      <c r="AY32" s="307">
        <f t="shared" ca="1" si="43"/>
        <v>0</v>
      </c>
      <c r="AZ32" s="308">
        <f t="shared" ca="1" si="44"/>
        <v>0</v>
      </c>
      <c r="BA32" s="309">
        <f t="shared" ca="1" si="45"/>
        <v>0</v>
      </c>
      <c r="BB32" s="310">
        <f t="shared" ca="1" si="46"/>
        <v>0</v>
      </c>
      <c r="BC32" s="308">
        <f t="shared" ca="1" si="47"/>
        <v>0</v>
      </c>
      <c r="BD32" s="309">
        <f t="shared" ca="1" si="12"/>
        <v>0</v>
      </c>
      <c r="BE32" s="310">
        <f t="shared" ca="1" si="48"/>
        <v>0</v>
      </c>
      <c r="BF32" s="308">
        <f t="shared" ca="1" si="49"/>
        <v>0</v>
      </c>
      <c r="BG32" s="309">
        <f t="shared" ca="1" si="13"/>
        <v>0</v>
      </c>
      <c r="BH32" s="310">
        <f t="shared" ca="1" si="50"/>
        <v>0</v>
      </c>
      <c r="BI32" s="309">
        <f t="shared" ca="1" si="51"/>
        <v>0</v>
      </c>
      <c r="BJ32" s="311">
        <f t="shared" ca="1" si="14"/>
        <v>0</v>
      </c>
      <c r="BK32" s="286"/>
      <c r="BL32" s="307">
        <f t="shared" ca="1" si="52"/>
        <v>0</v>
      </c>
      <c r="BM32" s="308">
        <f t="shared" ca="1" si="53"/>
        <v>0</v>
      </c>
      <c r="BN32" s="309">
        <f t="shared" ca="1" si="15"/>
        <v>0</v>
      </c>
      <c r="BO32" s="310">
        <f t="shared" ca="1" si="54"/>
        <v>0</v>
      </c>
      <c r="BP32" s="308">
        <f t="shared" ca="1" si="55"/>
        <v>0</v>
      </c>
      <c r="BQ32" s="309">
        <f t="shared" ca="1" si="16"/>
        <v>0</v>
      </c>
      <c r="BR32" s="310">
        <f t="shared" ca="1" si="56"/>
        <v>0</v>
      </c>
      <c r="BS32" s="308">
        <f t="shared" ca="1" si="57"/>
        <v>0</v>
      </c>
      <c r="BT32" s="309">
        <f t="shared" ca="1" si="17"/>
        <v>0</v>
      </c>
      <c r="BU32" s="310">
        <f t="shared" ca="1" si="18"/>
        <v>0</v>
      </c>
      <c r="BV32" s="309">
        <f t="shared" ca="1" si="19"/>
        <v>0</v>
      </c>
      <c r="BW32" s="311">
        <f t="shared" ca="1" si="20"/>
        <v>0</v>
      </c>
      <c r="BX32" s="286"/>
      <c r="BY32" s="300">
        <f t="shared" ca="1" si="59"/>
        <v>0</v>
      </c>
      <c r="BZ32" s="301">
        <f t="shared" ca="1" si="60"/>
        <v>0</v>
      </c>
      <c r="CA32" s="301">
        <f t="shared" ca="1" si="61"/>
        <v>0</v>
      </c>
      <c r="CB32" s="312">
        <f t="shared" ca="1" si="58"/>
        <v>0</v>
      </c>
      <c r="CC32" s="370"/>
      <c r="CD32" s="44"/>
      <c r="CE32" s="27"/>
      <c r="CF32" s="27">
        <f>'GL-Sets'!C96</f>
        <v>10</v>
      </c>
      <c r="CG32" s="27" t="str">
        <f ca="1">'GL-Sets'!D96</f>
        <v>Tegel-Center</v>
      </c>
      <c r="CH32" s="27"/>
      <c r="CI32" s="27"/>
      <c r="CJ32" s="27"/>
      <c r="CK32" s="41">
        <f>'NF-Sets'!C37</f>
        <v>10</v>
      </c>
      <c r="CL32" s="42" t="str">
        <f ca="1">'NF-Sets'!B37</f>
        <v>Handwerksbetrieb</v>
      </c>
      <c r="CM32" s="35"/>
    </row>
    <row r="33" spans="2:91" ht="18.899999999999999" customHeight="1">
      <c r="B33" s="471"/>
      <c r="G33" s="469"/>
      <c r="I33" s="53"/>
      <c r="J33" s="578"/>
      <c r="K33" s="578"/>
      <c r="L33" s="2"/>
      <c r="M33" s="2"/>
      <c r="N33" s="26"/>
      <c r="O33" s="358" t="s">
        <v>34</v>
      </c>
      <c r="P33" s="247"/>
      <c r="Q33" s="362">
        <f t="shared" ca="1" si="21"/>
        <v>0</v>
      </c>
      <c r="R33" s="248">
        <f t="shared" ca="1" si="22"/>
        <v>0</v>
      </c>
      <c r="S33" s="363">
        <f t="shared" ca="1" si="23"/>
        <v>0</v>
      </c>
      <c r="T33" s="247"/>
      <c r="U33" s="362">
        <f t="shared" ca="1" si="24"/>
        <v>0</v>
      </c>
      <c r="V33" s="248">
        <f t="shared" ca="1" si="25"/>
        <v>0</v>
      </c>
      <c r="W33" s="363">
        <f t="shared" ca="1" si="26"/>
        <v>0</v>
      </c>
      <c r="X33" s="247"/>
      <c r="Y33" s="362">
        <f t="shared" ca="1" si="27"/>
        <v>0</v>
      </c>
      <c r="Z33" s="248">
        <f t="shared" ca="1" si="28"/>
        <v>0</v>
      </c>
      <c r="AA33" s="363">
        <f t="shared" ca="1" si="29"/>
        <v>0</v>
      </c>
      <c r="AB33" s="58" t="str">
        <f t="shared" ca="1" si="30"/>
        <v/>
      </c>
      <c r="AC33" s="495" t="s">
        <v>34</v>
      </c>
      <c r="AD33" s="275"/>
      <c r="AE33" s="303">
        <f t="shared" ca="1" si="31"/>
        <v>0</v>
      </c>
      <c r="AF33" s="304">
        <f t="shared" ca="1" si="32"/>
        <v>0</v>
      </c>
      <c r="AG33" s="305">
        <f t="shared" ca="1" si="33"/>
        <v>0</v>
      </c>
      <c r="AH33" s="304">
        <f t="shared" ca="1" si="34"/>
        <v>0</v>
      </c>
      <c r="AI33" s="305">
        <f t="shared" ca="1" si="35"/>
        <v>0</v>
      </c>
      <c r="AJ33" s="306">
        <f t="shared" ca="1" si="36"/>
        <v>0</v>
      </c>
      <c r="AK33" s="280"/>
      <c r="AL33" s="307">
        <f t="shared" ca="1" si="37"/>
        <v>0</v>
      </c>
      <c r="AM33" s="308">
        <f t="shared" ca="1" si="38"/>
        <v>0</v>
      </c>
      <c r="AN33" s="309">
        <f t="shared" ca="1" si="6"/>
        <v>0</v>
      </c>
      <c r="AO33" s="310">
        <f t="shared" ca="1" si="39"/>
        <v>0</v>
      </c>
      <c r="AP33" s="308">
        <f t="shared" ca="1" si="40"/>
        <v>0</v>
      </c>
      <c r="AQ33" s="309">
        <f t="shared" ca="1" si="7"/>
        <v>0</v>
      </c>
      <c r="AR33" s="310">
        <f t="shared" ca="1" si="41"/>
        <v>0</v>
      </c>
      <c r="AS33" s="308">
        <f t="shared" ca="1" si="42"/>
        <v>0</v>
      </c>
      <c r="AT33" s="309">
        <f t="shared" ca="1" si="8"/>
        <v>0</v>
      </c>
      <c r="AU33" s="310">
        <f t="shared" ca="1" si="9"/>
        <v>0</v>
      </c>
      <c r="AV33" s="309">
        <f t="shared" ca="1" si="10"/>
        <v>0</v>
      </c>
      <c r="AW33" s="311">
        <f t="shared" ca="1" si="11"/>
        <v>0</v>
      </c>
      <c r="AX33" s="286"/>
      <c r="AY33" s="307">
        <f t="shared" ca="1" si="43"/>
        <v>0</v>
      </c>
      <c r="AZ33" s="308">
        <f t="shared" ca="1" si="44"/>
        <v>0</v>
      </c>
      <c r="BA33" s="309">
        <f t="shared" ca="1" si="45"/>
        <v>0</v>
      </c>
      <c r="BB33" s="310">
        <f t="shared" ca="1" si="46"/>
        <v>0</v>
      </c>
      <c r="BC33" s="308">
        <f t="shared" ca="1" si="47"/>
        <v>0</v>
      </c>
      <c r="BD33" s="309">
        <f t="shared" ca="1" si="12"/>
        <v>0</v>
      </c>
      <c r="BE33" s="310">
        <f t="shared" ca="1" si="48"/>
        <v>0</v>
      </c>
      <c r="BF33" s="308">
        <f t="shared" ca="1" si="49"/>
        <v>0</v>
      </c>
      <c r="BG33" s="309">
        <f t="shared" ca="1" si="13"/>
        <v>0</v>
      </c>
      <c r="BH33" s="310">
        <f t="shared" ca="1" si="50"/>
        <v>0</v>
      </c>
      <c r="BI33" s="309">
        <f t="shared" ca="1" si="51"/>
        <v>0</v>
      </c>
      <c r="BJ33" s="311">
        <f t="shared" ca="1" si="14"/>
        <v>0</v>
      </c>
      <c r="BK33" s="286"/>
      <c r="BL33" s="307">
        <f t="shared" ca="1" si="52"/>
        <v>0</v>
      </c>
      <c r="BM33" s="308">
        <f t="shared" ca="1" si="53"/>
        <v>0</v>
      </c>
      <c r="BN33" s="309">
        <f t="shared" ca="1" si="15"/>
        <v>0</v>
      </c>
      <c r="BO33" s="310">
        <f t="shared" ca="1" si="54"/>
        <v>0</v>
      </c>
      <c r="BP33" s="308">
        <f t="shared" ca="1" si="55"/>
        <v>0</v>
      </c>
      <c r="BQ33" s="309">
        <f t="shared" ca="1" si="16"/>
        <v>0</v>
      </c>
      <c r="BR33" s="310">
        <f t="shared" ca="1" si="56"/>
        <v>0</v>
      </c>
      <c r="BS33" s="308">
        <f t="shared" ca="1" si="57"/>
        <v>0</v>
      </c>
      <c r="BT33" s="309">
        <f t="shared" ca="1" si="17"/>
        <v>0</v>
      </c>
      <c r="BU33" s="310">
        <f t="shared" ca="1" si="18"/>
        <v>0</v>
      </c>
      <c r="BV33" s="309">
        <f t="shared" ca="1" si="19"/>
        <v>0</v>
      </c>
      <c r="BW33" s="311">
        <f t="shared" ca="1" si="20"/>
        <v>0</v>
      </c>
      <c r="BX33" s="286"/>
      <c r="BY33" s="300">
        <f t="shared" ca="1" si="59"/>
        <v>0</v>
      </c>
      <c r="BZ33" s="301">
        <f t="shared" ca="1" si="60"/>
        <v>0</v>
      </c>
      <c r="CA33" s="301">
        <f t="shared" ca="1" si="61"/>
        <v>0</v>
      </c>
      <c r="CB33" s="312">
        <f t="shared" ca="1" si="58"/>
        <v>0</v>
      </c>
      <c r="CC33" s="370"/>
      <c r="CD33" s="47"/>
      <c r="CE33" s="27"/>
      <c r="CF33" s="27">
        <f>'GL-Sets'!C97</f>
        <v>11</v>
      </c>
      <c r="CG33" s="27" t="str">
        <f ca="1">'GL-Sets'!D97</f>
        <v>leere Ganglinie | kann noch individuell mit Werten gefüllt werden</v>
      </c>
      <c r="CH33" s="27"/>
      <c r="CI33" s="27"/>
      <c r="CJ33" s="27"/>
      <c r="CK33" s="41">
        <f>'NF-Sets'!C38</f>
        <v>11</v>
      </c>
      <c r="CL33" s="42" t="str">
        <f ca="1">'NF-Sets'!B38</f>
        <v>Autohaus</v>
      </c>
      <c r="CM33" s="35"/>
    </row>
    <row r="34" spans="2:91" ht="18.899999999999999" customHeight="1">
      <c r="B34" s="648" t="s">
        <v>104</v>
      </c>
      <c r="C34" s="649"/>
      <c r="G34" s="469"/>
      <c r="I34" s="766" t="str">
        <f ca="1">IF(AND(J36&lt;&gt;"",J37&lt;&gt;"")=TRUE,"berücksichtigte abmindernde Effekte beim Kundenverkehr",IF(J36&lt;&gt;"","berücksichtigter abmindernder Effekt beim Kundenverkehr",""))</f>
        <v/>
      </c>
      <c r="J34" s="766"/>
      <c r="K34" s="766"/>
      <c r="L34" s="766"/>
      <c r="M34" s="766"/>
      <c r="N34" s="1"/>
      <c r="O34" s="358" t="s">
        <v>35</v>
      </c>
      <c r="P34" s="247"/>
      <c r="Q34" s="362">
        <f t="shared" ca="1" si="21"/>
        <v>0</v>
      </c>
      <c r="R34" s="248">
        <f t="shared" ca="1" si="22"/>
        <v>0</v>
      </c>
      <c r="S34" s="363">
        <f t="shared" ca="1" si="23"/>
        <v>0</v>
      </c>
      <c r="T34" s="247"/>
      <c r="U34" s="362">
        <f t="shared" ca="1" si="24"/>
        <v>0</v>
      </c>
      <c r="V34" s="248">
        <f t="shared" ca="1" si="25"/>
        <v>0</v>
      </c>
      <c r="W34" s="363">
        <f t="shared" ca="1" si="26"/>
        <v>0</v>
      </c>
      <c r="X34" s="247"/>
      <c r="Y34" s="362">
        <f t="shared" ca="1" si="27"/>
        <v>0</v>
      </c>
      <c r="Z34" s="248">
        <f t="shared" ca="1" si="28"/>
        <v>0</v>
      </c>
      <c r="AA34" s="363">
        <f t="shared" ca="1" si="29"/>
        <v>0</v>
      </c>
      <c r="AB34" s="58" t="str">
        <f t="shared" ca="1" si="30"/>
        <v/>
      </c>
      <c r="AC34" s="495" t="s">
        <v>35</v>
      </c>
      <c r="AD34" s="275"/>
      <c r="AE34" s="303">
        <f t="shared" ca="1" si="31"/>
        <v>0</v>
      </c>
      <c r="AF34" s="304">
        <f t="shared" ca="1" si="32"/>
        <v>0</v>
      </c>
      <c r="AG34" s="305">
        <f t="shared" ca="1" si="33"/>
        <v>0</v>
      </c>
      <c r="AH34" s="304">
        <f t="shared" ca="1" si="34"/>
        <v>0</v>
      </c>
      <c r="AI34" s="305">
        <f t="shared" ca="1" si="35"/>
        <v>0</v>
      </c>
      <c r="AJ34" s="306">
        <f t="shared" ca="1" si="36"/>
        <v>0</v>
      </c>
      <c r="AK34" s="280"/>
      <c r="AL34" s="307">
        <f t="shared" ca="1" si="37"/>
        <v>0</v>
      </c>
      <c r="AM34" s="308">
        <f t="shared" ca="1" si="38"/>
        <v>0</v>
      </c>
      <c r="AN34" s="309">
        <f t="shared" ca="1" si="6"/>
        <v>0</v>
      </c>
      <c r="AO34" s="310">
        <f t="shared" ca="1" si="39"/>
        <v>0</v>
      </c>
      <c r="AP34" s="308">
        <f t="shared" ca="1" si="40"/>
        <v>0</v>
      </c>
      <c r="AQ34" s="309">
        <f t="shared" ca="1" si="7"/>
        <v>0</v>
      </c>
      <c r="AR34" s="310">
        <f t="shared" ca="1" si="41"/>
        <v>0</v>
      </c>
      <c r="AS34" s="308">
        <f t="shared" ca="1" si="42"/>
        <v>0</v>
      </c>
      <c r="AT34" s="309">
        <f t="shared" ca="1" si="8"/>
        <v>0</v>
      </c>
      <c r="AU34" s="310">
        <f t="shared" ca="1" si="9"/>
        <v>0</v>
      </c>
      <c r="AV34" s="309">
        <f t="shared" ca="1" si="10"/>
        <v>0</v>
      </c>
      <c r="AW34" s="311">
        <f t="shared" ca="1" si="11"/>
        <v>0</v>
      </c>
      <c r="AX34" s="286"/>
      <c r="AY34" s="307">
        <f t="shared" ca="1" si="43"/>
        <v>0</v>
      </c>
      <c r="AZ34" s="308">
        <f t="shared" ca="1" si="44"/>
        <v>0</v>
      </c>
      <c r="BA34" s="309">
        <f t="shared" ca="1" si="45"/>
        <v>0</v>
      </c>
      <c r="BB34" s="310">
        <f t="shared" ca="1" si="46"/>
        <v>0</v>
      </c>
      <c r="BC34" s="308">
        <f t="shared" ca="1" si="47"/>
        <v>0</v>
      </c>
      <c r="BD34" s="309">
        <f t="shared" ca="1" si="12"/>
        <v>0</v>
      </c>
      <c r="BE34" s="310">
        <f t="shared" ca="1" si="48"/>
        <v>0</v>
      </c>
      <c r="BF34" s="308">
        <f t="shared" ca="1" si="49"/>
        <v>0</v>
      </c>
      <c r="BG34" s="309">
        <f t="shared" ca="1" si="13"/>
        <v>0</v>
      </c>
      <c r="BH34" s="310">
        <f t="shared" ca="1" si="50"/>
        <v>0</v>
      </c>
      <c r="BI34" s="309">
        <f t="shared" ca="1" si="51"/>
        <v>0</v>
      </c>
      <c r="BJ34" s="311">
        <f t="shared" ca="1" si="14"/>
        <v>0</v>
      </c>
      <c r="BK34" s="286"/>
      <c r="BL34" s="307">
        <f t="shared" ca="1" si="52"/>
        <v>0</v>
      </c>
      <c r="BM34" s="308">
        <f t="shared" ca="1" si="53"/>
        <v>0</v>
      </c>
      <c r="BN34" s="309">
        <f t="shared" ca="1" si="15"/>
        <v>0</v>
      </c>
      <c r="BO34" s="310">
        <f t="shared" ca="1" si="54"/>
        <v>0</v>
      </c>
      <c r="BP34" s="308">
        <f t="shared" ca="1" si="55"/>
        <v>0</v>
      </c>
      <c r="BQ34" s="309">
        <f t="shared" ca="1" si="16"/>
        <v>0</v>
      </c>
      <c r="BR34" s="310">
        <f t="shared" ca="1" si="56"/>
        <v>0</v>
      </c>
      <c r="BS34" s="308">
        <f t="shared" ca="1" si="57"/>
        <v>0</v>
      </c>
      <c r="BT34" s="309">
        <f t="shared" ca="1" si="17"/>
        <v>0</v>
      </c>
      <c r="BU34" s="310">
        <f t="shared" ca="1" si="18"/>
        <v>0</v>
      </c>
      <c r="BV34" s="309">
        <f t="shared" ca="1" si="19"/>
        <v>0</v>
      </c>
      <c r="BW34" s="311">
        <f t="shared" ca="1" si="20"/>
        <v>0</v>
      </c>
      <c r="BX34" s="286"/>
      <c r="BY34" s="300">
        <f t="shared" ca="1" si="59"/>
        <v>0</v>
      </c>
      <c r="BZ34" s="301">
        <f t="shared" ca="1" si="60"/>
        <v>0</v>
      </c>
      <c r="CA34" s="301">
        <f t="shared" ca="1" si="61"/>
        <v>0</v>
      </c>
      <c r="CB34" s="312">
        <f t="shared" ca="1" si="58"/>
        <v>0</v>
      </c>
      <c r="CC34" s="370"/>
      <c r="CD34" s="47"/>
      <c r="CE34" s="27"/>
      <c r="CF34" s="27">
        <f>'GL-Sets'!C98</f>
        <v>12</v>
      </c>
      <c r="CG34" s="27" t="str">
        <f ca="1">'GL-Sets'!D98</f>
        <v>leere Ganglinie | kann noch individuell mit Werten gefüllt werden</v>
      </c>
      <c r="CH34" s="27"/>
      <c r="CI34" s="27"/>
      <c r="CJ34" s="27"/>
      <c r="CK34" s="41">
        <f>'NF-Sets'!C39</f>
        <v>12</v>
      </c>
      <c r="CL34" s="42" t="str">
        <f ca="1">'NF-Sets'!B39</f>
        <v>Produktionsbetrieb</v>
      </c>
      <c r="CM34" s="35"/>
    </row>
    <row r="35" spans="2:91" ht="18.899999999999999" customHeight="1">
      <c r="B35" s="486" t="s">
        <v>111</v>
      </c>
      <c r="C35" s="487" t="s">
        <v>112</v>
      </c>
      <c r="G35" s="469"/>
      <c r="I35" s="269" t="str">
        <f ca="1">IF(OR(I36&lt;&gt;"",I37&lt;&gt;"",I38&lt;&gt;"")=TRUE,"Zeile","")</f>
        <v/>
      </c>
      <c r="J35" s="274" t="str">
        <f ca="1">IF(OR(I36&lt;&gt;"",I37&lt;&gt;"",I38&lt;&gt;"")=TRUE,"Effekt(e)","")</f>
        <v/>
      </c>
      <c r="K35" s="685" t="str">
        <f ca="1">IF(OR(I36&lt;&gt;"",I37&lt;&gt;"",I38&lt;&gt;"")=TRUE,"Einheit und Grenzbereiche","")</f>
        <v/>
      </c>
      <c r="L35" s="685"/>
      <c r="M35" s="269" t="str">
        <f ca="1">IF(OR(I36&lt;&gt;"",I37&lt;&gt;"",I38&lt;&gt;"")=TRUE,"Eingabe","")</f>
        <v/>
      </c>
      <c r="N35"/>
      <c r="O35" s="358" t="s">
        <v>36</v>
      </c>
      <c r="P35" s="247"/>
      <c r="Q35" s="362">
        <f t="shared" ca="1" si="21"/>
        <v>0</v>
      </c>
      <c r="R35" s="248">
        <f t="shared" ca="1" si="22"/>
        <v>0</v>
      </c>
      <c r="S35" s="363">
        <f t="shared" ca="1" si="23"/>
        <v>0</v>
      </c>
      <c r="T35" s="247"/>
      <c r="U35" s="362">
        <f t="shared" ca="1" si="24"/>
        <v>0</v>
      </c>
      <c r="V35" s="248">
        <f t="shared" ca="1" si="25"/>
        <v>0</v>
      </c>
      <c r="W35" s="363">
        <f t="shared" ca="1" si="26"/>
        <v>0</v>
      </c>
      <c r="X35" s="247"/>
      <c r="Y35" s="362">
        <f t="shared" ca="1" si="27"/>
        <v>0</v>
      </c>
      <c r="Z35" s="248">
        <f t="shared" ca="1" si="28"/>
        <v>0</v>
      </c>
      <c r="AA35" s="363">
        <f t="shared" ca="1" si="29"/>
        <v>0</v>
      </c>
      <c r="AB35" s="58" t="str">
        <f t="shared" ref="AB35:AB46" ca="1" si="62">IF(AND(AA35=MAX($AA$35:$AA$46),AA35&gt;0)=TRUE,"nachmittägliche
Spitzenstunde","")</f>
        <v/>
      </c>
      <c r="AC35" s="495" t="s">
        <v>36</v>
      </c>
      <c r="AD35" s="275"/>
      <c r="AE35" s="303">
        <f t="shared" ca="1" si="31"/>
        <v>0</v>
      </c>
      <c r="AF35" s="304">
        <f t="shared" ca="1" si="32"/>
        <v>0</v>
      </c>
      <c r="AG35" s="305">
        <f t="shared" ca="1" si="33"/>
        <v>0</v>
      </c>
      <c r="AH35" s="304">
        <f t="shared" ca="1" si="34"/>
        <v>0</v>
      </c>
      <c r="AI35" s="305">
        <f t="shared" ca="1" si="35"/>
        <v>0</v>
      </c>
      <c r="AJ35" s="306">
        <f t="shared" ca="1" si="36"/>
        <v>0</v>
      </c>
      <c r="AK35" s="313"/>
      <c r="AL35" s="307">
        <f t="shared" ca="1" si="37"/>
        <v>0</v>
      </c>
      <c r="AM35" s="308">
        <f t="shared" ca="1" si="38"/>
        <v>0</v>
      </c>
      <c r="AN35" s="309">
        <f t="shared" ca="1" si="6"/>
        <v>0</v>
      </c>
      <c r="AO35" s="310">
        <f t="shared" ca="1" si="39"/>
        <v>0</v>
      </c>
      <c r="AP35" s="308">
        <f t="shared" ca="1" si="40"/>
        <v>0</v>
      </c>
      <c r="AQ35" s="309">
        <f t="shared" ca="1" si="7"/>
        <v>0</v>
      </c>
      <c r="AR35" s="310">
        <f t="shared" ca="1" si="41"/>
        <v>0</v>
      </c>
      <c r="AS35" s="308">
        <f t="shared" ca="1" si="42"/>
        <v>0</v>
      </c>
      <c r="AT35" s="309">
        <f t="shared" ca="1" si="8"/>
        <v>0</v>
      </c>
      <c r="AU35" s="310">
        <f t="shared" ca="1" si="9"/>
        <v>0</v>
      </c>
      <c r="AV35" s="309">
        <f t="shared" ca="1" si="10"/>
        <v>0</v>
      </c>
      <c r="AW35" s="311">
        <f t="shared" ca="1" si="11"/>
        <v>0</v>
      </c>
      <c r="AX35" s="314"/>
      <c r="AY35" s="307">
        <f t="shared" ca="1" si="43"/>
        <v>0</v>
      </c>
      <c r="AZ35" s="308">
        <f t="shared" ca="1" si="44"/>
        <v>0</v>
      </c>
      <c r="BA35" s="309">
        <f t="shared" ca="1" si="45"/>
        <v>0</v>
      </c>
      <c r="BB35" s="310">
        <f t="shared" ca="1" si="46"/>
        <v>0</v>
      </c>
      <c r="BC35" s="308">
        <f t="shared" ca="1" si="47"/>
        <v>0</v>
      </c>
      <c r="BD35" s="309">
        <f t="shared" ca="1" si="12"/>
        <v>0</v>
      </c>
      <c r="BE35" s="310">
        <f t="shared" ca="1" si="48"/>
        <v>0</v>
      </c>
      <c r="BF35" s="308">
        <f t="shared" ca="1" si="49"/>
        <v>0</v>
      </c>
      <c r="BG35" s="309">
        <f t="shared" ca="1" si="13"/>
        <v>0</v>
      </c>
      <c r="BH35" s="310">
        <f t="shared" ca="1" si="50"/>
        <v>0</v>
      </c>
      <c r="BI35" s="309">
        <f t="shared" ca="1" si="51"/>
        <v>0</v>
      </c>
      <c r="BJ35" s="311">
        <f t="shared" ca="1" si="14"/>
        <v>0</v>
      </c>
      <c r="BK35" s="314"/>
      <c r="BL35" s="307">
        <f t="shared" ca="1" si="52"/>
        <v>0</v>
      </c>
      <c r="BM35" s="308">
        <f t="shared" ca="1" si="53"/>
        <v>0</v>
      </c>
      <c r="BN35" s="309">
        <f t="shared" ca="1" si="15"/>
        <v>0</v>
      </c>
      <c r="BO35" s="310">
        <f t="shared" ca="1" si="54"/>
        <v>0</v>
      </c>
      <c r="BP35" s="308">
        <f t="shared" ca="1" si="55"/>
        <v>0</v>
      </c>
      <c r="BQ35" s="309">
        <f t="shared" ca="1" si="16"/>
        <v>0</v>
      </c>
      <c r="BR35" s="310">
        <f t="shared" ca="1" si="56"/>
        <v>0</v>
      </c>
      <c r="BS35" s="308">
        <f t="shared" ca="1" si="57"/>
        <v>0</v>
      </c>
      <c r="BT35" s="309">
        <f t="shared" ca="1" si="17"/>
        <v>0</v>
      </c>
      <c r="BU35" s="310">
        <f t="shared" ca="1" si="18"/>
        <v>0</v>
      </c>
      <c r="BV35" s="309">
        <f t="shared" ca="1" si="19"/>
        <v>0</v>
      </c>
      <c r="BW35" s="311">
        <f t="shared" ca="1" si="20"/>
        <v>0</v>
      </c>
      <c r="BX35" s="314"/>
      <c r="BY35" s="300">
        <f t="shared" ca="1" si="59"/>
        <v>0</v>
      </c>
      <c r="BZ35" s="301">
        <f t="shared" ca="1" si="60"/>
        <v>0</v>
      </c>
      <c r="CA35" s="301">
        <f t="shared" ca="1" si="61"/>
        <v>0</v>
      </c>
      <c r="CB35" s="312">
        <f t="shared" ca="1" si="58"/>
        <v>0</v>
      </c>
      <c r="CC35" s="370"/>
      <c r="CD35" s="47"/>
      <c r="CE35" s="27"/>
      <c r="CF35" s="27">
        <f>'GL-Sets'!C99</f>
        <v>13</v>
      </c>
      <c r="CG35" s="27" t="str">
        <f ca="1">'GL-Sets'!D99</f>
        <v>leere Ganglinie | kann noch individuell mit Werten gefüllt werden</v>
      </c>
      <c r="CH35" s="27"/>
      <c r="CI35" s="27"/>
      <c r="CJ35" s="27"/>
      <c r="CK35" s="41">
        <f>'NF-Sets'!C40</f>
        <v>13</v>
      </c>
      <c r="CL35" s="42" t="str">
        <f ca="1">'NF-Sets'!B40</f>
        <v>Lagerhaus</v>
      </c>
      <c r="CM35" s="35"/>
    </row>
    <row r="36" spans="2:91" ht="18.899999999999999" customHeight="1">
      <c r="B36" s="523">
        <f ca="1">IF($C$8=1,INDIRECT(ADDRESS($D$8,$F$4+1,,,$B$4)),IF(AND($C$8=0,$C$9=1)=TRUE,INDIRECT(ADDRESS($D$9,$F$4+1,,,$B$4)),IF(AND($C$8=0,$C$9=0,$C$10=1)=TRUE,INDIRECT(ADDRESS($D$10,$F$4+1,,,$B$4)),0)))</f>
        <v>0</v>
      </c>
      <c r="C36" s="524">
        <f ca="1">IF($C$8=1,INDIRECT(ADDRESS($D$8,$F$4+2,,,$B$4)),IF(AND($C$8=0,$C$9=1)=TRUE,INDIRECT(ADDRESS($D$9,$F$4+2,,,$B$4)),IF(AND($C$8=0,$C$9=0,$C$10=1)=TRUE,INDIRECT(ADDRESS($D$10,$F$4+2,,,$B$4)),0)))</f>
        <v>0</v>
      </c>
      <c r="D36" s="678" t="str">
        <f ca="1">IF(OR(M36&lt;B36,M36&gt;C36)=TRUE,"FEHLER","")</f>
        <v/>
      </c>
      <c r="E36" s="679"/>
      <c r="F36" s="679"/>
      <c r="G36" s="472" t="str">
        <f ca="1">IF(J36&lt;&gt;"",1,"")</f>
        <v/>
      </c>
      <c r="I36" s="242" t="str">
        <f ca="1">IF(J36&lt;&gt;"","n","")</f>
        <v/>
      </c>
      <c r="J36" s="270" t="str">
        <f ca="1">IF($C$8=1,INDIRECT(ADDRESS($D$8,$F$4-1,,,$B$4)),IF(AND($C$8=0,$C$9=1)=TRUE,INDIRECT(ADDRESS($D$9,$F$4-1,,,$B$4)),IF(AND($C$8=0,$C$9=0,$C$10=1)=TRUE,INDIRECT(ADDRESS($D$10,$F$4-1,,,$B$4)),"")))</f>
        <v/>
      </c>
      <c r="K36" s="680" t="str">
        <f ca="1">IF($C$8=1,INDIRECT(ADDRESS($D$8,$F$4,,,$B$4)),IF(AND($C$8=0,$C$9=1)=TRUE,INDIRECT(ADDRESS($D$9,$F$4,,,$B$4)),IF(AND($C$8=0,$C$9=0,$C$10=1)=TRUE,INDIRECT(ADDRESS($D$10,$F$4,,,$B$4)),"")))</f>
        <v/>
      </c>
      <c r="L36" s="680"/>
      <c r="M36" s="271"/>
      <c r="N36" s="5"/>
      <c r="O36" s="358" t="s">
        <v>37</v>
      </c>
      <c r="P36" s="247"/>
      <c r="Q36" s="362">
        <f t="shared" ca="1" si="21"/>
        <v>0</v>
      </c>
      <c r="R36" s="248">
        <f t="shared" ca="1" si="22"/>
        <v>0</v>
      </c>
      <c r="S36" s="363">
        <f t="shared" ca="1" si="23"/>
        <v>0</v>
      </c>
      <c r="T36" s="247"/>
      <c r="U36" s="362">
        <f t="shared" ca="1" si="24"/>
        <v>0</v>
      </c>
      <c r="V36" s="248">
        <f t="shared" ca="1" si="25"/>
        <v>0</v>
      </c>
      <c r="W36" s="363">
        <f t="shared" ca="1" si="26"/>
        <v>0</v>
      </c>
      <c r="X36" s="247"/>
      <c r="Y36" s="362">
        <f t="shared" ca="1" si="27"/>
        <v>0</v>
      </c>
      <c r="Z36" s="248">
        <f t="shared" ca="1" si="28"/>
        <v>0</v>
      </c>
      <c r="AA36" s="363">
        <f t="shared" ca="1" si="29"/>
        <v>0</v>
      </c>
      <c r="AB36" s="58" t="str">
        <f t="shared" ca="1" si="62"/>
        <v/>
      </c>
      <c r="AC36" s="495" t="s">
        <v>37</v>
      </c>
      <c r="AD36" s="275"/>
      <c r="AE36" s="303">
        <f t="shared" ca="1" si="31"/>
        <v>0</v>
      </c>
      <c r="AF36" s="304">
        <f t="shared" ca="1" si="32"/>
        <v>0</v>
      </c>
      <c r="AG36" s="305">
        <f t="shared" ca="1" si="33"/>
        <v>0</v>
      </c>
      <c r="AH36" s="304">
        <f t="shared" ca="1" si="34"/>
        <v>0</v>
      </c>
      <c r="AI36" s="305">
        <f t="shared" ca="1" si="35"/>
        <v>0</v>
      </c>
      <c r="AJ36" s="306">
        <f t="shared" ca="1" si="36"/>
        <v>0</v>
      </c>
      <c r="AK36" s="280"/>
      <c r="AL36" s="307">
        <f t="shared" ca="1" si="37"/>
        <v>0</v>
      </c>
      <c r="AM36" s="308">
        <f t="shared" ca="1" si="38"/>
        <v>0</v>
      </c>
      <c r="AN36" s="309">
        <f t="shared" ca="1" si="6"/>
        <v>0</v>
      </c>
      <c r="AO36" s="310">
        <f t="shared" ca="1" si="39"/>
        <v>0</v>
      </c>
      <c r="AP36" s="308">
        <f t="shared" ca="1" si="40"/>
        <v>0</v>
      </c>
      <c r="AQ36" s="309">
        <f t="shared" ca="1" si="7"/>
        <v>0</v>
      </c>
      <c r="AR36" s="310">
        <f t="shared" ca="1" si="41"/>
        <v>0</v>
      </c>
      <c r="AS36" s="308">
        <f t="shared" ca="1" si="42"/>
        <v>0</v>
      </c>
      <c r="AT36" s="309">
        <f t="shared" ca="1" si="8"/>
        <v>0</v>
      </c>
      <c r="AU36" s="310">
        <f t="shared" ca="1" si="9"/>
        <v>0</v>
      </c>
      <c r="AV36" s="309">
        <f t="shared" ca="1" si="10"/>
        <v>0</v>
      </c>
      <c r="AW36" s="311">
        <f t="shared" ca="1" si="11"/>
        <v>0</v>
      </c>
      <c r="AX36" s="286"/>
      <c r="AY36" s="307">
        <f t="shared" ca="1" si="43"/>
        <v>0</v>
      </c>
      <c r="AZ36" s="308">
        <f t="shared" ca="1" si="44"/>
        <v>0</v>
      </c>
      <c r="BA36" s="309">
        <f t="shared" ca="1" si="45"/>
        <v>0</v>
      </c>
      <c r="BB36" s="310">
        <f t="shared" ca="1" si="46"/>
        <v>0</v>
      </c>
      <c r="BC36" s="308">
        <f t="shared" ca="1" si="47"/>
        <v>0</v>
      </c>
      <c r="BD36" s="309">
        <f t="shared" ca="1" si="12"/>
        <v>0</v>
      </c>
      <c r="BE36" s="310">
        <f t="shared" ca="1" si="48"/>
        <v>0</v>
      </c>
      <c r="BF36" s="308">
        <f t="shared" ca="1" si="49"/>
        <v>0</v>
      </c>
      <c r="BG36" s="309">
        <f t="shared" ca="1" si="13"/>
        <v>0</v>
      </c>
      <c r="BH36" s="310">
        <f t="shared" ca="1" si="50"/>
        <v>0</v>
      </c>
      <c r="BI36" s="309">
        <f t="shared" ca="1" si="51"/>
        <v>0</v>
      </c>
      <c r="BJ36" s="311">
        <f t="shared" ca="1" si="14"/>
        <v>0</v>
      </c>
      <c r="BK36" s="286"/>
      <c r="BL36" s="307">
        <f t="shared" ca="1" si="52"/>
        <v>0</v>
      </c>
      <c r="BM36" s="308">
        <f t="shared" ca="1" si="53"/>
        <v>0</v>
      </c>
      <c r="BN36" s="309">
        <f t="shared" ca="1" si="15"/>
        <v>0</v>
      </c>
      <c r="BO36" s="310">
        <f t="shared" ca="1" si="54"/>
        <v>0</v>
      </c>
      <c r="BP36" s="308">
        <f t="shared" ca="1" si="55"/>
        <v>0</v>
      </c>
      <c r="BQ36" s="309">
        <f t="shared" ca="1" si="16"/>
        <v>0</v>
      </c>
      <c r="BR36" s="310">
        <f t="shared" ca="1" si="56"/>
        <v>0</v>
      </c>
      <c r="BS36" s="308">
        <f t="shared" ca="1" si="57"/>
        <v>0</v>
      </c>
      <c r="BT36" s="309">
        <f t="shared" ca="1" si="17"/>
        <v>0</v>
      </c>
      <c r="BU36" s="310">
        <f t="shared" ca="1" si="18"/>
        <v>0</v>
      </c>
      <c r="BV36" s="309">
        <f t="shared" ca="1" si="19"/>
        <v>0</v>
      </c>
      <c r="BW36" s="311">
        <f t="shared" ca="1" si="20"/>
        <v>0</v>
      </c>
      <c r="BX36" s="286"/>
      <c r="BY36" s="300">
        <f t="shared" ca="1" si="59"/>
        <v>0</v>
      </c>
      <c r="BZ36" s="301">
        <f t="shared" ca="1" si="60"/>
        <v>0</v>
      </c>
      <c r="CA36" s="301">
        <f t="shared" ca="1" si="61"/>
        <v>0</v>
      </c>
      <c r="CB36" s="312">
        <f t="shared" ca="1" si="58"/>
        <v>0</v>
      </c>
      <c r="CC36" s="370"/>
      <c r="CD36" s="47"/>
      <c r="CE36" s="27"/>
      <c r="CF36" s="27">
        <f>'GL-Sets'!C100</f>
        <v>14</v>
      </c>
      <c r="CG36" s="27" t="str">
        <f ca="1">'GL-Sets'!D100</f>
        <v>leere Ganglinie | kann noch individuell mit Werten gefüllt werden</v>
      </c>
      <c r="CH36" s="27"/>
      <c r="CI36" s="27"/>
      <c r="CJ36" s="27"/>
      <c r="CK36" s="41">
        <f>'NF-Sets'!C41</f>
        <v>14</v>
      </c>
      <c r="CL36" s="42" t="str">
        <f ca="1">'NF-Sets'!B41</f>
        <v>Dienstleistungsbetrieb</v>
      </c>
      <c r="CM36" s="35"/>
    </row>
    <row r="37" spans="2:91" ht="18.899999999999999" customHeight="1">
      <c r="B37" s="523">
        <f ca="1">IF(AND($C$8=1,$C$9=1)=TRUE,INDIRECT(ADDRESS($D$9,$F$4+1,,,$B$4)),IF(AND($C$8=1,$C$10=1)=TRUE,INDIRECT(ADDRESS($D$10,$F$4+1,,,$B$4)),IF(AND($C$9=1,$C$10=1)=TRUE,INDIRECT(ADDRESS($D$10,$F$4+1,,,$B$4)),0)))</f>
        <v>0</v>
      </c>
      <c r="C37" s="524">
        <f ca="1">IF(AND($C$8=1,$C$9=1)=TRUE,INDIRECT(ADDRESS($D$9,$F$4+2,,,$B$4)),IF(AND($C$8=1,$C$10=1)=TRUE,INDIRECT(ADDRESS($D$10,$F$4+2,,,$B$4)),IF(AND($C$9=1,$C$10=1)=TRUE,INDIRECT(ADDRESS($D$10,$F$4+2,,,$B$4)),0)))</f>
        <v>0</v>
      </c>
      <c r="D37" s="678" t="str">
        <f ca="1">IF(OR(M37&lt;B37,M37&gt;C37)=TRUE,"FEHLER","")</f>
        <v/>
      </c>
      <c r="E37" s="679"/>
      <c r="F37" s="679"/>
      <c r="G37" s="472" t="str">
        <f ca="1">IF(J37&lt;&gt;"",1,"")</f>
        <v/>
      </c>
      <c r="I37" s="242" t="str">
        <f ca="1">IF(J37&lt;&gt;"","o","")</f>
        <v/>
      </c>
      <c r="J37" s="270" t="str">
        <f ca="1">IF(AND($C$8=1,$C$9=1)=TRUE,INDIRECT(ADDRESS($D$9,$F$4-1,,,$B$4)),IF(AND($C$8=1,$C$10=1)=TRUE,INDIRECT(ADDRESS($D$10,$F$4-1,,,$B$4)),IF(AND($C$9=1,$C$10=1)=TRUE,INDIRECT(ADDRESS($D$10,$F$4-1,,,$B$4)),"")))</f>
        <v/>
      </c>
      <c r="K37" s="680" t="str">
        <f ca="1">IF(AND($C$8=1,$C$9=1)=TRUE,INDIRECT(ADDRESS($D$9,$F$4,,,$B$4)),IF(AND($C$8=1,$C$10=1)=TRUE,INDIRECT(ADDRESS($D$10,$F$4,,,$B$4)),IF(AND($C$9=1,$C$10=1)=TRUE,INDIRECT(ADDRESS($D$10,$F$4,,,$B$4)),"")))</f>
        <v/>
      </c>
      <c r="L37" s="680"/>
      <c r="M37" s="271"/>
      <c r="N37" s="6"/>
      <c r="O37" s="358" t="s">
        <v>38</v>
      </c>
      <c r="P37" s="247"/>
      <c r="Q37" s="362">
        <f t="shared" ca="1" si="21"/>
        <v>0</v>
      </c>
      <c r="R37" s="248">
        <f t="shared" ca="1" si="22"/>
        <v>0</v>
      </c>
      <c r="S37" s="363">
        <f t="shared" ca="1" si="23"/>
        <v>0</v>
      </c>
      <c r="T37" s="247"/>
      <c r="U37" s="362">
        <f t="shared" ca="1" si="24"/>
        <v>0</v>
      </c>
      <c r="V37" s="248">
        <f t="shared" ca="1" si="25"/>
        <v>0</v>
      </c>
      <c r="W37" s="363">
        <f t="shared" ca="1" si="26"/>
        <v>0</v>
      </c>
      <c r="X37" s="247"/>
      <c r="Y37" s="362">
        <f t="shared" ca="1" si="27"/>
        <v>0</v>
      </c>
      <c r="Z37" s="248">
        <f t="shared" ca="1" si="28"/>
        <v>0</v>
      </c>
      <c r="AA37" s="363">
        <f t="shared" ca="1" si="29"/>
        <v>0</v>
      </c>
      <c r="AB37" s="58" t="str">
        <f t="shared" ca="1" si="62"/>
        <v/>
      </c>
      <c r="AC37" s="495" t="s">
        <v>38</v>
      </c>
      <c r="AD37" s="275"/>
      <c r="AE37" s="303">
        <f t="shared" ca="1" si="31"/>
        <v>0</v>
      </c>
      <c r="AF37" s="304">
        <f t="shared" ca="1" si="32"/>
        <v>0</v>
      </c>
      <c r="AG37" s="305">
        <f t="shared" ca="1" si="33"/>
        <v>0</v>
      </c>
      <c r="AH37" s="304">
        <f t="shared" ca="1" si="34"/>
        <v>0</v>
      </c>
      <c r="AI37" s="305">
        <f t="shared" ca="1" si="35"/>
        <v>0</v>
      </c>
      <c r="AJ37" s="306">
        <f t="shared" ca="1" si="36"/>
        <v>0</v>
      </c>
      <c r="AK37" s="280"/>
      <c r="AL37" s="307">
        <f t="shared" ca="1" si="37"/>
        <v>0</v>
      </c>
      <c r="AM37" s="308">
        <f t="shared" ca="1" si="38"/>
        <v>0</v>
      </c>
      <c r="AN37" s="309">
        <f t="shared" ca="1" si="6"/>
        <v>0</v>
      </c>
      <c r="AO37" s="310">
        <f t="shared" ca="1" si="39"/>
        <v>0</v>
      </c>
      <c r="AP37" s="308">
        <f t="shared" ca="1" si="40"/>
        <v>0</v>
      </c>
      <c r="AQ37" s="309">
        <f t="shared" ca="1" si="7"/>
        <v>0</v>
      </c>
      <c r="AR37" s="310">
        <f t="shared" ca="1" si="41"/>
        <v>0</v>
      </c>
      <c r="AS37" s="308">
        <f t="shared" ca="1" si="42"/>
        <v>0</v>
      </c>
      <c r="AT37" s="309">
        <f t="shared" ca="1" si="8"/>
        <v>0</v>
      </c>
      <c r="AU37" s="310">
        <f t="shared" ca="1" si="9"/>
        <v>0</v>
      </c>
      <c r="AV37" s="309">
        <f t="shared" ca="1" si="10"/>
        <v>0</v>
      </c>
      <c r="AW37" s="311">
        <f t="shared" ca="1" si="11"/>
        <v>0</v>
      </c>
      <c r="AX37" s="286"/>
      <c r="AY37" s="307">
        <f t="shared" ca="1" si="43"/>
        <v>0</v>
      </c>
      <c r="AZ37" s="308">
        <f t="shared" ca="1" si="44"/>
        <v>0</v>
      </c>
      <c r="BA37" s="309">
        <f t="shared" ca="1" si="45"/>
        <v>0</v>
      </c>
      <c r="BB37" s="310">
        <f t="shared" ca="1" si="46"/>
        <v>0</v>
      </c>
      <c r="BC37" s="308">
        <f t="shared" ca="1" si="47"/>
        <v>0</v>
      </c>
      <c r="BD37" s="309">
        <f t="shared" ca="1" si="12"/>
        <v>0</v>
      </c>
      <c r="BE37" s="310">
        <f t="shared" ca="1" si="48"/>
        <v>0</v>
      </c>
      <c r="BF37" s="308">
        <f t="shared" ca="1" si="49"/>
        <v>0</v>
      </c>
      <c r="BG37" s="309">
        <f t="shared" ca="1" si="13"/>
        <v>0</v>
      </c>
      <c r="BH37" s="310">
        <f t="shared" ca="1" si="50"/>
        <v>0</v>
      </c>
      <c r="BI37" s="309">
        <f t="shared" ca="1" si="51"/>
        <v>0</v>
      </c>
      <c r="BJ37" s="311">
        <f t="shared" ca="1" si="14"/>
        <v>0</v>
      </c>
      <c r="BK37" s="286"/>
      <c r="BL37" s="307">
        <f t="shared" ca="1" si="52"/>
        <v>0</v>
      </c>
      <c r="BM37" s="308">
        <f t="shared" ca="1" si="53"/>
        <v>0</v>
      </c>
      <c r="BN37" s="309">
        <f t="shared" ca="1" si="15"/>
        <v>0</v>
      </c>
      <c r="BO37" s="310">
        <f t="shared" ca="1" si="54"/>
        <v>0</v>
      </c>
      <c r="BP37" s="308">
        <f t="shared" ca="1" si="55"/>
        <v>0</v>
      </c>
      <c r="BQ37" s="309">
        <f t="shared" ca="1" si="16"/>
        <v>0</v>
      </c>
      <c r="BR37" s="310">
        <f t="shared" ca="1" si="56"/>
        <v>0</v>
      </c>
      <c r="BS37" s="308">
        <f t="shared" ca="1" si="57"/>
        <v>0</v>
      </c>
      <c r="BT37" s="309">
        <f t="shared" ca="1" si="17"/>
        <v>0</v>
      </c>
      <c r="BU37" s="310">
        <f t="shared" ca="1" si="18"/>
        <v>0</v>
      </c>
      <c r="BV37" s="309">
        <f t="shared" ca="1" si="19"/>
        <v>0</v>
      </c>
      <c r="BW37" s="311">
        <f t="shared" ca="1" si="20"/>
        <v>0</v>
      </c>
      <c r="BX37" s="286"/>
      <c r="BY37" s="300">
        <f t="shared" ca="1" si="59"/>
        <v>0</v>
      </c>
      <c r="BZ37" s="301">
        <f t="shared" ca="1" si="60"/>
        <v>0</v>
      </c>
      <c r="CA37" s="301">
        <f t="shared" ca="1" si="61"/>
        <v>0</v>
      </c>
      <c r="CB37" s="312">
        <f t="shared" ca="1" si="58"/>
        <v>0</v>
      </c>
      <c r="CC37" s="370"/>
      <c r="CD37" s="47"/>
      <c r="CE37" s="27"/>
      <c r="CF37" s="27">
        <f>'GL-Sets'!C101</f>
        <v>15</v>
      </c>
      <c r="CG37" s="27" t="str">
        <f ca="1">'GL-Sets'!D101</f>
        <v>leere Ganglinie | kann noch individuell mit Werten gefüllt werden</v>
      </c>
      <c r="CH37" s="27"/>
      <c r="CI37" s="27"/>
      <c r="CJ37" s="27"/>
      <c r="CK37" s="41">
        <f>'NF-Sets'!C42</f>
        <v>15</v>
      </c>
      <c r="CL37" s="42" t="str">
        <f ca="1">'NF-Sets'!B42</f>
        <v>Fitnesscenter</v>
      </c>
      <c r="CM37" s="35"/>
    </row>
    <row r="38" spans="2:91" ht="18.899999999999999" customHeight="1" thickBot="1">
      <c r="B38" s="525">
        <f ca="1">IF(AND($C$8=1,$C$9=1,$C$10=1)=TRUE,INDIRECT(ADDRESS($D$10,$F$4+1,,,$B$4)),0)</f>
        <v>0</v>
      </c>
      <c r="C38" s="526">
        <f ca="1">IF(AND($C$8=1,$C$9=1,$C$10=1)=TRUE,INDIRECT(ADDRESS($D$10,$F$4+2,,,$B$4)),0)</f>
        <v>0</v>
      </c>
      <c r="D38" s="668" t="str">
        <f ca="1">IF(OR(M38&lt;B38,M38&gt;C38)=TRUE,"FEHLER","")</f>
        <v/>
      </c>
      <c r="E38" s="669"/>
      <c r="F38" s="669"/>
      <c r="G38" s="473" t="str">
        <f ca="1">IF(J38&lt;&gt;"",1,"")</f>
        <v/>
      </c>
      <c r="I38" s="6" t="str">
        <f ca="1">IF(J38&lt;&gt;"","p","")</f>
        <v/>
      </c>
      <c r="J38" s="9" t="str">
        <f ca="1">IF(AND($C$8=1,$C$9=1,$C$10=1)=TRUE,INDIRECT(ADDRESS($D$10,$F$4-1,,,$B$4)),"")</f>
        <v/>
      </c>
      <c r="K38" s="673" t="str">
        <f ca="1">IF(AND($C$8=1,$C$9=1,$C$10=1)=TRUE,INDIRECT(ADDRESS($D$10,$F$4,,,$B$4)),"")</f>
        <v/>
      </c>
      <c r="L38" s="673"/>
      <c r="M38" s="70"/>
      <c r="N38" s="6"/>
      <c r="O38" s="358" t="s">
        <v>39</v>
      </c>
      <c r="P38" s="247"/>
      <c r="Q38" s="362">
        <f t="shared" ca="1" si="21"/>
        <v>0</v>
      </c>
      <c r="R38" s="248">
        <f t="shared" ca="1" si="22"/>
        <v>0</v>
      </c>
      <c r="S38" s="363">
        <f t="shared" ca="1" si="23"/>
        <v>0</v>
      </c>
      <c r="T38" s="247"/>
      <c r="U38" s="362">
        <f t="shared" ca="1" si="24"/>
        <v>0</v>
      </c>
      <c r="V38" s="248">
        <f t="shared" ca="1" si="25"/>
        <v>0</v>
      </c>
      <c r="W38" s="363">
        <f t="shared" ca="1" si="26"/>
        <v>0</v>
      </c>
      <c r="X38" s="247"/>
      <c r="Y38" s="362">
        <f t="shared" ca="1" si="27"/>
        <v>0</v>
      </c>
      <c r="Z38" s="248">
        <f t="shared" ca="1" si="28"/>
        <v>0</v>
      </c>
      <c r="AA38" s="363">
        <f t="shared" ca="1" si="29"/>
        <v>0</v>
      </c>
      <c r="AB38" s="58" t="str">
        <f t="shared" ca="1" si="62"/>
        <v/>
      </c>
      <c r="AC38" s="495" t="s">
        <v>39</v>
      </c>
      <c r="AD38" s="275"/>
      <c r="AE38" s="303">
        <f t="shared" ca="1" si="31"/>
        <v>0</v>
      </c>
      <c r="AF38" s="304">
        <f t="shared" ca="1" si="32"/>
        <v>0</v>
      </c>
      <c r="AG38" s="305">
        <f t="shared" ca="1" si="33"/>
        <v>0</v>
      </c>
      <c r="AH38" s="304">
        <f t="shared" ca="1" si="34"/>
        <v>0</v>
      </c>
      <c r="AI38" s="305">
        <f t="shared" ca="1" si="35"/>
        <v>0</v>
      </c>
      <c r="AJ38" s="306">
        <f t="shared" ca="1" si="36"/>
        <v>0</v>
      </c>
      <c r="AK38" s="280"/>
      <c r="AL38" s="307">
        <f t="shared" ca="1" si="37"/>
        <v>0</v>
      </c>
      <c r="AM38" s="308">
        <f t="shared" ca="1" si="38"/>
        <v>0</v>
      </c>
      <c r="AN38" s="309">
        <f t="shared" ca="1" si="6"/>
        <v>0</v>
      </c>
      <c r="AO38" s="310">
        <f t="shared" ca="1" si="39"/>
        <v>0</v>
      </c>
      <c r="AP38" s="308">
        <f t="shared" ca="1" si="40"/>
        <v>0</v>
      </c>
      <c r="AQ38" s="309">
        <f t="shared" ca="1" si="7"/>
        <v>0</v>
      </c>
      <c r="AR38" s="310">
        <f t="shared" ca="1" si="41"/>
        <v>0</v>
      </c>
      <c r="AS38" s="308">
        <f t="shared" ca="1" si="42"/>
        <v>0</v>
      </c>
      <c r="AT38" s="309">
        <f t="shared" ca="1" si="8"/>
        <v>0</v>
      </c>
      <c r="AU38" s="310">
        <f t="shared" ca="1" si="9"/>
        <v>0</v>
      </c>
      <c r="AV38" s="309">
        <f t="shared" ca="1" si="10"/>
        <v>0</v>
      </c>
      <c r="AW38" s="311">
        <f t="shared" ca="1" si="11"/>
        <v>0</v>
      </c>
      <c r="AX38" s="286"/>
      <c r="AY38" s="307">
        <f t="shared" ca="1" si="43"/>
        <v>0</v>
      </c>
      <c r="AZ38" s="308">
        <f t="shared" ca="1" si="44"/>
        <v>0</v>
      </c>
      <c r="BA38" s="309">
        <f t="shared" ca="1" si="45"/>
        <v>0</v>
      </c>
      <c r="BB38" s="310">
        <f t="shared" ca="1" si="46"/>
        <v>0</v>
      </c>
      <c r="BC38" s="308">
        <f t="shared" ca="1" si="47"/>
        <v>0</v>
      </c>
      <c r="BD38" s="309">
        <f t="shared" ca="1" si="12"/>
        <v>0</v>
      </c>
      <c r="BE38" s="310">
        <f t="shared" ca="1" si="48"/>
        <v>0</v>
      </c>
      <c r="BF38" s="308">
        <f t="shared" ca="1" si="49"/>
        <v>0</v>
      </c>
      <c r="BG38" s="309">
        <f t="shared" ca="1" si="13"/>
        <v>0</v>
      </c>
      <c r="BH38" s="310">
        <f t="shared" ca="1" si="50"/>
        <v>0</v>
      </c>
      <c r="BI38" s="309">
        <f t="shared" ca="1" si="51"/>
        <v>0</v>
      </c>
      <c r="BJ38" s="311">
        <f t="shared" ca="1" si="14"/>
        <v>0</v>
      </c>
      <c r="BK38" s="286"/>
      <c r="BL38" s="307">
        <f t="shared" ca="1" si="52"/>
        <v>0</v>
      </c>
      <c r="BM38" s="308">
        <f t="shared" ca="1" si="53"/>
        <v>0</v>
      </c>
      <c r="BN38" s="309">
        <f t="shared" ca="1" si="15"/>
        <v>0</v>
      </c>
      <c r="BO38" s="310">
        <f t="shared" ca="1" si="54"/>
        <v>0</v>
      </c>
      <c r="BP38" s="308">
        <f t="shared" ca="1" si="55"/>
        <v>0</v>
      </c>
      <c r="BQ38" s="309">
        <f t="shared" ca="1" si="16"/>
        <v>0</v>
      </c>
      <c r="BR38" s="310">
        <f t="shared" ca="1" si="56"/>
        <v>0</v>
      </c>
      <c r="BS38" s="308">
        <f t="shared" ca="1" si="57"/>
        <v>0</v>
      </c>
      <c r="BT38" s="309">
        <f t="shared" ca="1" si="17"/>
        <v>0</v>
      </c>
      <c r="BU38" s="310">
        <f t="shared" ca="1" si="18"/>
        <v>0</v>
      </c>
      <c r="BV38" s="309">
        <f t="shared" ca="1" si="19"/>
        <v>0</v>
      </c>
      <c r="BW38" s="311">
        <f t="shared" ca="1" si="20"/>
        <v>0</v>
      </c>
      <c r="BX38" s="286"/>
      <c r="BY38" s="300">
        <f t="shared" ca="1" si="59"/>
        <v>0</v>
      </c>
      <c r="BZ38" s="301">
        <f t="shared" ca="1" si="60"/>
        <v>0</v>
      </c>
      <c r="CA38" s="301">
        <f t="shared" ca="1" si="61"/>
        <v>0</v>
      </c>
      <c r="CB38" s="312">
        <f t="shared" ca="1" si="58"/>
        <v>0</v>
      </c>
      <c r="CC38" s="370"/>
      <c r="CD38" s="47"/>
      <c r="CE38" s="27"/>
      <c r="CF38" s="27">
        <f>'GL-Sets'!C102</f>
        <v>16</v>
      </c>
      <c r="CG38" s="27" t="str">
        <f ca="1">'GL-Sets'!D102</f>
        <v>leere Ganglinie | kann noch individuell mit Werten gefüllt werden</v>
      </c>
      <c r="CH38" s="27"/>
      <c r="CI38" s="27"/>
      <c r="CJ38" s="27"/>
      <c r="CK38" s="41">
        <f>'NF-Sets'!C43</f>
        <v>16</v>
      </c>
      <c r="CL38" s="42" t="str">
        <f ca="1">'NF-Sets'!B43</f>
        <v>Sport und Freizeit</v>
      </c>
      <c r="CM38" s="35"/>
    </row>
    <row r="39" spans="2:91" ht="18.899999999999999" customHeight="1" thickTop="1">
      <c r="G39" s="371"/>
      <c r="I39" s="1"/>
      <c r="J39" s="1"/>
      <c r="K39" s="1"/>
      <c r="L39" s="1"/>
      <c r="M39" s="1"/>
      <c r="N39" s="6"/>
      <c r="O39" s="358" t="s">
        <v>40</v>
      </c>
      <c r="P39" s="247"/>
      <c r="Q39" s="362">
        <f t="shared" ca="1" si="21"/>
        <v>0</v>
      </c>
      <c r="R39" s="248">
        <f t="shared" ca="1" si="22"/>
        <v>0</v>
      </c>
      <c r="S39" s="363">
        <f t="shared" ca="1" si="23"/>
        <v>0</v>
      </c>
      <c r="T39" s="247"/>
      <c r="U39" s="362">
        <f t="shared" ca="1" si="24"/>
        <v>0</v>
      </c>
      <c r="V39" s="248">
        <f t="shared" ca="1" si="25"/>
        <v>0</v>
      </c>
      <c r="W39" s="363">
        <f t="shared" ca="1" si="26"/>
        <v>0</v>
      </c>
      <c r="X39" s="247"/>
      <c r="Y39" s="362">
        <f t="shared" ca="1" si="27"/>
        <v>0</v>
      </c>
      <c r="Z39" s="248">
        <f t="shared" ca="1" si="28"/>
        <v>0</v>
      </c>
      <c r="AA39" s="363">
        <f t="shared" ca="1" si="29"/>
        <v>0</v>
      </c>
      <c r="AB39" s="58" t="str">
        <f t="shared" ca="1" si="62"/>
        <v/>
      </c>
      <c r="AC39" s="495" t="s">
        <v>40</v>
      </c>
      <c r="AD39" s="275"/>
      <c r="AE39" s="303">
        <f t="shared" ca="1" si="31"/>
        <v>0</v>
      </c>
      <c r="AF39" s="304">
        <f t="shared" ca="1" si="32"/>
        <v>0</v>
      </c>
      <c r="AG39" s="305">
        <f t="shared" ca="1" si="33"/>
        <v>0</v>
      </c>
      <c r="AH39" s="304">
        <f t="shared" ca="1" si="34"/>
        <v>0</v>
      </c>
      <c r="AI39" s="305">
        <f t="shared" ca="1" si="35"/>
        <v>0</v>
      </c>
      <c r="AJ39" s="306">
        <f t="shared" ca="1" si="36"/>
        <v>0</v>
      </c>
      <c r="AK39" s="280"/>
      <c r="AL39" s="307">
        <f t="shared" ca="1" si="37"/>
        <v>0</v>
      </c>
      <c r="AM39" s="308">
        <f t="shared" ca="1" si="38"/>
        <v>0</v>
      </c>
      <c r="AN39" s="309">
        <f t="shared" ca="1" si="6"/>
        <v>0</v>
      </c>
      <c r="AO39" s="310">
        <f t="shared" ca="1" si="39"/>
        <v>0</v>
      </c>
      <c r="AP39" s="308">
        <f t="shared" ca="1" si="40"/>
        <v>0</v>
      </c>
      <c r="AQ39" s="309">
        <f t="shared" ca="1" si="7"/>
        <v>0</v>
      </c>
      <c r="AR39" s="310">
        <f t="shared" ca="1" si="41"/>
        <v>0</v>
      </c>
      <c r="AS39" s="308">
        <f t="shared" ca="1" si="42"/>
        <v>0</v>
      </c>
      <c r="AT39" s="309">
        <f t="shared" ca="1" si="8"/>
        <v>0</v>
      </c>
      <c r="AU39" s="310">
        <f t="shared" ca="1" si="9"/>
        <v>0</v>
      </c>
      <c r="AV39" s="309">
        <f t="shared" ca="1" si="10"/>
        <v>0</v>
      </c>
      <c r="AW39" s="311">
        <f t="shared" ca="1" si="11"/>
        <v>0</v>
      </c>
      <c r="AX39" s="286"/>
      <c r="AY39" s="307">
        <f t="shared" ca="1" si="43"/>
        <v>0</v>
      </c>
      <c r="AZ39" s="308">
        <f t="shared" ca="1" si="44"/>
        <v>0</v>
      </c>
      <c r="BA39" s="309">
        <f t="shared" ca="1" si="45"/>
        <v>0</v>
      </c>
      <c r="BB39" s="310">
        <f t="shared" ca="1" si="46"/>
        <v>0</v>
      </c>
      <c r="BC39" s="308">
        <f t="shared" ca="1" si="47"/>
        <v>0</v>
      </c>
      <c r="BD39" s="309">
        <f t="shared" ca="1" si="12"/>
        <v>0</v>
      </c>
      <c r="BE39" s="310">
        <f t="shared" ca="1" si="48"/>
        <v>0</v>
      </c>
      <c r="BF39" s="308">
        <f t="shared" ca="1" si="49"/>
        <v>0</v>
      </c>
      <c r="BG39" s="309">
        <f t="shared" ca="1" si="13"/>
        <v>0</v>
      </c>
      <c r="BH39" s="310">
        <f t="shared" ca="1" si="50"/>
        <v>0</v>
      </c>
      <c r="BI39" s="309">
        <f t="shared" ca="1" si="51"/>
        <v>0</v>
      </c>
      <c r="BJ39" s="311">
        <f t="shared" ca="1" si="14"/>
        <v>0</v>
      </c>
      <c r="BK39" s="286"/>
      <c r="BL39" s="307">
        <f t="shared" ca="1" si="52"/>
        <v>0</v>
      </c>
      <c r="BM39" s="308">
        <f t="shared" ca="1" si="53"/>
        <v>0</v>
      </c>
      <c r="BN39" s="309">
        <f t="shared" ca="1" si="15"/>
        <v>0</v>
      </c>
      <c r="BO39" s="310">
        <f t="shared" ca="1" si="54"/>
        <v>0</v>
      </c>
      <c r="BP39" s="308">
        <f t="shared" ca="1" si="55"/>
        <v>0</v>
      </c>
      <c r="BQ39" s="309">
        <f t="shared" ca="1" si="16"/>
        <v>0</v>
      </c>
      <c r="BR39" s="310">
        <f t="shared" ca="1" si="56"/>
        <v>0</v>
      </c>
      <c r="BS39" s="308">
        <f t="shared" ca="1" si="57"/>
        <v>0</v>
      </c>
      <c r="BT39" s="309">
        <f t="shared" ca="1" si="17"/>
        <v>0</v>
      </c>
      <c r="BU39" s="310">
        <f t="shared" ca="1" si="18"/>
        <v>0</v>
      </c>
      <c r="BV39" s="309">
        <f t="shared" ca="1" si="19"/>
        <v>0</v>
      </c>
      <c r="BW39" s="311">
        <f t="shared" ca="1" si="20"/>
        <v>0</v>
      </c>
      <c r="BX39" s="286"/>
      <c r="BY39" s="300">
        <f t="shared" ca="1" si="59"/>
        <v>0</v>
      </c>
      <c r="BZ39" s="301">
        <f t="shared" ca="1" si="60"/>
        <v>0</v>
      </c>
      <c r="CA39" s="301">
        <f t="shared" ca="1" si="61"/>
        <v>0</v>
      </c>
      <c r="CB39" s="312">
        <f t="shared" ca="1" si="58"/>
        <v>0</v>
      </c>
      <c r="CC39" s="370"/>
      <c r="CD39" s="47"/>
      <c r="CE39" s="27"/>
      <c r="CF39" s="27">
        <f>'GL-Sets'!C103</f>
        <v>17</v>
      </c>
      <c r="CG39" s="27" t="str">
        <f ca="1">'GL-Sets'!D103</f>
        <v>leere Ganglinie | kann noch individuell mit Werten gefüllt werden</v>
      </c>
      <c r="CH39" s="27"/>
      <c r="CI39" s="27"/>
      <c r="CJ39" s="27"/>
      <c r="CK39" s="41">
        <f>'NF-Sets'!C44</f>
        <v>17</v>
      </c>
      <c r="CL39" s="42" t="str">
        <f ca="1">'NF-Sets'!B44</f>
        <v>Fastfood</v>
      </c>
      <c r="CM39" s="35"/>
    </row>
    <row r="40" spans="2:91" ht="18.899999999999999" customHeight="1">
      <c r="G40" s="371">
        <f ca="1">COUNT(G36:G38)</f>
        <v>0</v>
      </c>
      <c r="I40" s="674" t="s">
        <v>152</v>
      </c>
      <c r="J40" s="675"/>
      <c r="K40" s="675"/>
      <c r="L40" s="672" t="s">
        <v>153</v>
      </c>
      <c r="M40" s="672" t="s">
        <v>154</v>
      </c>
      <c r="N40" s="1"/>
      <c r="O40" s="358" t="s">
        <v>41</v>
      </c>
      <c r="P40" s="247"/>
      <c r="Q40" s="362">
        <f t="shared" ca="1" si="21"/>
        <v>0</v>
      </c>
      <c r="R40" s="248">
        <f t="shared" ca="1" si="22"/>
        <v>0</v>
      </c>
      <c r="S40" s="363">
        <f t="shared" ca="1" si="23"/>
        <v>0</v>
      </c>
      <c r="T40" s="247"/>
      <c r="U40" s="362">
        <f t="shared" ca="1" si="24"/>
        <v>0</v>
      </c>
      <c r="V40" s="248">
        <f t="shared" ca="1" si="25"/>
        <v>0</v>
      </c>
      <c r="W40" s="363">
        <f t="shared" ca="1" si="26"/>
        <v>0</v>
      </c>
      <c r="X40" s="247"/>
      <c r="Y40" s="362">
        <f t="shared" ca="1" si="27"/>
        <v>0</v>
      </c>
      <c r="Z40" s="248">
        <f t="shared" ca="1" si="28"/>
        <v>0</v>
      </c>
      <c r="AA40" s="363">
        <f t="shared" ca="1" si="29"/>
        <v>0</v>
      </c>
      <c r="AB40" s="58" t="str">
        <f t="shared" ca="1" si="62"/>
        <v/>
      </c>
      <c r="AC40" s="495" t="s">
        <v>41</v>
      </c>
      <c r="AD40" s="275"/>
      <c r="AE40" s="303">
        <f t="shared" ca="1" si="31"/>
        <v>0</v>
      </c>
      <c r="AF40" s="304">
        <f t="shared" ca="1" si="32"/>
        <v>0</v>
      </c>
      <c r="AG40" s="305">
        <f t="shared" ca="1" si="33"/>
        <v>0</v>
      </c>
      <c r="AH40" s="304">
        <f t="shared" ca="1" si="34"/>
        <v>0</v>
      </c>
      <c r="AI40" s="305">
        <f t="shared" ca="1" si="35"/>
        <v>0</v>
      </c>
      <c r="AJ40" s="306">
        <f t="shared" ca="1" si="36"/>
        <v>0</v>
      </c>
      <c r="AK40" s="280"/>
      <c r="AL40" s="307">
        <f t="shared" ca="1" si="37"/>
        <v>0</v>
      </c>
      <c r="AM40" s="308">
        <f t="shared" ca="1" si="38"/>
        <v>0</v>
      </c>
      <c r="AN40" s="309">
        <f t="shared" ca="1" si="6"/>
        <v>0</v>
      </c>
      <c r="AO40" s="310">
        <f t="shared" ca="1" si="39"/>
        <v>0</v>
      </c>
      <c r="AP40" s="308">
        <f t="shared" ca="1" si="40"/>
        <v>0</v>
      </c>
      <c r="AQ40" s="309">
        <f t="shared" ca="1" si="7"/>
        <v>0</v>
      </c>
      <c r="AR40" s="310">
        <f t="shared" ca="1" si="41"/>
        <v>0</v>
      </c>
      <c r="AS40" s="308">
        <f t="shared" ca="1" si="42"/>
        <v>0</v>
      </c>
      <c r="AT40" s="309">
        <f t="shared" ca="1" si="8"/>
        <v>0</v>
      </c>
      <c r="AU40" s="310">
        <f t="shared" ca="1" si="9"/>
        <v>0</v>
      </c>
      <c r="AV40" s="309">
        <f t="shared" ca="1" si="10"/>
        <v>0</v>
      </c>
      <c r="AW40" s="311">
        <f t="shared" ca="1" si="11"/>
        <v>0</v>
      </c>
      <c r="AX40" s="286"/>
      <c r="AY40" s="307">
        <f t="shared" ca="1" si="43"/>
        <v>0</v>
      </c>
      <c r="AZ40" s="308">
        <f t="shared" ca="1" si="44"/>
        <v>0</v>
      </c>
      <c r="BA40" s="309">
        <f t="shared" ca="1" si="45"/>
        <v>0</v>
      </c>
      <c r="BB40" s="310">
        <f t="shared" ca="1" si="46"/>
        <v>0</v>
      </c>
      <c r="BC40" s="308">
        <f t="shared" ca="1" si="47"/>
        <v>0</v>
      </c>
      <c r="BD40" s="309">
        <f t="shared" ca="1" si="12"/>
        <v>0</v>
      </c>
      <c r="BE40" s="310">
        <f t="shared" ca="1" si="48"/>
        <v>0</v>
      </c>
      <c r="BF40" s="308">
        <f t="shared" ca="1" si="49"/>
        <v>0</v>
      </c>
      <c r="BG40" s="309">
        <f t="shared" ca="1" si="13"/>
        <v>0</v>
      </c>
      <c r="BH40" s="310">
        <f t="shared" ca="1" si="50"/>
        <v>0</v>
      </c>
      <c r="BI40" s="309">
        <f t="shared" ca="1" si="51"/>
        <v>0</v>
      </c>
      <c r="BJ40" s="311">
        <f t="shared" ca="1" si="14"/>
        <v>0</v>
      </c>
      <c r="BK40" s="286"/>
      <c r="BL40" s="307">
        <f t="shared" ca="1" si="52"/>
        <v>0</v>
      </c>
      <c r="BM40" s="308">
        <f t="shared" ca="1" si="53"/>
        <v>0</v>
      </c>
      <c r="BN40" s="309">
        <f t="shared" ca="1" si="15"/>
        <v>0</v>
      </c>
      <c r="BO40" s="310">
        <f t="shared" ca="1" si="54"/>
        <v>0</v>
      </c>
      <c r="BP40" s="308">
        <f t="shared" ca="1" si="55"/>
        <v>0</v>
      </c>
      <c r="BQ40" s="309">
        <f t="shared" ca="1" si="16"/>
        <v>0</v>
      </c>
      <c r="BR40" s="310">
        <f t="shared" ca="1" si="56"/>
        <v>0</v>
      </c>
      <c r="BS40" s="308">
        <f t="shared" ca="1" si="57"/>
        <v>0</v>
      </c>
      <c r="BT40" s="309">
        <f t="shared" ca="1" si="17"/>
        <v>0</v>
      </c>
      <c r="BU40" s="310">
        <f t="shared" ca="1" si="18"/>
        <v>0</v>
      </c>
      <c r="BV40" s="309">
        <f t="shared" ca="1" si="19"/>
        <v>0</v>
      </c>
      <c r="BW40" s="311">
        <f t="shared" ca="1" si="20"/>
        <v>0</v>
      </c>
      <c r="BX40" s="286"/>
      <c r="BY40" s="300">
        <f t="shared" ca="1" si="59"/>
        <v>0</v>
      </c>
      <c r="BZ40" s="301">
        <f t="shared" ca="1" si="60"/>
        <v>0</v>
      </c>
      <c r="CA40" s="301">
        <f t="shared" ca="1" si="61"/>
        <v>0</v>
      </c>
      <c r="CB40" s="312">
        <f t="shared" ca="1" si="58"/>
        <v>0</v>
      </c>
      <c r="CC40" s="370"/>
      <c r="CD40" s="48"/>
      <c r="CE40" s="27"/>
      <c r="CF40" s="27">
        <f>'GL-Sets'!C104</f>
        <v>18</v>
      </c>
      <c r="CG40" s="27" t="str">
        <f ca="1">'GL-Sets'!D104</f>
        <v>leere Ganglinie | kann noch individuell mit Werten gefüllt werden</v>
      </c>
      <c r="CH40" s="27"/>
      <c r="CI40" s="27"/>
      <c r="CJ40" s="27"/>
      <c r="CK40" s="41">
        <f>'NF-Sets'!C45</f>
        <v>18</v>
      </c>
      <c r="CL40" s="42" t="str">
        <f ca="1">'NF-Sets'!B45</f>
        <v>Restaurant</v>
      </c>
      <c r="CM40" s="35"/>
    </row>
    <row r="41" spans="2:91" ht="18.899999999999999" customHeight="1">
      <c r="I41" s="675"/>
      <c r="J41" s="675"/>
      <c r="K41" s="675"/>
      <c r="L41" s="672"/>
      <c r="M41" s="672"/>
      <c r="N41" s="24"/>
      <c r="O41" s="358" t="s">
        <v>42</v>
      </c>
      <c r="P41" s="247"/>
      <c r="Q41" s="362">
        <f t="shared" ca="1" si="21"/>
        <v>0</v>
      </c>
      <c r="R41" s="248">
        <f t="shared" ca="1" si="22"/>
        <v>0</v>
      </c>
      <c r="S41" s="363">
        <f t="shared" ca="1" si="23"/>
        <v>0</v>
      </c>
      <c r="T41" s="247"/>
      <c r="U41" s="362">
        <f t="shared" ca="1" si="24"/>
        <v>0</v>
      </c>
      <c r="V41" s="248">
        <f t="shared" ca="1" si="25"/>
        <v>0</v>
      </c>
      <c r="W41" s="363">
        <f t="shared" ca="1" si="26"/>
        <v>0</v>
      </c>
      <c r="X41" s="247"/>
      <c r="Y41" s="362">
        <f t="shared" ca="1" si="27"/>
        <v>0</v>
      </c>
      <c r="Z41" s="248">
        <f t="shared" ca="1" si="28"/>
        <v>0</v>
      </c>
      <c r="AA41" s="363">
        <f t="shared" ca="1" si="29"/>
        <v>0</v>
      </c>
      <c r="AB41" s="58" t="str">
        <f t="shared" ca="1" si="62"/>
        <v/>
      </c>
      <c r="AC41" s="495" t="s">
        <v>42</v>
      </c>
      <c r="AD41" s="275"/>
      <c r="AE41" s="303">
        <f t="shared" ca="1" si="31"/>
        <v>0</v>
      </c>
      <c r="AF41" s="304">
        <f t="shared" ca="1" si="32"/>
        <v>0</v>
      </c>
      <c r="AG41" s="305">
        <f t="shared" ca="1" si="33"/>
        <v>0</v>
      </c>
      <c r="AH41" s="304">
        <f t="shared" ca="1" si="34"/>
        <v>0</v>
      </c>
      <c r="AI41" s="305">
        <f t="shared" ca="1" si="35"/>
        <v>0</v>
      </c>
      <c r="AJ41" s="306">
        <f t="shared" ca="1" si="36"/>
        <v>0</v>
      </c>
      <c r="AK41" s="280"/>
      <c r="AL41" s="307">
        <f t="shared" ca="1" si="37"/>
        <v>0</v>
      </c>
      <c r="AM41" s="308">
        <f t="shared" ca="1" si="38"/>
        <v>0</v>
      </c>
      <c r="AN41" s="309">
        <f t="shared" ca="1" si="6"/>
        <v>0</v>
      </c>
      <c r="AO41" s="310">
        <f t="shared" ca="1" si="39"/>
        <v>0</v>
      </c>
      <c r="AP41" s="308">
        <f t="shared" ca="1" si="40"/>
        <v>0</v>
      </c>
      <c r="AQ41" s="309">
        <f t="shared" ca="1" si="7"/>
        <v>0</v>
      </c>
      <c r="AR41" s="310">
        <f t="shared" ca="1" si="41"/>
        <v>0</v>
      </c>
      <c r="AS41" s="308">
        <f t="shared" ca="1" si="42"/>
        <v>0</v>
      </c>
      <c r="AT41" s="309">
        <f t="shared" ca="1" si="8"/>
        <v>0</v>
      </c>
      <c r="AU41" s="310">
        <f t="shared" ca="1" si="9"/>
        <v>0</v>
      </c>
      <c r="AV41" s="309">
        <f t="shared" ca="1" si="10"/>
        <v>0</v>
      </c>
      <c r="AW41" s="311">
        <f t="shared" ca="1" si="11"/>
        <v>0</v>
      </c>
      <c r="AX41" s="286"/>
      <c r="AY41" s="307">
        <f t="shared" ca="1" si="43"/>
        <v>0</v>
      </c>
      <c r="AZ41" s="308">
        <f t="shared" ca="1" si="44"/>
        <v>0</v>
      </c>
      <c r="BA41" s="309">
        <f t="shared" ca="1" si="45"/>
        <v>0</v>
      </c>
      <c r="BB41" s="310">
        <f t="shared" ca="1" si="46"/>
        <v>0</v>
      </c>
      <c r="BC41" s="308">
        <f t="shared" ca="1" si="47"/>
        <v>0</v>
      </c>
      <c r="BD41" s="309">
        <f t="shared" ca="1" si="12"/>
        <v>0</v>
      </c>
      <c r="BE41" s="310">
        <f t="shared" ca="1" si="48"/>
        <v>0</v>
      </c>
      <c r="BF41" s="308">
        <f t="shared" ca="1" si="49"/>
        <v>0</v>
      </c>
      <c r="BG41" s="309">
        <f t="shared" ca="1" si="13"/>
        <v>0</v>
      </c>
      <c r="BH41" s="310">
        <f t="shared" ca="1" si="50"/>
        <v>0</v>
      </c>
      <c r="BI41" s="309">
        <f t="shared" ca="1" si="51"/>
        <v>0</v>
      </c>
      <c r="BJ41" s="311">
        <f t="shared" ca="1" si="14"/>
        <v>0</v>
      </c>
      <c r="BK41" s="286"/>
      <c r="BL41" s="307">
        <f t="shared" ca="1" si="52"/>
        <v>0</v>
      </c>
      <c r="BM41" s="308">
        <f t="shared" ca="1" si="53"/>
        <v>0</v>
      </c>
      <c r="BN41" s="309">
        <f t="shared" ca="1" si="15"/>
        <v>0</v>
      </c>
      <c r="BO41" s="310">
        <f t="shared" ca="1" si="54"/>
        <v>0</v>
      </c>
      <c r="BP41" s="308">
        <f t="shared" ca="1" si="55"/>
        <v>0</v>
      </c>
      <c r="BQ41" s="309">
        <f t="shared" ca="1" si="16"/>
        <v>0</v>
      </c>
      <c r="BR41" s="310">
        <f t="shared" ca="1" si="56"/>
        <v>0</v>
      </c>
      <c r="BS41" s="308">
        <f t="shared" ca="1" si="57"/>
        <v>0</v>
      </c>
      <c r="BT41" s="309">
        <f t="shared" ca="1" si="17"/>
        <v>0</v>
      </c>
      <c r="BU41" s="310">
        <f t="shared" ca="1" si="18"/>
        <v>0</v>
      </c>
      <c r="BV41" s="309">
        <f t="shared" ca="1" si="19"/>
        <v>0</v>
      </c>
      <c r="BW41" s="311">
        <f t="shared" ca="1" si="20"/>
        <v>0</v>
      </c>
      <c r="BX41" s="286"/>
      <c r="BY41" s="300">
        <f t="shared" ca="1" si="59"/>
        <v>0</v>
      </c>
      <c r="BZ41" s="301">
        <f t="shared" ca="1" si="60"/>
        <v>0</v>
      </c>
      <c r="CA41" s="301">
        <f t="shared" ca="1" si="61"/>
        <v>0</v>
      </c>
      <c r="CB41" s="312">
        <f t="shared" ca="1" si="58"/>
        <v>0</v>
      </c>
      <c r="CC41" s="370"/>
      <c r="CD41" s="49"/>
      <c r="CE41" s="27"/>
      <c r="CF41" s="27">
        <f>'GL-Sets'!C105</f>
        <v>19</v>
      </c>
      <c r="CG41" s="27" t="str">
        <f ca="1">'GL-Sets'!D105</f>
        <v>leere Ganglinie | kann noch individuell mit Werten gefüllt werden</v>
      </c>
      <c r="CH41" s="27"/>
      <c r="CI41" s="34"/>
      <c r="CJ41" s="34"/>
      <c r="CK41" s="41">
        <f>'NF-Sets'!C46</f>
        <v>19</v>
      </c>
      <c r="CL41" s="42" t="str">
        <f ca="1">'NF-Sets'!B46</f>
        <v>Hotel</v>
      </c>
      <c r="CM41" s="35"/>
    </row>
    <row r="42" spans="2:91" ht="18.899999999999999" customHeight="1">
      <c r="I42" s="675"/>
      <c r="J42" s="675"/>
      <c r="K42" s="675"/>
      <c r="L42" s="672"/>
      <c r="M42" s="672"/>
      <c r="N42" s="25"/>
      <c r="O42" s="358" t="s">
        <v>43</v>
      </c>
      <c r="P42" s="247"/>
      <c r="Q42" s="362">
        <f t="shared" ca="1" si="21"/>
        <v>0</v>
      </c>
      <c r="R42" s="248">
        <f t="shared" ca="1" si="22"/>
        <v>0</v>
      </c>
      <c r="S42" s="363">
        <f t="shared" ca="1" si="23"/>
        <v>0</v>
      </c>
      <c r="T42" s="247"/>
      <c r="U42" s="362">
        <f t="shared" ca="1" si="24"/>
        <v>0</v>
      </c>
      <c r="V42" s="248">
        <f t="shared" ca="1" si="25"/>
        <v>0</v>
      </c>
      <c r="W42" s="363">
        <f t="shared" ca="1" si="26"/>
        <v>0</v>
      </c>
      <c r="X42" s="247"/>
      <c r="Y42" s="362">
        <f t="shared" ca="1" si="27"/>
        <v>0</v>
      </c>
      <c r="Z42" s="248">
        <f t="shared" ca="1" si="28"/>
        <v>0</v>
      </c>
      <c r="AA42" s="363">
        <f t="shared" ca="1" si="29"/>
        <v>0</v>
      </c>
      <c r="AB42" s="58" t="str">
        <f t="shared" ca="1" si="62"/>
        <v/>
      </c>
      <c r="AC42" s="495" t="s">
        <v>43</v>
      </c>
      <c r="AD42" s="275"/>
      <c r="AE42" s="303">
        <f t="shared" ca="1" si="31"/>
        <v>0</v>
      </c>
      <c r="AF42" s="304">
        <f t="shared" ca="1" si="32"/>
        <v>0</v>
      </c>
      <c r="AG42" s="305">
        <f t="shared" ca="1" si="33"/>
        <v>0</v>
      </c>
      <c r="AH42" s="304">
        <f t="shared" ca="1" si="34"/>
        <v>0</v>
      </c>
      <c r="AI42" s="305">
        <f t="shared" ca="1" si="35"/>
        <v>0</v>
      </c>
      <c r="AJ42" s="306">
        <f t="shared" ca="1" si="36"/>
        <v>0</v>
      </c>
      <c r="AK42" s="280"/>
      <c r="AL42" s="307">
        <f t="shared" ca="1" si="37"/>
        <v>0</v>
      </c>
      <c r="AM42" s="308">
        <f t="shared" ca="1" si="38"/>
        <v>0</v>
      </c>
      <c r="AN42" s="309">
        <f t="shared" ca="1" si="6"/>
        <v>0</v>
      </c>
      <c r="AO42" s="310">
        <f t="shared" ca="1" si="39"/>
        <v>0</v>
      </c>
      <c r="AP42" s="308">
        <f t="shared" ca="1" si="40"/>
        <v>0</v>
      </c>
      <c r="AQ42" s="309">
        <f t="shared" ca="1" si="7"/>
        <v>0</v>
      </c>
      <c r="AR42" s="310">
        <f t="shared" ca="1" si="41"/>
        <v>0</v>
      </c>
      <c r="AS42" s="308">
        <f t="shared" ca="1" si="42"/>
        <v>0</v>
      </c>
      <c r="AT42" s="309">
        <f t="shared" ca="1" si="8"/>
        <v>0</v>
      </c>
      <c r="AU42" s="310">
        <f t="shared" ca="1" si="9"/>
        <v>0</v>
      </c>
      <c r="AV42" s="309">
        <f t="shared" ca="1" si="10"/>
        <v>0</v>
      </c>
      <c r="AW42" s="311">
        <f t="shared" ca="1" si="11"/>
        <v>0</v>
      </c>
      <c r="AX42" s="286"/>
      <c r="AY42" s="307">
        <f t="shared" ca="1" si="43"/>
        <v>0</v>
      </c>
      <c r="AZ42" s="308">
        <f t="shared" ca="1" si="44"/>
        <v>0</v>
      </c>
      <c r="BA42" s="309">
        <f t="shared" ca="1" si="45"/>
        <v>0</v>
      </c>
      <c r="BB42" s="310">
        <f t="shared" ca="1" si="46"/>
        <v>0</v>
      </c>
      <c r="BC42" s="308">
        <f t="shared" ca="1" si="47"/>
        <v>0</v>
      </c>
      <c r="BD42" s="309">
        <f t="shared" ca="1" si="12"/>
        <v>0</v>
      </c>
      <c r="BE42" s="310">
        <f t="shared" ca="1" si="48"/>
        <v>0</v>
      </c>
      <c r="BF42" s="308">
        <f t="shared" ca="1" si="49"/>
        <v>0</v>
      </c>
      <c r="BG42" s="309">
        <f t="shared" ca="1" si="13"/>
        <v>0</v>
      </c>
      <c r="BH42" s="310">
        <f t="shared" ca="1" si="50"/>
        <v>0</v>
      </c>
      <c r="BI42" s="309">
        <f t="shared" ca="1" si="51"/>
        <v>0</v>
      </c>
      <c r="BJ42" s="311">
        <f t="shared" ca="1" si="14"/>
        <v>0</v>
      </c>
      <c r="BK42" s="286"/>
      <c r="BL42" s="307">
        <f t="shared" ca="1" si="52"/>
        <v>0</v>
      </c>
      <c r="BM42" s="308">
        <f t="shared" ca="1" si="53"/>
        <v>0</v>
      </c>
      <c r="BN42" s="309">
        <f t="shared" ca="1" si="15"/>
        <v>0</v>
      </c>
      <c r="BO42" s="310">
        <f t="shared" ca="1" si="54"/>
        <v>0</v>
      </c>
      <c r="BP42" s="308">
        <f t="shared" ca="1" si="55"/>
        <v>0</v>
      </c>
      <c r="BQ42" s="309">
        <f t="shared" ca="1" si="16"/>
        <v>0</v>
      </c>
      <c r="BR42" s="310">
        <f t="shared" ca="1" si="56"/>
        <v>0</v>
      </c>
      <c r="BS42" s="308">
        <f t="shared" ca="1" si="57"/>
        <v>0</v>
      </c>
      <c r="BT42" s="309">
        <f t="shared" ca="1" si="17"/>
        <v>0</v>
      </c>
      <c r="BU42" s="310">
        <f t="shared" ca="1" si="18"/>
        <v>0</v>
      </c>
      <c r="BV42" s="309">
        <f t="shared" ca="1" si="19"/>
        <v>0</v>
      </c>
      <c r="BW42" s="311">
        <f t="shared" ca="1" si="20"/>
        <v>0</v>
      </c>
      <c r="BX42" s="286"/>
      <c r="BY42" s="300">
        <f t="shared" ca="1" si="59"/>
        <v>0</v>
      </c>
      <c r="BZ42" s="301">
        <f t="shared" ca="1" si="60"/>
        <v>0</v>
      </c>
      <c r="CA42" s="301">
        <f t="shared" ca="1" si="61"/>
        <v>0</v>
      </c>
      <c r="CB42" s="312">
        <f t="shared" ca="1" si="58"/>
        <v>0</v>
      </c>
      <c r="CC42" s="57"/>
      <c r="CD42" s="50"/>
      <c r="CE42" s="27"/>
      <c r="CF42" s="27">
        <f>'GL-Sets'!C106</f>
        <v>20</v>
      </c>
      <c r="CG42" s="27" t="str">
        <f ca="1">'GL-Sets'!D106</f>
        <v>leere Ganglinie | kann noch individuell mit Werten gefüllt werden</v>
      </c>
      <c r="CH42" s="34"/>
      <c r="CI42" s="27"/>
      <c r="CJ42" s="27"/>
      <c r="CK42" s="41">
        <f>'NF-Sets'!C47</f>
        <v>20</v>
      </c>
      <c r="CL42" s="42" t="str">
        <f ca="1">'NF-Sets'!B47</f>
        <v>Tankstelle</v>
      </c>
      <c r="CM42" s="35"/>
    </row>
    <row r="43" spans="2:91" ht="18.899999999999999" customHeight="1">
      <c r="I43" s="675"/>
      <c r="J43" s="675"/>
      <c r="K43" s="675"/>
      <c r="L43" s="672"/>
      <c r="M43" s="672"/>
      <c r="N43" s="25"/>
      <c r="O43" s="358" t="s">
        <v>44</v>
      </c>
      <c r="P43" s="247"/>
      <c r="Q43" s="362">
        <f t="shared" ca="1" si="21"/>
        <v>0</v>
      </c>
      <c r="R43" s="248">
        <f t="shared" ca="1" si="22"/>
        <v>0</v>
      </c>
      <c r="S43" s="363">
        <f t="shared" ca="1" si="23"/>
        <v>0</v>
      </c>
      <c r="T43" s="247"/>
      <c r="U43" s="362">
        <f t="shared" ca="1" si="24"/>
        <v>0</v>
      </c>
      <c r="V43" s="248">
        <f t="shared" ca="1" si="25"/>
        <v>0</v>
      </c>
      <c r="W43" s="363">
        <f t="shared" ca="1" si="26"/>
        <v>0</v>
      </c>
      <c r="X43" s="247"/>
      <c r="Y43" s="362">
        <f t="shared" ca="1" si="27"/>
        <v>0</v>
      </c>
      <c r="Z43" s="248">
        <f t="shared" ca="1" si="28"/>
        <v>0</v>
      </c>
      <c r="AA43" s="363">
        <f t="shared" ca="1" si="29"/>
        <v>0</v>
      </c>
      <c r="AB43" s="58" t="str">
        <f t="shared" ca="1" si="62"/>
        <v/>
      </c>
      <c r="AC43" s="495" t="s">
        <v>44</v>
      </c>
      <c r="AD43" s="275"/>
      <c r="AE43" s="303">
        <f t="shared" ca="1" si="31"/>
        <v>0</v>
      </c>
      <c r="AF43" s="304">
        <f t="shared" ca="1" si="32"/>
        <v>0</v>
      </c>
      <c r="AG43" s="305">
        <f t="shared" ca="1" si="33"/>
        <v>0</v>
      </c>
      <c r="AH43" s="304">
        <f t="shared" ca="1" si="34"/>
        <v>0</v>
      </c>
      <c r="AI43" s="305">
        <f t="shared" ca="1" si="35"/>
        <v>0</v>
      </c>
      <c r="AJ43" s="306">
        <f t="shared" ca="1" si="36"/>
        <v>0</v>
      </c>
      <c r="AK43" s="280"/>
      <c r="AL43" s="307">
        <f t="shared" ca="1" si="37"/>
        <v>0</v>
      </c>
      <c r="AM43" s="308">
        <f t="shared" ca="1" si="38"/>
        <v>0</v>
      </c>
      <c r="AN43" s="309">
        <f t="shared" ca="1" si="6"/>
        <v>0</v>
      </c>
      <c r="AO43" s="310">
        <f t="shared" ca="1" si="39"/>
        <v>0</v>
      </c>
      <c r="AP43" s="308">
        <f t="shared" ca="1" si="40"/>
        <v>0</v>
      </c>
      <c r="AQ43" s="309">
        <f t="shared" ca="1" si="7"/>
        <v>0</v>
      </c>
      <c r="AR43" s="310">
        <f t="shared" ca="1" si="41"/>
        <v>0</v>
      </c>
      <c r="AS43" s="308">
        <f t="shared" ca="1" si="42"/>
        <v>0</v>
      </c>
      <c r="AT43" s="309">
        <f t="shared" ca="1" si="8"/>
        <v>0</v>
      </c>
      <c r="AU43" s="310">
        <f t="shared" ca="1" si="9"/>
        <v>0</v>
      </c>
      <c r="AV43" s="309">
        <f t="shared" ca="1" si="10"/>
        <v>0</v>
      </c>
      <c r="AW43" s="311">
        <f t="shared" ca="1" si="11"/>
        <v>0</v>
      </c>
      <c r="AX43" s="286"/>
      <c r="AY43" s="307">
        <f t="shared" ca="1" si="43"/>
        <v>0</v>
      </c>
      <c r="AZ43" s="308">
        <f t="shared" ca="1" si="44"/>
        <v>0</v>
      </c>
      <c r="BA43" s="309">
        <f t="shared" ca="1" si="45"/>
        <v>0</v>
      </c>
      <c r="BB43" s="310">
        <f t="shared" ca="1" si="46"/>
        <v>0</v>
      </c>
      <c r="BC43" s="308">
        <f t="shared" ca="1" si="47"/>
        <v>0</v>
      </c>
      <c r="BD43" s="309">
        <f t="shared" ca="1" si="12"/>
        <v>0</v>
      </c>
      <c r="BE43" s="310">
        <f t="shared" ca="1" si="48"/>
        <v>0</v>
      </c>
      <c r="BF43" s="308">
        <f t="shared" ca="1" si="49"/>
        <v>0</v>
      </c>
      <c r="BG43" s="309">
        <f t="shared" ca="1" si="13"/>
        <v>0</v>
      </c>
      <c r="BH43" s="310">
        <f t="shared" ca="1" si="50"/>
        <v>0</v>
      </c>
      <c r="BI43" s="309">
        <f t="shared" ca="1" si="51"/>
        <v>0</v>
      </c>
      <c r="BJ43" s="311">
        <f t="shared" ca="1" si="14"/>
        <v>0</v>
      </c>
      <c r="BK43" s="286"/>
      <c r="BL43" s="307">
        <f t="shared" ca="1" si="52"/>
        <v>0</v>
      </c>
      <c r="BM43" s="308">
        <f t="shared" ca="1" si="53"/>
        <v>0</v>
      </c>
      <c r="BN43" s="309">
        <f t="shared" ca="1" si="15"/>
        <v>0</v>
      </c>
      <c r="BO43" s="310">
        <f t="shared" ca="1" si="54"/>
        <v>0</v>
      </c>
      <c r="BP43" s="308">
        <f t="shared" ca="1" si="55"/>
        <v>0</v>
      </c>
      <c r="BQ43" s="309">
        <f t="shared" ca="1" si="16"/>
        <v>0</v>
      </c>
      <c r="BR43" s="310">
        <f t="shared" ca="1" si="56"/>
        <v>0</v>
      </c>
      <c r="BS43" s="308">
        <f t="shared" ca="1" si="57"/>
        <v>0</v>
      </c>
      <c r="BT43" s="309">
        <f t="shared" ca="1" si="17"/>
        <v>0</v>
      </c>
      <c r="BU43" s="310">
        <f t="shared" ca="1" si="18"/>
        <v>0</v>
      </c>
      <c r="BV43" s="309">
        <f t="shared" ca="1" si="19"/>
        <v>0</v>
      </c>
      <c r="BW43" s="311">
        <f t="shared" ca="1" si="20"/>
        <v>0</v>
      </c>
      <c r="BX43" s="286"/>
      <c r="BY43" s="300">
        <f t="shared" ca="1" si="59"/>
        <v>0</v>
      </c>
      <c r="BZ43" s="301">
        <f t="shared" ca="1" si="60"/>
        <v>0</v>
      </c>
      <c r="CA43" s="301">
        <f t="shared" ca="1" si="61"/>
        <v>0</v>
      </c>
      <c r="CB43" s="312">
        <f t="shared" ca="1" si="58"/>
        <v>0</v>
      </c>
      <c r="CC43" s="372"/>
      <c r="CE43" s="27"/>
      <c r="CF43" s="27"/>
      <c r="CG43" s="27"/>
      <c r="CH43" s="27"/>
      <c r="CI43" s="27"/>
      <c r="CJ43" s="27"/>
      <c r="CK43" s="41">
        <f>'NF-Sets'!C48</f>
        <v>21</v>
      </c>
      <c r="CL43" s="42" t="str">
        <f ca="1">'NF-Sets'!B48</f>
        <v>Wohnen</v>
      </c>
      <c r="CM43" s="35"/>
    </row>
    <row r="44" spans="2:91" ht="18.899999999999999" customHeight="1">
      <c r="I44" s="246" t="str">
        <f ca="1">IF(I36="","n",IF(I37="","o",IF(I38="","p","q")))</f>
        <v>n</v>
      </c>
      <c r="J44" s="252" t="s">
        <v>155</v>
      </c>
      <c r="K44" s="253" t="s">
        <v>147</v>
      </c>
      <c r="L44" s="254">
        <f ca="1">BD47</f>
        <v>0</v>
      </c>
      <c r="M44" s="254">
        <f ca="1">BQ47</f>
        <v>0</v>
      </c>
      <c r="N44" s="25"/>
      <c r="O44" s="358" t="s">
        <v>45</v>
      </c>
      <c r="P44" s="247"/>
      <c r="Q44" s="362">
        <f t="shared" ca="1" si="21"/>
        <v>0</v>
      </c>
      <c r="R44" s="248">
        <f t="shared" ca="1" si="22"/>
        <v>0</v>
      </c>
      <c r="S44" s="363">
        <f t="shared" ca="1" si="23"/>
        <v>0</v>
      </c>
      <c r="T44" s="247"/>
      <c r="U44" s="362">
        <f t="shared" ca="1" si="24"/>
        <v>0</v>
      </c>
      <c r="V44" s="248">
        <f t="shared" ca="1" si="25"/>
        <v>0</v>
      </c>
      <c r="W44" s="363">
        <f t="shared" ca="1" si="26"/>
        <v>0</v>
      </c>
      <c r="X44" s="247"/>
      <c r="Y44" s="362">
        <f t="shared" ca="1" si="27"/>
        <v>0</v>
      </c>
      <c r="Z44" s="248">
        <f t="shared" ca="1" si="28"/>
        <v>0</v>
      </c>
      <c r="AA44" s="363">
        <f t="shared" ca="1" si="29"/>
        <v>0</v>
      </c>
      <c r="AB44" s="58" t="str">
        <f t="shared" ca="1" si="62"/>
        <v/>
      </c>
      <c r="AC44" s="495" t="s">
        <v>45</v>
      </c>
      <c r="AD44" s="275"/>
      <c r="AE44" s="303">
        <f t="shared" ca="1" si="31"/>
        <v>0</v>
      </c>
      <c r="AF44" s="304">
        <f t="shared" ca="1" si="32"/>
        <v>0</v>
      </c>
      <c r="AG44" s="305">
        <f t="shared" ca="1" si="33"/>
        <v>0</v>
      </c>
      <c r="AH44" s="304">
        <f t="shared" ca="1" si="34"/>
        <v>0</v>
      </c>
      <c r="AI44" s="305">
        <f t="shared" ca="1" si="35"/>
        <v>0</v>
      </c>
      <c r="AJ44" s="306">
        <f t="shared" ca="1" si="36"/>
        <v>0</v>
      </c>
      <c r="AK44" s="280"/>
      <c r="AL44" s="307">
        <f t="shared" ca="1" si="37"/>
        <v>0</v>
      </c>
      <c r="AM44" s="308">
        <f t="shared" ca="1" si="38"/>
        <v>0</v>
      </c>
      <c r="AN44" s="309">
        <f t="shared" ca="1" si="6"/>
        <v>0</v>
      </c>
      <c r="AO44" s="310">
        <f t="shared" ca="1" si="39"/>
        <v>0</v>
      </c>
      <c r="AP44" s="308">
        <f t="shared" ca="1" si="40"/>
        <v>0</v>
      </c>
      <c r="AQ44" s="309">
        <f t="shared" ca="1" si="7"/>
        <v>0</v>
      </c>
      <c r="AR44" s="310">
        <f t="shared" ca="1" si="41"/>
        <v>0</v>
      </c>
      <c r="AS44" s="308">
        <f t="shared" ca="1" si="42"/>
        <v>0</v>
      </c>
      <c r="AT44" s="309">
        <f t="shared" ca="1" si="8"/>
        <v>0</v>
      </c>
      <c r="AU44" s="310">
        <f t="shared" ca="1" si="9"/>
        <v>0</v>
      </c>
      <c r="AV44" s="309">
        <f t="shared" ca="1" si="10"/>
        <v>0</v>
      </c>
      <c r="AW44" s="311">
        <f t="shared" ca="1" si="11"/>
        <v>0</v>
      </c>
      <c r="AX44" s="286"/>
      <c r="AY44" s="307">
        <f t="shared" ca="1" si="43"/>
        <v>0</v>
      </c>
      <c r="AZ44" s="308">
        <f t="shared" ca="1" si="44"/>
        <v>0</v>
      </c>
      <c r="BA44" s="309">
        <f t="shared" ca="1" si="45"/>
        <v>0</v>
      </c>
      <c r="BB44" s="310">
        <f t="shared" ca="1" si="46"/>
        <v>0</v>
      </c>
      <c r="BC44" s="308">
        <f t="shared" ca="1" si="47"/>
        <v>0</v>
      </c>
      <c r="BD44" s="309">
        <f t="shared" ca="1" si="12"/>
        <v>0</v>
      </c>
      <c r="BE44" s="310">
        <f t="shared" ca="1" si="48"/>
        <v>0</v>
      </c>
      <c r="BF44" s="308">
        <f t="shared" ca="1" si="49"/>
        <v>0</v>
      </c>
      <c r="BG44" s="309">
        <f t="shared" ca="1" si="13"/>
        <v>0</v>
      </c>
      <c r="BH44" s="310">
        <f t="shared" ca="1" si="50"/>
        <v>0</v>
      </c>
      <c r="BI44" s="309">
        <f t="shared" ca="1" si="51"/>
        <v>0</v>
      </c>
      <c r="BJ44" s="311">
        <f t="shared" ca="1" si="14"/>
        <v>0</v>
      </c>
      <c r="BK44" s="286"/>
      <c r="BL44" s="307">
        <f t="shared" ca="1" si="52"/>
        <v>0</v>
      </c>
      <c r="BM44" s="308">
        <f t="shared" ca="1" si="53"/>
        <v>0</v>
      </c>
      <c r="BN44" s="309">
        <f t="shared" ca="1" si="15"/>
        <v>0</v>
      </c>
      <c r="BO44" s="310">
        <f t="shared" ca="1" si="54"/>
        <v>0</v>
      </c>
      <c r="BP44" s="308">
        <f t="shared" ca="1" si="55"/>
        <v>0</v>
      </c>
      <c r="BQ44" s="309">
        <f t="shared" ca="1" si="16"/>
        <v>0</v>
      </c>
      <c r="BR44" s="310">
        <f t="shared" ca="1" si="56"/>
        <v>0</v>
      </c>
      <c r="BS44" s="308">
        <f t="shared" ca="1" si="57"/>
        <v>0</v>
      </c>
      <c r="BT44" s="309">
        <f t="shared" ca="1" si="17"/>
        <v>0</v>
      </c>
      <c r="BU44" s="310">
        <f t="shared" ca="1" si="18"/>
        <v>0</v>
      </c>
      <c r="BV44" s="309">
        <f t="shared" ca="1" si="19"/>
        <v>0</v>
      </c>
      <c r="BW44" s="311">
        <f t="shared" ca="1" si="20"/>
        <v>0</v>
      </c>
      <c r="BX44" s="286"/>
      <c r="BY44" s="300">
        <f t="shared" ca="1" si="59"/>
        <v>0</v>
      </c>
      <c r="BZ44" s="301">
        <f t="shared" ca="1" si="60"/>
        <v>0</v>
      </c>
      <c r="CA44" s="301">
        <f t="shared" ca="1" si="61"/>
        <v>0</v>
      </c>
      <c r="CB44" s="312">
        <f t="shared" ca="1" si="58"/>
        <v>0</v>
      </c>
      <c r="CC44" s="372"/>
      <c r="CE44" s="27"/>
      <c r="CF44" s="27"/>
      <c r="CG44" s="27"/>
      <c r="CH44" s="27"/>
      <c r="CI44" s="27"/>
      <c r="CJ44" s="27"/>
      <c r="CK44" s="41">
        <f>'NF-Sets'!C49</f>
        <v>22</v>
      </c>
      <c r="CL44" s="42" t="str">
        <f ca="1">'NF-Sets'!B49</f>
        <v>Wohnen (in ha)</v>
      </c>
      <c r="CM44" s="35"/>
    </row>
    <row r="45" spans="2:91" ht="18.899999999999999" customHeight="1">
      <c r="I45" s="246" t="str">
        <f ca="1">IF(I44="n","o",IF(I44="o","p",IF(I44="p","q","r")))</f>
        <v>o</v>
      </c>
      <c r="J45" s="252" t="s">
        <v>156</v>
      </c>
      <c r="K45" s="253" t="s">
        <v>147</v>
      </c>
      <c r="L45" s="254">
        <f ca="1">BA47</f>
        <v>0</v>
      </c>
      <c r="M45" s="254">
        <f ca="1">BN47</f>
        <v>0</v>
      </c>
      <c r="N45" s="25"/>
      <c r="O45" s="358" t="s">
        <v>46</v>
      </c>
      <c r="P45" s="247"/>
      <c r="Q45" s="362">
        <f t="shared" ca="1" si="21"/>
        <v>0</v>
      </c>
      <c r="R45" s="248">
        <f t="shared" ca="1" si="22"/>
        <v>0</v>
      </c>
      <c r="S45" s="363">
        <f t="shared" ca="1" si="23"/>
        <v>0</v>
      </c>
      <c r="T45" s="247"/>
      <c r="U45" s="362">
        <f t="shared" ca="1" si="24"/>
        <v>0</v>
      </c>
      <c r="V45" s="248">
        <f t="shared" ca="1" si="25"/>
        <v>0</v>
      </c>
      <c r="W45" s="363">
        <f t="shared" ca="1" si="26"/>
        <v>0</v>
      </c>
      <c r="X45" s="247"/>
      <c r="Y45" s="362">
        <f t="shared" ca="1" si="27"/>
        <v>0</v>
      </c>
      <c r="Z45" s="248">
        <f t="shared" ca="1" si="28"/>
        <v>0</v>
      </c>
      <c r="AA45" s="363">
        <f t="shared" ca="1" si="29"/>
        <v>0</v>
      </c>
      <c r="AB45" s="58" t="str">
        <f t="shared" ca="1" si="62"/>
        <v/>
      </c>
      <c r="AC45" s="495" t="s">
        <v>46</v>
      </c>
      <c r="AD45" s="275"/>
      <c r="AE45" s="303">
        <f t="shared" ca="1" si="31"/>
        <v>0</v>
      </c>
      <c r="AF45" s="304">
        <f t="shared" ca="1" si="32"/>
        <v>0</v>
      </c>
      <c r="AG45" s="305">
        <f t="shared" ca="1" si="33"/>
        <v>0</v>
      </c>
      <c r="AH45" s="304">
        <f t="shared" ca="1" si="34"/>
        <v>0</v>
      </c>
      <c r="AI45" s="305">
        <f t="shared" ca="1" si="35"/>
        <v>0</v>
      </c>
      <c r="AJ45" s="306">
        <f t="shared" ca="1" si="36"/>
        <v>0</v>
      </c>
      <c r="AK45" s="280"/>
      <c r="AL45" s="307">
        <f t="shared" ca="1" si="37"/>
        <v>0</v>
      </c>
      <c r="AM45" s="308">
        <f t="shared" ca="1" si="38"/>
        <v>0</v>
      </c>
      <c r="AN45" s="309">
        <f t="shared" ca="1" si="6"/>
        <v>0</v>
      </c>
      <c r="AO45" s="310">
        <f t="shared" ca="1" si="39"/>
        <v>0</v>
      </c>
      <c r="AP45" s="308">
        <f t="shared" ca="1" si="40"/>
        <v>0</v>
      </c>
      <c r="AQ45" s="309">
        <f t="shared" ca="1" si="7"/>
        <v>0</v>
      </c>
      <c r="AR45" s="310">
        <f t="shared" ca="1" si="41"/>
        <v>0</v>
      </c>
      <c r="AS45" s="308">
        <f t="shared" ca="1" si="42"/>
        <v>0</v>
      </c>
      <c r="AT45" s="309">
        <f t="shared" ca="1" si="8"/>
        <v>0</v>
      </c>
      <c r="AU45" s="310">
        <f t="shared" ca="1" si="9"/>
        <v>0</v>
      </c>
      <c r="AV45" s="309">
        <f t="shared" ca="1" si="10"/>
        <v>0</v>
      </c>
      <c r="AW45" s="311">
        <f t="shared" ca="1" si="11"/>
        <v>0</v>
      </c>
      <c r="AX45" s="286"/>
      <c r="AY45" s="307">
        <f t="shared" ca="1" si="43"/>
        <v>0</v>
      </c>
      <c r="AZ45" s="308">
        <f t="shared" ca="1" si="44"/>
        <v>0</v>
      </c>
      <c r="BA45" s="309">
        <f t="shared" ca="1" si="45"/>
        <v>0</v>
      </c>
      <c r="BB45" s="310">
        <f t="shared" ca="1" si="46"/>
        <v>0</v>
      </c>
      <c r="BC45" s="308">
        <f t="shared" ca="1" si="47"/>
        <v>0</v>
      </c>
      <c r="BD45" s="309">
        <f t="shared" ca="1" si="12"/>
        <v>0</v>
      </c>
      <c r="BE45" s="310">
        <f t="shared" ca="1" si="48"/>
        <v>0</v>
      </c>
      <c r="BF45" s="308">
        <f t="shared" ca="1" si="49"/>
        <v>0</v>
      </c>
      <c r="BG45" s="309">
        <f t="shared" ca="1" si="13"/>
        <v>0</v>
      </c>
      <c r="BH45" s="310">
        <f t="shared" ca="1" si="50"/>
        <v>0</v>
      </c>
      <c r="BI45" s="309">
        <f t="shared" ca="1" si="51"/>
        <v>0</v>
      </c>
      <c r="BJ45" s="311">
        <f t="shared" ca="1" si="14"/>
        <v>0</v>
      </c>
      <c r="BK45" s="286"/>
      <c r="BL45" s="307">
        <f t="shared" ca="1" si="52"/>
        <v>0</v>
      </c>
      <c r="BM45" s="308">
        <f t="shared" ca="1" si="53"/>
        <v>0</v>
      </c>
      <c r="BN45" s="309">
        <f t="shared" ca="1" si="15"/>
        <v>0</v>
      </c>
      <c r="BO45" s="310">
        <f t="shared" ca="1" si="54"/>
        <v>0</v>
      </c>
      <c r="BP45" s="308">
        <f t="shared" ca="1" si="55"/>
        <v>0</v>
      </c>
      <c r="BQ45" s="309">
        <f t="shared" ca="1" si="16"/>
        <v>0</v>
      </c>
      <c r="BR45" s="310">
        <f t="shared" ca="1" si="56"/>
        <v>0</v>
      </c>
      <c r="BS45" s="308">
        <f t="shared" ca="1" si="57"/>
        <v>0</v>
      </c>
      <c r="BT45" s="309">
        <f t="shared" ca="1" si="17"/>
        <v>0</v>
      </c>
      <c r="BU45" s="310">
        <f t="shared" ca="1" si="18"/>
        <v>0</v>
      </c>
      <c r="BV45" s="309">
        <f t="shared" ca="1" si="19"/>
        <v>0</v>
      </c>
      <c r="BW45" s="311">
        <f t="shared" ca="1" si="20"/>
        <v>0</v>
      </c>
      <c r="BX45" s="286"/>
      <c r="BY45" s="300">
        <f t="shared" ca="1" si="59"/>
        <v>0</v>
      </c>
      <c r="BZ45" s="301">
        <f t="shared" ca="1" si="60"/>
        <v>0</v>
      </c>
      <c r="CA45" s="301">
        <f t="shared" ca="1" si="61"/>
        <v>0</v>
      </c>
      <c r="CB45" s="312">
        <f t="shared" ca="1" si="58"/>
        <v>0</v>
      </c>
      <c r="CE45" s="27"/>
      <c r="CF45" s="27"/>
      <c r="CG45" s="27"/>
      <c r="CH45" s="27"/>
      <c r="CI45" s="27"/>
      <c r="CJ45" s="27"/>
      <c r="CK45" s="34"/>
      <c r="CL45" s="34"/>
      <c r="CM45" s="35"/>
    </row>
    <row r="46" spans="2:91" ht="18.899999999999999" customHeight="1" thickBot="1">
      <c r="I46" s="258" t="str">
        <f ca="1">IF(I45="o","p",IF(I45="p","q",IF(I45="q","r","s")))</f>
        <v>p</v>
      </c>
      <c r="J46" s="259" t="s">
        <v>150</v>
      </c>
      <c r="K46" s="260" t="s">
        <v>147</v>
      </c>
      <c r="L46" s="261">
        <f ca="1">BG47</f>
        <v>0</v>
      </c>
      <c r="M46" s="261">
        <f ca="1">BT47</f>
        <v>0</v>
      </c>
      <c r="N46" s="25"/>
      <c r="O46" s="359" t="s">
        <v>24</v>
      </c>
      <c r="P46" s="247"/>
      <c r="Q46" s="364">
        <f t="shared" ca="1" si="21"/>
        <v>0</v>
      </c>
      <c r="R46" s="352">
        <f t="shared" ca="1" si="22"/>
        <v>0</v>
      </c>
      <c r="S46" s="365">
        <f t="shared" ca="1" si="23"/>
        <v>0</v>
      </c>
      <c r="T46" s="247"/>
      <c r="U46" s="364">
        <f t="shared" ca="1" si="24"/>
        <v>0</v>
      </c>
      <c r="V46" s="352">
        <f t="shared" ca="1" si="25"/>
        <v>0</v>
      </c>
      <c r="W46" s="365">
        <f t="shared" ca="1" si="26"/>
        <v>0</v>
      </c>
      <c r="X46" s="247"/>
      <c r="Y46" s="364">
        <f t="shared" ca="1" si="27"/>
        <v>0</v>
      </c>
      <c r="Z46" s="352">
        <f t="shared" ca="1" si="28"/>
        <v>0</v>
      </c>
      <c r="AA46" s="365">
        <f t="shared" ca="1" si="29"/>
        <v>0</v>
      </c>
      <c r="AB46" s="58" t="str">
        <f t="shared" ca="1" si="62"/>
        <v/>
      </c>
      <c r="AC46" s="496" t="s">
        <v>24</v>
      </c>
      <c r="AD46" s="275"/>
      <c r="AE46" s="315">
        <f t="shared" ca="1" si="31"/>
        <v>0</v>
      </c>
      <c r="AF46" s="316">
        <f t="shared" ca="1" si="32"/>
        <v>0</v>
      </c>
      <c r="AG46" s="317">
        <f t="shared" ca="1" si="33"/>
        <v>0</v>
      </c>
      <c r="AH46" s="316">
        <f t="shared" ca="1" si="34"/>
        <v>0</v>
      </c>
      <c r="AI46" s="317">
        <f t="shared" ca="1" si="35"/>
        <v>0</v>
      </c>
      <c r="AJ46" s="318">
        <f t="shared" ca="1" si="36"/>
        <v>0</v>
      </c>
      <c r="AK46" s="280"/>
      <c r="AL46" s="319">
        <f t="shared" ca="1" si="37"/>
        <v>0</v>
      </c>
      <c r="AM46" s="320">
        <f t="shared" ca="1" si="38"/>
        <v>0</v>
      </c>
      <c r="AN46" s="321">
        <f t="shared" ca="1" si="6"/>
        <v>0</v>
      </c>
      <c r="AO46" s="322">
        <f t="shared" ca="1" si="39"/>
        <v>0</v>
      </c>
      <c r="AP46" s="320">
        <f t="shared" ca="1" si="40"/>
        <v>0</v>
      </c>
      <c r="AQ46" s="321">
        <f t="shared" ca="1" si="7"/>
        <v>0</v>
      </c>
      <c r="AR46" s="322">
        <f t="shared" ca="1" si="41"/>
        <v>0</v>
      </c>
      <c r="AS46" s="320">
        <f t="shared" ca="1" si="42"/>
        <v>0</v>
      </c>
      <c r="AT46" s="321">
        <f t="shared" ca="1" si="8"/>
        <v>0</v>
      </c>
      <c r="AU46" s="322">
        <f t="shared" ca="1" si="9"/>
        <v>0</v>
      </c>
      <c r="AV46" s="321">
        <f t="shared" ca="1" si="10"/>
        <v>0</v>
      </c>
      <c r="AW46" s="323">
        <f t="shared" ca="1" si="11"/>
        <v>0</v>
      </c>
      <c r="AX46" s="286"/>
      <c r="AY46" s="319">
        <f t="shared" ca="1" si="43"/>
        <v>0</v>
      </c>
      <c r="AZ46" s="320">
        <f t="shared" ca="1" si="44"/>
        <v>0</v>
      </c>
      <c r="BA46" s="321">
        <f t="shared" ca="1" si="45"/>
        <v>0</v>
      </c>
      <c r="BB46" s="322">
        <f t="shared" ca="1" si="46"/>
        <v>0</v>
      </c>
      <c r="BC46" s="320">
        <f t="shared" ca="1" si="47"/>
        <v>0</v>
      </c>
      <c r="BD46" s="321">
        <f t="shared" ca="1" si="12"/>
        <v>0</v>
      </c>
      <c r="BE46" s="322">
        <f t="shared" ca="1" si="48"/>
        <v>0</v>
      </c>
      <c r="BF46" s="320">
        <f t="shared" ca="1" si="49"/>
        <v>0</v>
      </c>
      <c r="BG46" s="321">
        <f t="shared" ca="1" si="13"/>
        <v>0</v>
      </c>
      <c r="BH46" s="322">
        <f t="shared" ca="1" si="50"/>
        <v>0</v>
      </c>
      <c r="BI46" s="321">
        <f t="shared" ca="1" si="51"/>
        <v>0</v>
      </c>
      <c r="BJ46" s="323">
        <f t="shared" ca="1" si="14"/>
        <v>0</v>
      </c>
      <c r="BK46" s="286"/>
      <c r="BL46" s="319">
        <f t="shared" ca="1" si="52"/>
        <v>0</v>
      </c>
      <c r="BM46" s="320">
        <f t="shared" ca="1" si="53"/>
        <v>0</v>
      </c>
      <c r="BN46" s="321">
        <f t="shared" ca="1" si="15"/>
        <v>0</v>
      </c>
      <c r="BO46" s="322">
        <f t="shared" ca="1" si="54"/>
        <v>0</v>
      </c>
      <c r="BP46" s="320">
        <f t="shared" ca="1" si="55"/>
        <v>0</v>
      </c>
      <c r="BQ46" s="321">
        <f t="shared" ca="1" si="16"/>
        <v>0</v>
      </c>
      <c r="BR46" s="322">
        <f t="shared" ca="1" si="56"/>
        <v>0</v>
      </c>
      <c r="BS46" s="320">
        <f t="shared" ca="1" si="57"/>
        <v>0</v>
      </c>
      <c r="BT46" s="321">
        <f t="shared" ca="1" si="17"/>
        <v>0</v>
      </c>
      <c r="BU46" s="322">
        <f t="shared" ca="1" si="18"/>
        <v>0</v>
      </c>
      <c r="BV46" s="321">
        <f t="shared" ca="1" si="19"/>
        <v>0</v>
      </c>
      <c r="BW46" s="323">
        <f t="shared" ca="1" si="20"/>
        <v>0</v>
      </c>
      <c r="BX46" s="286"/>
      <c r="BY46" s="300">
        <f ca="1">IF((-AY46+AZ46+BY45)&gt;=0,-AY46+AZ46+BY45,0)</f>
        <v>0</v>
      </c>
      <c r="BZ46" s="301">
        <f t="shared" ca="1" si="60"/>
        <v>0</v>
      </c>
      <c r="CA46" s="301">
        <f t="shared" ca="1" si="61"/>
        <v>0</v>
      </c>
      <c r="CB46" s="324">
        <f t="shared" ca="1" si="58"/>
        <v>0</v>
      </c>
      <c r="CE46" s="27"/>
      <c r="CF46" s="27"/>
      <c r="CG46" s="27"/>
      <c r="CH46" s="27"/>
      <c r="CI46" s="27"/>
      <c r="CJ46" s="27"/>
      <c r="CK46" s="34"/>
      <c r="CL46" s="34"/>
      <c r="CM46" s="35"/>
    </row>
    <row r="47" spans="2:91" ht="18.899999999999999" customHeight="1" thickBot="1">
      <c r="I47" s="255"/>
      <c r="J47" s="256" t="s">
        <v>22</v>
      </c>
      <c r="K47" s="257" t="s">
        <v>147</v>
      </c>
      <c r="L47" s="249">
        <f ca="1">SUM(L44:L46)</f>
        <v>0</v>
      </c>
      <c r="M47" s="249">
        <f ca="1">SUM(M44:M46)</f>
        <v>0</v>
      </c>
      <c r="N47" s="26"/>
      <c r="O47" s="353" t="s">
        <v>47</v>
      </c>
      <c r="P47" s="247"/>
      <c r="Q47" s="354">
        <f ca="1">SUM(Q23:Q46)</f>
        <v>0</v>
      </c>
      <c r="R47" s="355">
        <f ca="1">SUM(R23:R46)</f>
        <v>0</v>
      </c>
      <c r="S47" s="356">
        <f ca="1">SUM(S23:S46)</f>
        <v>0</v>
      </c>
      <c r="T47" s="247"/>
      <c r="U47" s="354">
        <f ca="1">SUM(U23:U46)</f>
        <v>0</v>
      </c>
      <c r="V47" s="355">
        <f ca="1">SUM(V23:V46)</f>
        <v>0</v>
      </c>
      <c r="W47" s="356">
        <f ca="1">SUM(W23:W46)</f>
        <v>0</v>
      </c>
      <c r="X47" s="247"/>
      <c r="Y47" s="354">
        <f ca="1">SUM(Y23:Y46)</f>
        <v>0</v>
      </c>
      <c r="Z47" s="355">
        <f ca="1">SUM(Z23:Z46)</f>
        <v>0</v>
      </c>
      <c r="AA47" s="356">
        <f ca="1">SUM(AA23:AA46)</f>
        <v>0</v>
      </c>
      <c r="AC47" s="325" t="s">
        <v>47</v>
      </c>
      <c r="AD47" s="90"/>
      <c r="AE47" s="326">
        <f t="shared" ref="AE47:AJ47" ca="1" si="63">SUM(AE23:AE46)</f>
        <v>0</v>
      </c>
      <c r="AF47" s="327">
        <f t="shared" ca="1" si="63"/>
        <v>0</v>
      </c>
      <c r="AG47" s="328">
        <f t="shared" ca="1" si="63"/>
        <v>0</v>
      </c>
      <c r="AH47" s="327">
        <f t="shared" ca="1" si="63"/>
        <v>0</v>
      </c>
      <c r="AI47" s="328">
        <f t="shared" ca="1" si="63"/>
        <v>0</v>
      </c>
      <c r="AJ47" s="329">
        <f t="shared" ca="1" si="63"/>
        <v>0</v>
      </c>
      <c r="AK47" s="330"/>
      <c r="AL47" s="326">
        <f t="shared" ref="AL47:AW47" ca="1" si="64">SUM(AL23:AL46)</f>
        <v>0</v>
      </c>
      <c r="AM47" s="331">
        <f t="shared" ca="1" si="64"/>
        <v>0</v>
      </c>
      <c r="AN47" s="327">
        <f t="shared" ca="1" si="64"/>
        <v>0</v>
      </c>
      <c r="AO47" s="328">
        <f t="shared" ca="1" si="64"/>
        <v>0</v>
      </c>
      <c r="AP47" s="331">
        <f t="shared" ca="1" si="64"/>
        <v>0</v>
      </c>
      <c r="AQ47" s="327">
        <f t="shared" ca="1" si="64"/>
        <v>0</v>
      </c>
      <c r="AR47" s="328">
        <f t="shared" ca="1" si="64"/>
        <v>0</v>
      </c>
      <c r="AS47" s="331">
        <f t="shared" ca="1" si="64"/>
        <v>0</v>
      </c>
      <c r="AT47" s="327">
        <f t="shared" ca="1" si="64"/>
        <v>0</v>
      </c>
      <c r="AU47" s="328">
        <f t="shared" ca="1" si="64"/>
        <v>0</v>
      </c>
      <c r="AV47" s="327">
        <f t="shared" ca="1" si="64"/>
        <v>0</v>
      </c>
      <c r="AW47" s="329">
        <f t="shared" ca="1" si="64"/>
        <v>0</v>
      </c>
      <c r="AX47" s="332"/>
      <c r="AY47" s="326">
        <f t="shared" ref="AY47:BJ47" ca="1" si="65">SUM(AY23:AY46)</f>
        <v>0</v>
      </c>
      <c r="AZ47" s="331">
        <f t="shared" ca="1" si="65"/>
        <v>0</v>
      </c>
      <c r="BA47" s="327">
        <f t="shared" ca="1" si="65"/>
        <v>0</v>
      </c>
      <c r="BB47" s="328">
        <f t="shared" ca="1" si="65"/>
        <v>0</v>
      </c>
      <c r="BC47" s="331">
        <f t="shared" ca="1" si="65"/>
        <v>0</v>
      </c>
      <c r="BD47" s="327">
        <f t="shared" ca="1" si="65"/>
        <v>0</v>
      </c>
      <c r="BE47" s="328">
        <f t="shared" ca="1" si="65"/>
        <v>0</v>
      </c>
      <c r="BF47" s="331">
        <f t="shared" ca="1" si="65"/>
        <v>0</v>
      </c>
      <c r="BG47" s="327">
        <f t="shared" ca="1" si="65"/>
        <v>0</v>
      </c>
      <c r="BH47" s="328">
        <f t="shared" ca="1" si="65"/>
        <v>0</v>
      </c>
      <c r="BI47" s="327">
        <f t="shared" ca="1" si="65"/>
        <v>0</v>
      </c>
      <c r="BJ47" s="329">
        <f t="shared" ca="1" si="65"/>
        <v>0</v>
      </c>
      <c r="BK47" s="332"/>
      <c r="BL47" s="326">
        <f t="shared" ref="BL47:BW47" ca="1" si="66">SUM(BL23:BL46)</f>
        <v>0</v>
      </c>
      <c r="BM47" s="331">
        <f t="shared" ca="1" si="66"/>
        <v>0</v>
      </c>
      <c r="BN47" s="327">
        <f t="shared" ca="1" si="66"/>
        <v>0</v>
      </c>
      <c r="BO47" s="328">
        <f t="shared" ca="1" si="66"/>
        <v>0</v>
      </c>
      <c r="BP47" s="331">
        <f t="shared" ca="1" si="66"/>
        <v>0</v>
      </c>
      <c r="BQ47" s="327">
        <f t="shared" ca="1" si="66"/>
        <v>0</v>
      </c>
      <c r="BR47" s="328">
        <f t="shared" ca="1" si="66"/>
        <v>0</v>
      </c>
      <c r="BS47" s="331">
        <f t="shared" ca="1" si="66"/>
        <v>0</v>
      </c>
      <c r="BT47" s="327">
        <f t="shared" ca="1" si="66"/>
        <v>0</v>
      </c>
      <c r="BU47" s="328">
        <f t="shared" ca="1" si="66"/>
        <v>0</v>
      </c>
      <c r="BV47" s="327">
        <f t="shared" ca="1" si="66"/>
        <v>0</v>
      </c>
      <c r="BW47" s="329">
        <f t="shared" ca="1" si="66"/>
        <v>0</v>
      </c>
      <c r="BX47" s="332"/>
      <c r="BY47" s="333">
        <f ca="1">MAX(BY23:BY46)</f>
        <v>0</v>
      </c>
      <c r="BZ47" s="334">
        <f ca="1">MAX(BZ23:BZ46)</f>
        <v>0</v>
      </c>
      <c r="CA47" s="334">
        <f ca="1">MAX(CA23:CA46)</f>
        <v>0</v>
      </c>
      <c r="CB47" s="335">
        <f ca="1">MAX(CB23:CB46)</f>
        <v>0</v>
      </c>
      <c r="CC47" s="71" t="s">
        <v>48</v>
      </c>
      <c r="CE47" s="27"/>
      <c r="CF47" s="27"/>
      <c r="CG47" s="27"/>
      <c r="CH47" s="27"/>
      <c r="CI47" s="27"/>
      <c r="CJ47" s="27"/>
      <c r="CK47" s="34"/>
      <c r="CL47" s="34"/>
      <c r="CM47" s="35"/>
    </row>
    <row r="48" spans="2:91" ht="18.899999999999999" customHeight="1">
      <c r="I48" s="5"/>
      <c r="J48" s="59"/>
      <c r="K48" s="60"/>
      <c r="L48" s="26"/>
      <c r="M48" s="26"/>
      <c r="N48" s="26"/>
      <c r="O48" s="238"/>
      <c r="P48" s="54"/>
      <c r="Q48" s="239"/>
      <c r="R48" s="26"/>
      <c r="S48" s="26"/>
      <c r="T48" s="54"/>
      <c r="U48" s="26"/>
      <c r="V48" s="26"/>
      <c r="W48" s="26"/>
      <c r="X48" s="54"/>
      <c r="Y48" s="26"/>
      <c r="Z48" s="26"/>
      <c r="AA48" s="26"/>
      <c r="AC48" s="71"/>
      <c r="AD48" s="33"/>
      <c r="AE48" s="32"/>
      <c r="AF48" s="32"/>
      <c r="AG48" s="372"/>
      <c r="AH48" s="372"/>
      <c r="AI48" s="372"/>
      <c r="AJ48" s="372"/>
      <c r="AK48" s="373"/>
      <c r="AL48" s="372"/>
      <c r="AN48" s="372"/>
      <c r="AO48" s="372"/>
      <c r="AQ48" s="372"/>
      <c r="AR48" s="372"/>
      <c r="AT48" s="372"/>
      <c r="AU48" s="372"/>
      <c r="AV48" s="372"/>
      <c r="AW48" s="372"/>
      <c r="AX48" s="373"/>
      <c r="AY48" s="372"/>
      <c r="BA48" s="372"/>
      <c r="BB48" s="372"/>
      <c r="BD48" s="372"/>
      <c r="BE48" s="372"/>
      <c r="BG48" s="372"/>
      <c r="BH48" s="372"/>
      <c r="BI48" s="372"/>
      <c r="BJ48" s="372"/>
      <c r="BK48" s="373"/>
      <c r="BL48" s="372"/>
      <c r="BN48" s="372"/>
      <c r="BO48" s="372"/>
      <c r="BQ48" s="372"/>
      <c r="BR48" s="372"/>
      <c r="BT48" s="372"/>
      <c r="BU48" s="372"/>
      <c r="BV48" s="372"/>
      <c r="BW48" s="372"/>
      <c r="BX48" s="373"/>
      <c r="BY48" s="372"/>
      <c r="BZ48" s="372"/>
      <c r="CA48" s="372"/>
      <c r="CB48" s="372"/>
      <c r="CE48" s="27"/>
      <c r="CF48" s="27"/>
      <c r="CG48" s="27"/>
      <c r="CH48" s="27"/>
      <c r="CI48" s="27"/>
      <c r="CJ48" s="27"/>
      <c r="CK48" s="34"/>
      <c r="CL48" s="34"/>
      <c r="CM48" s="35"/>
    </row>
    <row r="49" spans="9:91" ht="18.899999999999999" customHeight="1">
      <c r="I49" s="5"/>
      <c r="J49" s="59"/>
      <c r="K49" s="60"/>
      <c r="L49" s="26"/>
      <c r="M49" s="26"/>
      <c r="N49" s="26"/>
      <c r="O49" s="61"/>
      <c r="P49" s="54"/>
      <c r="Q49" s="26"/>
      <c r="R49" s="26"/>
      <c r="S49" s="26"/>
      <c r="T49" s="54"/>
      <c r="U49" s="26"/>
      <c r="V49" s="26"/>
      <c r="W49" s="26"/>
      <c r="X49" s="54"/>
      <c r="Y49" s="758" t="s">
        <v>157</v>
      </c>
      <c r="Z49" s="758"/>
      <c r="AA49" s="758"/>
      <c r="AC49" s="71"/>
      <c r="AD49" s="50"/>
      <c r="AE49" s="374"/>
      <c r="AF49" s="374"/>
      <c r="AG49" s="374"/>
      <c r="AH49" s="374"/>
      <c r="AI49" s="374"/>
      <c r="AJ49" s="374"/>
      <c r="AK49" s="374"/>
      <c r="AL49" s="374"/>
      <c r="AM49" s="374"/>
      <c r="AN49" s="374"/>
      <c r="AO49" s="374"/>
      <c r="AP49" s="374"/>
      <c r="AQ49" s="374"/>
      <c r="AR49" s="374"/>
      <c r="AT49" s="375"/>
      <c r="AU49" s="372"/>
      <c r="AV49" s="372"/>
      <c r="AW49" s="372"/>
      <c r="AX49" s="374"/>
      <c r="AY49" s="374"/>
      <c r="AZ49" s="374"/>
      <c r="BA49" s="374"/>
      <c r="BB49" s="374"/>
      <c r="BC49" s="374"/>
      <c r="BD49" s="374"/>
      <c r="BE49" s="374"/>
      <c r="BG49" s="375"/>
      <c r="BH49" s="372"/>
      <c r="BI49" s="372"/>
      <c r="BJ49" s="372"/>
      <c r="BK49" s="374"/>
      <c r="BL49" s="374"/>
      <c r="BM49" s="374"/>
      <c r="BN49" s="374"/>
      <c r="BO49" s="374"/>
      <c r="BP49" s="374"/>
      <c r="BQ49" s="374"/>
      <c r="BR49" s="374"/>
      <c r="BT49" s="375"/>
      <c r="BU49" s="372"/>
      <c r="BV49" s="372"/>
      <c r="BW49" s="372"/>
      <c r="BX49" s="374"/>
      <c r="BY49" s="372"/>
      <c r="BZ49" s="372"/>
      <c r="CA49" s="372"/>
      <c r="CB49" s="372"/>
      <c r="CE49" s="27"/>
      <c r="CF49" s="27"/>
      <c r="CG49" s="27"/>
      <c r="CH49" s="27"/>
      <c r="CI49" s="27"/>
      <c r="CJ49" s="27"/>
      <c r="CK49" s="34"/>
      <c r="CL49" s="34"/>
      <c r="CM49" s="35"/>
    </row>
    <row r="50" spans="9:91" ht="15.9" customHeight="1">
      <c r="I50" s="73"/>
      <c r="J50" s="73"/>
      <c r="K50" s="73"/>
      <c r="L50" s="73"/>
      <c r="M50" s="73"/>
      <c r="N50" s="73"/>
      <c r="O50" s="73"/>
      <c r="P50" s="73"/>
      <c r="Q50" s="73"/>
      <c r="R50" s="73"/>
      <c r="S50" s="73"/>
      <c r="T50" s="73"/>
      <c r="U50" s="73"/>
      <c r="V50" s="73"/>
      <c r="W50" s="73"/>
      <c r="X50" s="73"/>
      <c r="Y50" s="73"/>
      <c r="Z50" s="677" t="s">
        <v>5</v>
      </c>
      <c r="AA50" s="677"/>
      <c r="CE50" s="27"/>
      <c r="CF50" s="27"/>
      <c r="CG50" s="27"/>
      <c r="CH50" s="27"/>
      <c r="CI50" s="27"/>
      <c r="CJ50" s="27"/>
      <c r="CK50" s="34"/>
      <c r="CL50" s="34"/>
      <c r="CM50" s="35"/>
    </row>
    <row r="51" spans="9:91" ht="30" customHeight="1">
      <c r="I51" s="676" t="str">
        <f>I15</f>
        <v>10 - keine Nutzung</v>
      </c>
      <c r="J51" s="676"/>
      <c r="K51" s="676"/>
      <c r="L51" s="676"/>
      <c r="M51" s="676"/>
      <c r="N51" s="676"/>
      <c r="O51" s="676"/>
      <c r="P51" s="676"/>
      <c r="Q51" s="676"/>
      <c r="R51" s="676"/>
      <c r="S51" s="676"/>
      <c r="T51" s="676"/>
      <c r="U51" s="676"/>
      <c r="V51" s="676"/>
      <c r="W51" s="676"/>
      <c r="X51" s="676"/>
      <c r="Y51" s="676"/>
      <c r="Z51" s="676"/>
      <c r="AA51" s="676"/>
      <c r="CE51" s="27"/>
      <c r="CF51" s="27"/>
      <c r="CG51" s="27"/>
      <c r="CH51" s="27"/>
      <c r="CI51" s="27"/>
      <c r="CJ51" s="27"/>
      <c r="CK51" s="34"/>
      <c r="CL51" s="34"/>
      <c r="CM51" s="35"/>
    </row>
    <row r="52" spans="9:91" ht="15.9" customHeight="1">
      <c r="I52" s="670" t="s">
        <v>158</v>
      </c>
      <c r="J52" s="1"/>
      <c r="K52" s="1"/>
      <c r="L52" s="1"/>
      <c r="M52" s="1"/>
      <c r="N52" s="1"/>
      <c r="O52" s="1"/>
      <c r="P52" s="1"/>
      <c r="Q52" s="1"/>
      <c r="R52" s="1"/>
      <c r="S52" s="1"/>
      <c r="T52" s="1"/>
      <c r="U52" s="1"/>
      <c r="V52" s="1"/>
      <c r="W52" s="1"/>
      <c r="X52" s="1"/>
      <c r="Y52" s="1"/>
      <c r="Z52" s="1"/>
      <c r="AA52" s="1"/>
      <c r="CE52" s="27"/>
      <c r="CF52" s="27"/>
      <c r="CG52" s="27"/>
      <c r="CH52" s="27"/>
      <c r="CI52" s="27"/>
      <c r="CJ52" s="27"/>
      <c r="CK52" s="34"/>
      <c r="CL52" s="34"/>
      <c r="CM52" s="35"/>
    </row>
    <row r="53" spans="9:91" ht="15.9" customHeight="1">
      <c r="I53" s="670"/>
      <c r="J53" s="1"/>
      <c r="K53" s="1"/>
      <c r="L53" s="1"/>
      <c r="M53" s="1"/>
      <c r="N53" s="1"/>
      <c r="O53" s="1"/>
      <c r="P53" s="1"/>
      <c r="Q53" s="1"/>
      <c r="R53" s="1"/>
      <c r="S53" s="1"/>
      <c r="T53" s="1"/>
      <c r="U53" s="1"/>
      <c r="V53" s="1"/>
      <c r="W53" s="1"/>
      <c r="X53" s="1"/>
      <c r="Y53" s="1"/>
      <c r="Z53" s="1"/>
      <c r="AA53" s="1"/>
      <c r="CE53" s="27"/>
      <c r="CF53" s="27"/>
      <c r="CG53" s="27"/>
      <c r="CH53" s="27"/>
      <c r="CI53" s="27"/>
      <c r="CJ53" s="27"/>
      <c r="CK53" s="34"/>
      <c r="CL53" s="34"/>
      <c r="CM53" s="35"/>
    </row>
    <row r="54" spans="9:91" ht="15.9" customHeight="1">
      <c r="I54" s="670"/>
      <c r="J54" s="1"/>
      <c r="K54" s="1"/>
      <c r="L54" s="1"/>
      <c r="M54" s="1"/>
      <c r="N54" s="1"/>
      <c r="O54" s="1"/>
      <c r="P54" s="1"/>
      <c r="Q54" s="1"/>
      <c r="R54" s="1"/>
      <c r="S54" s="1"/>
      <c r="T54" s="1"/>
      <c r="U54" s="1"/>
      <c r="V54" s="1"/>
      <c r="W54" s="1"/>
      <c r="X54" s="1"/>
      <c r="Y54" s="1"/>
      <c r="Z54" s="1"/>
      <c r="AA54" s="1"/>
      <c r="CK54" s="34"/>
      <c r="CL54" s="34"/>
    </row>
    <row r="55" spans="9:91" ht="15.9" customHeight="1">
      <c r="I55" s="670"/>
      <c r="J55" s="1"/>
      <c r="K55" s="1"/>
      <c r="L55" s="1"/>
      <c r="M55" s="1"/>
      <c r="N55" s="1"/>
      <c r="O55" s="1"/>
      <c r="P55" s="1"/>
      <c r="Q55" s="1"/>
      <c r="R55" s="1"/>
      <c r="S55" s="1"/>
      <c r="T55" s="1"/>
      <c r="U55" s="1"/>
      <c r="V55" s="1"/>
      <c r="W55" s="1"/>
      <c r="X55" s="1"/>
      <c r="Y55" s="1"/>
      <c r="Z55" s="1"/>
      <c r="AA55" s="1"/>
    </row>
    <row r="56" spans="9:91" ht="15.9" customHeight="1">
      <c r="I56" s="670"/>
      <c r="J56" s="1"/>
      <c r="K56" s="1"/>
      <c r="L56" s="1"/>
      <c r="M56" s="1"/>
      <c r="N56" s="1"/>
      <c r="O56" s="1"/>
      <c r="P56" s="1"/>
      <c r="Q56" s="1"/>
      <c r="R56" s="1"/>
      <c r="S56" s="1"/>
      <c r="T56" s="1"/>
      <c r="U56" s="1"/>
      <c r="V56" s="1"/>
      <c r="W56" s="1"/>
      <c r="X56" s="1"/>
      <c r="Y56" s="1"/>
      <c r="Z56" s="1"/>
      <c r="AA56" s="1"/>
    </row>
    <row r="57" spans="9:91" ht="15.9" customHeight="1">
      <c r="I57" s="670"/>
      <c r="J57" s="1"/>
      <c r="K57" s="1"/>
      <c r="L57" s="1"/>
      <c r="M57" s="1"/>
      <c r="N57" s="1"/>
      <c r="O57" s="1"/>
      <c r="P57" s="1"/>
      <c r="Q57" s="1"/>
      <c r="R57" s="1"/>
      <c r="S57" s="1"/>
      <c r="T57" s="1"/>
      <c r="U57" s="1"/>
      <c r="V57" s="1"/>
      <c r="W57" s="1"/>
      <c r="X57" s="1"/>
      <c r="Y57" s="1"/>
      <c r="Z57" s="1"/>
      <c r="AA57" s="1"/>
    </row>
    <row r="58" spans="9:91" ht="15.9" customHeight="1">
      <c r="I58" s="670"/>
      <c r="J58" s="1"/>
      <c r="K58" s="1"/>
      <c r="L58" s="1"/>
      <c r="M58" s="1"/>
      <c r="N58" s="1"/>
      <c r="O58" s="1"/>
      <c r="P58" s="1"/>
      <c r="Q58" s="1"/>
      <c r="R58" s="1"/>
      <c r="S58" s="1"/>
      <c r="T58" s="1"/>
      <c r="U58" s="1"/>
      <c r="V58" s="1"/>
      <c r="W58" s="1"/>
      <c r="X58" s="1"/>
      <c r="Y58" s="1"/>
      <c r="Z58" s="1"/>
      <c r="AA58" s="1"/>
    </row>
    <row r="59" spans="9:91" ht="15.9" customHeight="1">
      <c r="I59" s="670"/>
      <c r="J59" s="1"/>
      <c r="K59" s="1"/>
      <c r="L59" s="1"/>
      <c r="M59" s="1"/>
      <c r="N59" s="1"/>
      <c r="O59" s="1"/>
      <c r="P59" s="1"/>
      <c r="Q59" s="1"/>
      <c r="R59" s="1"/>
      <c r="S59" s="1"/>
      <c r="T59" s="1"/>
      <c r="U59" s="1"/>
      <c r="V59" s="1"/>
      <c r="W59" s="1"/>
      <c r="X59" s="1"/>
      <c r="Y59" s="1"/>
      <c r="Z59" s="1"/>
      <c r="AA59" s="1"/>
    </row>
    <row r="60" spans="9:91" ht="15.9" customHeight="1">
      <c r="I60" s="670"/>
      <c r="J60" s="1"/>
      <c r="K60" s="1"/>
      <c r="L60" s="1"/>
      <c r="M60" s="1"/>
      <c r="N60" s="1"/>
      <c r="O60" s="1"/>
      <c r="P60" s="1"/>
      <c r="Q60" s="1"/>
      <c r="R60" s="1"/>
      <c r="S60" s="1"/>
      <c r="T60" s="1"/>
      <c r="U60" s="1"/>
      <c r="V60" s="1"/>
      <c r="W60" s="1"/>
      <c r="X60" s="1"/>
      <c r="Y60" s="1"/>
      <c r="Z60" s="1"/>
      <c r="AA60" s="1"/>
    </row>
    <row r="61" spans="9:91" ht="15.9" customHeight="1">
      <c r="I61" s="670"/>
      <c r="J61" s="1"/>
      <c r="K61" s="1"/>
      <c r="L61" s="1"/>
      <c r="M61" s="1"/>
      <c r="N61" s="1"/>
      <c r="O61" s="1"/>
      <c r="P61" s="1"/>
      <c r="Q61" s="1"/>
      <c r="R61" s="1"/>
      <c r="S61" s="1"/>
      <c r="T61" s="1"/>
      <c r="U61" s="1"/>
      <c r="V61" s="1"/>
      <c r="W61" s="1"/>
      <c r="X61" s="1"/>
      <c r="Y61" s="1"/>
      <c r="Z61" s="1"/>
      <c r="AA61" s="1"/>
    </row>
    <row r="62" spans="9:91" ht="15.9" customHeight="1">
      <c r="I62" s="670"/>
      <c r="J62" s="1"/>
      <c r="K62" s="1"/>
      <c r="L62" s="1"/>
      <c r="M62" s="1"/>
      <c r="N62" s="1"/>
      <c r="O62" s="1"/>
      <c r="P62" s="1"/>
      <c r="Q62" s="1"/>
      <c r="R62" s="1"/>
      <c r="S62" s="1"/>
      <c r="T62" s="1"/>
      <c r="U62" s="1"/>
      <c r="V62" s="1"/>
      <c r="W62" s="1"/>
      <c r="X62" s="1"/>
      <c r="Y62" s="1"/>
      <c r="Z62" s="1"/>
      <c r="AA62" s="1"/>
    </row>
    <row r="63" spans="9:91" ht="15.9" customHeight="1">
      <c r="I63" s="670"/>
      <c r="J63" s="1"/>
      <c r="K63" s="1"/>
      <c r="L63" s="1"/>
      <c r="M63" s="1"/>
      <c r="N63" s="1"/>
      <c r="O63" s="1"/>
      <c r="P63" s="1"/>
      <c r="Q63" s="1"/>
      <c r="R63" s="1"/>
      <c r="S63" s="1"/>
      <c r="T63" s="1"/>
      <c r="U63" s="1"/>
      <c r="V63" s="1"/>
      <c r="W63" s="1"/>
      <c r="X63" s="1"/>
      <c r="Y63" s="1"/>
      <c r="Z63" s="1"/>
      <c r="AA63" s="1"/>
    </row>
    <row r="64" spans="9:91" ht="15.9" customHeight="1">
      <c r="I64" s="670"/>
      <c r="J64" s="1"/>
      <c r="K64" s="1"/>
      <c r="L64" s="1"/>
      <c r="M64" s="1"/>
      <c r="N64" s="1"/>
      <c r="O64" s="1"/>
      <c r="P64" s="1"/>
      <c r="Q64" s="1"/>
      <c r="R64" s="1"/>
      <c r="S64" s="1"/>
      <c r="T64" s="1"/>
      <c r="U64" s="1"/>
      <c r="V64" s="1"/>
      <c r="W64" s="1"/>
      <c r="X64" s="1"/>
      <c r="Y64" s="1"/>
      <c r="Z64" s="1"/>
      <c r="AA64" s="1"/>
    </row>
    <row r="65" spans="9:27" ht="15.9" customHeight="1">
      <c r="I65" s="670"/>
      <c r="J65" s="1"/>
      <c r="K65" s="1"/>
      <c r="L65" s="1"/>
      <c r="M65" s="1"/>
      <c r="N65" s="1"/>
      <c r="O65" s="1"/>
      <c r="P65" s="1"/>
      <c r="Q65" s="1"/>
      <c r="R65" s="1"/>
      <c r="S65" s="1"/>
      <c r="T65" s="1"/>
      <c r="U65" s="1"/>
      <c r="V65" s="1"/>
      <c r="W65" s="1"/>
      <c r="X65" s="1"/>
      <c r="Y65" s="1"/>
      <c r="Z65" s="1"/>
      <c r="AA65" s="1"/>
    </row>
    <row r="66" spans="9:27" ht="15.9" customHeight="1">
      <c r="I66" s="670"/>
      <c r="J66" s="1"/>
      <c r="K66" s="1"/>
      <c r="L66" s="1"/>
      <c r="M66" s="1"/>
      <c r="N66" s="1"/>
      <c r="O66" s="1"/>
      <c r="P66" s="1"/>
      <c r="Q66" s="1"/>
      <c r="R66" s="1"/>
      <c r="S66" s="1"/>
      <c r="T66" s="1"/>
      <c r="U66" s="1"/>
      <c r="V66" s="1"/>
      <c r="W66" s="1"/>
      <c r="X66" s="1"/>
      <c r="Y66" s="1"/>
      <c r="Z66" s="1"/>
      <c r="AA66" s="1"/>
    </row>
    <row r="67" spans="9:27" ht="15.9" customHeight="1">
      <c r="I67" s="670"/>
      <c r="J67" s="1"/>
      <c r="K67" s="1"/>
      <c r="L67" s="1"/>
      <c r="M67" s="1"/>
      <c r="N67" s="1"/>
      <c r="O67" s="1"/>
      <c r="P67" s="1"/>
      <c r="Q67" s="1"/>
      <c r="R67" s="1"/>
      <c r="S67" s="1"/>
      <c r="T67" s="1"/>
      <c r="U67" s="1"/>
      <c r="V67" s="1"/>
      <c r="W67" s="1"/>
      <c r="X67" s="1"/>
      <c r="Y67" s="1"/>
      <c r="Z67" s="1"/>
      <c r="AA67" s="1"/>
    </row>
    <row r="68" spans="9:27" ht="15.9" customHeight="1">
      <c r="I68" s="670"/>
      <c r="J68" s="1"/>
      <c r="K68" s="1"/>
      <c r="L68" s="1"/>
      <c r="M68" s="1"/>
      <c r="N68" s="1"/>
      <c r="O68" s="1"/>
      <c r="P68" s="1"/>
      <c r="Q68" s="1"/>
      <c r="R68" s="1"/>
      <c r="S68" s="1"/>
      <c r="T68" s="1"/>
      <c r="U68" s="1"/>
      <c r="V68" s="1"/>
      <c r="W68" s="1"/>
      <c r="X68" s="1"/>
      <c r="Y68" s="1"/>
      <c r="Z68" s="1"/>
      <c r="AA68" s="1"/>
    </row>
    <row r="69" spans="9:27" ht="15.9" customHeight="1">
      <c r="I69" s="670"/>
      <c r="J69" s="1"/>
      <c r="K69" s="1"/>
      <c r="L69" s="1"/>
      <c r="M69" s="1"/>
      <c r="N69" s="1"/>
      <c r="O69" s="1"/>
      <c r="P69" s="1"/>
      <c r="Q69" s="1"/>
      <c r="R69" s="1"/>
      <c r="S69" s="1"/>
      <c r="T69" s="1"/>
      <c r="U69" s="1"/>
      <c r="V69" s="1"/>
      <c r="W69" s="1"/>
      <c r="X69" s="1"/>
      <c r="Y69" s="1"/>
      <c r="Z69" s="1"/>
      <c r="AA69" s="1"/>
    </row>
    <row r="70" spans="9:27" ht="15.9" customHeight="1">
      <c r="I70" s="670"/>
      <c r="J70" s="1"/>
      <c r="K70" s="1"/>
      <c r="L70" s="1"/>
      <c r="M70" s="1"/>
      <c r="N70" s="1"/>
      <c r="O70" s="1"/>
      <c r="P70" s="1"/>
      <c r="Q70" s="1"/>
      <c r="R70" s="1"/>
      <c r="S70" s="1"/>
      <c r="T70" s="1"/>
      <c r="U70" s="1"/>
      <c r="V70" s="1"/>
      <c r="W70" s="1"/>
      <c r="X70" s="1"/>
      <c r="Y70" s="1"/>
      <c r="Z70" s="1"/>
      <c r="AA70" s="1"/>
    </row>
    <row r="71" spans="9:27" ht="15.9" customHeight="1">
      <c r="I71" s="1"/>
      <c r="J71" s="1"/>
      <c r="K71" s="1"/>
      <c r="L71" s="1"/>
      <c r="M71" s="1"/>
      <c r="N71" s="1"/>
      <c r="O71"/>
      <c r="P71"/>
      <c r="Q71"/>
      <c r="R71"/>
      <c r="S71"/>
      <c r="T71"/>
      <c r="U71"/>
      <c r="V71"/>
      <c r="W71"/>
      <c r="X71"/>
      <c r="Y71"/>
      <c r="Z71"/>
      <c r="AA71"/>
    </row>
    <row r="72" spans="9:27" ht="15.9" customHeight="1">
      <c r="I72" s="1"/>
      <c r="J72" s="1"/>
      <c r="K72" s="1"/>
      <c r="L72" s="1"/>
      <c r="M72" s="1"/>
      <c r="N72" s="1"/>
      <c r="O72"/>
      <c r="P72"/>
      <c r="Q72"/>
      <c r="R72"/>
      <c r="S72"/>
      <c r="T72"/>
      <c r="U72"/>
      <c r="V72"/>
      <c r="W72"/>
      <c r="X72"/>
      <c r="Y72"/>
      <c r="Z72"/>
      <c r="AA72"/>
    </row>
    <row r="73" spans="9:27" ht="15.9" customHeight="1">
      <c r="I73" s="1"/>
      <c r="J73" s="1"/>
      <c r="K73" s="1"/>
      <c r="L73" s="1"/>
      <c r="M73" s="1"/>
      <c r="N73" s="1"/>
      <c r="O73"/>
      <c r="P73"/>
      <c r="Q73"/>
      <c r="R73"/>
      <c r="S73"/>
      <c r="T73"/>
      <c r="U73"/>
      <c r="V73"/>
      <c r="W73"/>
      <c r="X73"/>
      <c r="Y73"/>
      <c r="Z73"/>
      <c r="AA73"/>
    </row>
    <row r="74" spans="9:27" ht="15.9" customHeight="1">
      <c r="I74" s="670" t="s">
        <v>52</v>
      </c>
      <c r="J74" s="1"/>
      <c r="K74" s="1"/>
      <c r="L74" s="1"/>
      <c r="M74" s="1"/>
      <c r="N74" s="1"/>
      <c r="O74"/>
      <c r="P74"/>
      <c r="Q74"/>
      <c r="R74"/>
      <c r="S74"/>
      <c r="T74"/>
      <c r="U74"/>
      <c r="V74"/>
      <c r="W74"/>
      <c r="X74"/>
      <c r="Y74"/>
      <c r="Z74"/>
      <c r="AA74"/>
    </row>
    <row r="75" spans="9:27" ht="15.9" customHeight="1">
      <c r="I75" s="670"/>
      <c r="J75" s="1"/>
      <c r="K75" s="1"/>
      <c r="L75" s="1"/>
      <c r="M75" s="1"/>
      <c r="N75" s="1"/>
      <c r="O75"/>
      <c r="P75"/>
      <c r="Q75"/>
      <c r="R75"/>
      <c r="S75"/>
      <c r="T75"/>
      <c r="U75"/>
      <c r="V75"/>
      <c r="W75"/>
      <c r="X75"/>
      <c r="Y75"/>
      <c r="Z75"/>
      <c r="AA75"/>
    </row>
    <row r="76" spans="9:27" ht="15.9" customHeight="1">
      <c r="I76" s="670"/>
      <c r="J76" s="1"/>
      <c r="K76" s="1"/>
      <c r="L76" s="1"/>
      <c r="M76" s="1"/>
      <c r="N76" s="1"/>
      <c r="O76"/>
      <c r="P76"/>
      <c r="Q76"/>
      <c r="R76"/>
      <c r="S76"/>
      <c r="T76"/>
      <c r="U76"/>
      <c r="V76"/>
      <c r="W76"/>
      <c r="X76"/>
      <c r="Y76"/>
      <c r="Z76"/>
      <c r="AA76"/>
    </row>
    <row r="77" spans="9:27" ht="15.9" customHeight="1">
      <c r="I77" s="670"/>
      <c r="J77" s="1"/>
      <c r="K77" s="1"/>
      <c r="L77" s="1"/>
      <c r="M77" s="1"/>
      <c r="N77" s="1"/>
      <c r="O77"/>
      <c r="P77"/>
      <c r="Q77"/>
      <c r="R77"/>
      <c r="S77"/>
      <c r="T77"/>
      <c r="U77"/>
      <c r="V77"/>
      <c r="W77"/>
      <c r="X77"/>
      <c r="Y77"/>
      <c r="Z77"/>
      <c r="AA77"/>
    </row>
    <row r="78" spans="9:27" ht="15.9" customHeight="1">
      <c r="I78" s="670"/>
      <c r="J78" s="1"/>
      <c r="K78" s="1"/>
      <c r="L78" s="1"/>
      <c r="M78" s="1"/>
      <c r="N78" s="1"/>
      <c r="O78"/>
      <c r="P78"/>
      <c r="Q78"/>
      <c r="R78"/>
      <c r="S78"/>
      <c r="T78"/>
      <c r="U78"/>
      <c r="V78"/>
      <c r="W78"/>
      <c r="X78"/>
      <c r="Y78"/>
      <c r="Z78"/>
      <c r="AA78"/>
    </row>
    <row r="79" spans="9:27" ht="15.9" customHeight="1">
      <c r="I79" s="670"/>
      <c r="J79" s="1"/>
      <c r="K79" s="1"/>
      <c r="L79" s="1"/>
      <c r="M79" s="1"/>
      <c r="N79" s="1"/>
      <c r="O79"/>
      <c r="P79"/>
      <c r="Q79"/>
      <c r="R79"/>
      <c r="S79"/>
      <c r="T79"/>
      <c r="U79"/>
      <c r="V79"/>
      <c r="W79"/>
      <c r="X79"/>
      <c r="Y79"/>
      <c r="Z79"/>
      <c r="AA79"/>
    </row>
    <row r="80" spans="9:27" ht="15.9" customHeight="1">
      <c r="I80" s="670"/>
      <c r="J80" s="1"/>
      <c r="K80" s="1"/>
      <c r="L80" s="1"/>
      <c r="M80" s="1"/>
      <c r="N80" s="1"/>
      <c r="O80"/>
      <c r="P80"/>
      <c r="Q80"/>
      <c r="R80"/>
      <c r="S80"/>
      <c r="T80"/>
      <c r="U80"/>
      <c r="V80"/>
      <c r="W80"/>
      <c r="X80"/>
      <c r="Y80"/>
      <c r="Z80"/>
      <c r="AA80"/>
    </row>
    <row r="81" spans="9:91" ht="15.9" customHeight="1">
      <c r="I81" s="670"/>
      <c r="J81" s="1"/>
      <c r="K81" s="1"/>
      <c r="L81" s="1"/>
      <c r="M81" s="1"/>
      <c r="N81" s="1"/>
      <c r="O81"/>
      <c r="P81"/>
      <c r="Q81"/>
      <c r="R81"/>
      <c r="S81"/>
      <c r="T81"/>
      <c r="U81"/>
      <c r="V81"/>
      <c r="W81"/>
      <c r="X81"/>
      <c r="Y81"/>
      <c r="Z81"/>
      <c r="AA81"/>
    </row>
    <row r="82" spans="9:91" ht="15.9" customHeight="1">
      <c r="I82" s="670"/>
      <c r="J82" s="1"/>
      <c r="K82" s="1"/>
      <c r="L82" s="1"/>
      <c r="M82" s="1"/>
      <c r="N82" s="1"/>
      <c r="O82"/>
      <c r="P82"/>
      <c r="Q82"/>
      <c r="R82"/>
      <c r="S82"/>
      <c r="T82"/>
      <c r="U82"/>
      <c r="V82"/>
      <c r="W82"/>
      <c r="X82"/>
      <c r="Y82"/>
      <c r="Z82"/>
      <c r="AA82"/>
    </row>
    <row r="83" spans="9:91" ht="15.9" customHeight="1">
      <c r="I83" s="670"/>
      <c r="J83" s="1"/>
      <c r="K83" s="1"/>
      <c r="L83" s="1"/>
      <c r="M83" s="1"/>
      <c r="N83" s="1"/>
      <c r="O83"/>
      <c r="P83"/>
      <c r="Q83"/>
      <c r="R83"/>
      <c r="S83"/>
      <c r="T83"/>
      <c r="U83"/>
      <c r="V83"/>
      <c r="W83"/>
      <c r="X83"/>
      <c r="Y83"/>
      <c r="Z83"/>
      <c r="AA83"/>
    </row>
    <row r="84" spans="9:91" ht="15.9" customHeight="1">
      <c r="I84" s="670"/>
      <c r="J84" s="1"/>
      <c r="K84" s="1"/>
      <c r="L84" s="1"/>
      <c r="M84" s="1"/>
      <c r="N84" s="1"/>
      <c r="O84"/>
      <c r="P84"/>
      <c r="Q84"/>
      <c r="R84"/>
      <c r="S84"/>
      <c r="T84"/>
      <c r="U84"/>
      <c r="V84"/>
      <c r="W84"/>
      <c r="X84"/>
      <c r="Y84"/>
      <c r="Z84"/>
      <c r="AA84"/>
    </row>
    <row r="85" spans="9:91" ht="15.9" customHeight="1">
      <c r="I85" s="670"/>
      <c r="J85" s="1"/>
      <c r="K85" s="1"/>
      <c r="L85" s="1"/>
      <c r="M85" s="1"/>
      <c r="N85" s="1"/>
      <c r="O85"/>
      <c r="P85"/>
      <c r="Q85"/>
      <c r="R85"/>
      <c r="S85"/>
      <c r="T85"/>
      <c r="U85"/>
      <c r="V85"/>
      <c r="W85"/>
      <c r="X85"/>
      <c r="Y85"/>
      <c r="Z85"/>
      <c r="AA85"/>
    </row>
    <row r="86" spans="9:91" ht="15.9" customHeight="1">
      <c r="I86" s="670"/>
      <c r="J86" s="1"/>
      <c r="K86" s="1"/>
      <c r="L86" s="1"/>
      <c r="M86" s="1"/>
      <c r="N86" s="1"/>
      <c r="O86"/>
      <c r="P86"/>
      <c r="Q86"/>
      <c r="R86"/>
      <c r="S86"/>
      <c r="T86"/>
      <c r="U86"/>
      <c r="V86"/>
      <c r="W86"/>
      <c r="X86"/>
      <c r="Y86"/>
      <c r="Z86"/>
      <c r="AA86"/>
    </row>
    <row r="87" spans="9:91" ht="15.9" customHeight="1">
      <c r="I87" s="670"/>
      <c r="J87" s="1"/>
      <c r="K87" s="1"/>
      <c r="L87" s="1"/>
      <c r="M87" s="1"/>
      <c r="N87" s="1"/>
      <c r="O87"/>
      <c r="P87"/>
      <c r="Q87"/>
      <c r="R87"/>
      <c r="S87"/>
      <c r="T87"/>
      <c r="U87"/>
      <c r="V87"/>
      <c r="W87"/>
      <c r="X87"/>
      <c r="Y87"/>
      <c r="Z87"/>
      <c r="AA87"/>
    </row>
    <row r="88" spans="9:91" ht="15.9" customHeight="1">
      <c r="I88" s="670"/>
      <c r="J88" s="1"/>
      <c r="K88" s="1"/>
      <c r="L88" s="1"/>
      <c r="M88" s="1"/>
      <c r="N88" s="1"/>
      <c r="O88"/>
      <c r="P88"/>
      <c r="Q88"/>
      <c r="R88"/>
      <c r="S88"/>
      <c r="T88"/>
      <c r="U88"/>
      <c r="V88"/>
      <c r="W88"/>
      <c r="X88"/>
      <c r="Y88"/>
      <c r="Z88"/>
      <c r="AA88"/>
    </row>
    <row r="89" spans="9:91" ht="15.9" customHeight="1">
      <c r="I89" s="670"/>
      <c r="J89" s="1"/>
      <c r="K89" s="1"/>
      <c r="L89" s="1"/>
      <c r="M89" s="1"/>
      <c r="N89" s="1"/>
      <c r="O89"/>
      <c r="P89"/>
      <c r="Q89"/>
      <c r="R89"/>
      <c r="S89"/>
      <c r="T89"/>
      <c r="U89"/>
      <c r="V89"/>
      <c r="W89"/>
      <c r="X89"/>
      <c r="Y89"/>
      <c r="Z89"/>
      <c r="AA89"/>
    </row>
    <row r="90" spans="9:91" ht="15.9" customHeight="1">
      <c r="I90" s="670"/>
      <c r="J90" s="1"/>
      <c r="K90" s="1"/>
      <c r="L90" s="1"/>
      <c r="M90" s="1"/>
      <c r="N90" s="1"/>
      <c r="O90"/>
      <c r="P90"/>
      <c r="Q90"/>
      <c r="R90"/>
      <c r="S90"/>
      <c r="T90"/>
      <c r="U90"/>
      <c r="V90"/>
      <c r="W90"/>
      <c r="X90"/>
      <c r="Y90"/>
      <c r="Z90"/>
      <c r="AA90"/>
    </row>
    <row r="91" spans="9:91" ht="15.9" customHeight="1">
      <c r="I91" s="670"/>
      <c r="J91" s="1"/>
      <c r="K91" s="1"/>
      <c r="L91" s="1"/>
      <c r="M91" s="1"/>
      <c r="N91" s="1"/>
      <c r="O91"/>
      <c r="P91"/>
      <c r="Q91"/>
      <c r="R91"/>
      <c r="S91"/>
      <c r="T91"/>
      <c r="U91"/>
      <c r="V91"/>
      <c r="W91"/>
      <c r="X91"/>
      <c r="Y91"/>
      <c r="Z91"/>
      <c r="AA91"/>
    </row>
    <row r="92" spans="9:91" ht="15.9" customHeight="1">
      <c r="I92" s="671"/>
      <c r="J92" s="671"/>
      <c r="K92" s="671"/>
      <c r="L92" s="671"/>
      <c r="M92" s="671"/>
      <c r="N92" s="671"/>
      <c r="O92" s="671"/>
      <c r="P92" s="671"/>
      <c r="Q92" s="671"/>
      <c r="R92" s="671"/>
      <c r="S92" s="671"/>
      <c r="T92" s="671"/>
      <c r="U92" s="671"/>
      <c r="V92" s="671"/>
      <c r="W92" s="671"/>
      <c r="X92" s="671"/>
      <c r="Y92" s="671"/>
      <c r="Z92" s="677" t="s">
        <v>5</v>
      </c>
      <c r="AA92" s="677"/>
      <c r="CE92" s="27"/>
      <c r="CF92" s="27"/>
      <c r="CG92" s="27"/>
      <c r="CH92" s="27"/>
      <c r="CI92" s="27"/>
      <c r="CJ92" s="27"/>
      <c r="CM92" s="35"/>
    </row>
    <row r="93" spans="9:91" ht="30" customHeight="1">
      <c r="I93" s="676" t="str">
        <f>I15</f>
        <v>10 - keine Nutzung</v>
      </c>
      <c r="J93" s="676"/>
      <c r="K93" s="676"/>
      <c r="L93" s="676"/>
      <c r="M93" s="676"/>
      <c r="N93" s="676"/>
      <c r="O93" s="676"/>
      <c r="P93" s="676"/>
      <c r="Q93" s="676"/>
      <c r="R93" s="676"/>
      <c r="S93" s="676"/>
      <c r="T93" s="676"/>
      <c r="U93" s="676"/>
      <c r="V93" s="676"/>
      <c r="W93" s="676"/>
      <c r="X93" s="676"/>
      <c r="Y93" s="676"/>
      <c r="Z93" s="676"/>
      <c r="AA93" s="676"/>
      <c r="CE93" s="27"/>
      <c r="CF93" s="27"/>
      <c r="CG93" s="27"/>
      <c r="CH93" s="27"/>
      <c r="CI93" s="27"/>
      <c r="CJ93" s="27"/>
      <c r="CK93" s="34"/>
      <c r="CL93" s="34"/>
      <c r="CM93" s="35"/>
    </row>
    <row r="94" spans="9:91" ht="15.9" customHeight="1">
      <c r="I94" s="74"/>
      <c r="J94" s="52"/>
      <c r="K94" s="52"/>
      <c r="L94" s="52"/>
      <c r="M94" s="52"/>
      <c r="N94" s="52"/>
      <c r="O94" s="52"/>
      <c r="P94" s="52"/>
      <c r="Q94" s="52"/>
      <c r="R94" s="52"/>
      <c r="S94" s="52"/>
      <c r="T94" s="52"/>
      <c r="U94" s="231"/>
      <c r="V94" s="231"/>
      <c r="W94" s="231"/>
      <c r="X94" s="52"/>
      <c r="Y94" s="243"/>
      <c r="Z94" s="243"/>
      <c r="AA94" s="243"/>
      <c r="CK94" s="34"/>
      <c r="CL94" s="34"/>
    </row>
    <row r="95" spans="9:91" ht="15.9" customHeight="1" thickBot="1">
      <c r="I95" s="74"/>
      <c r="J95" s="350"/>
      <c r="K95" s="539"/>
      <c r="L95" s="539"/>
      <c r="M95" s="539"/>
      <c r="N95" s="539"/>
      <c r="O95" s="539"/>
      <c r="P95" s="539"/>
      <c r="Q95" s="539"/>
      <c r="R95" s="539"/>
      <c r="S95" s="539"/>
      <c r="T95" s="52"/>
      <c r="U95" s="241"/>
      <c r="V95" s="241"/>
      <c r="W95" s="241"/>
      <c r="X95" s="52"/>
      <c r="Y95" s="349"/>
      <c r="Z95" s="349"/>
      <c r="AA95" s="349"/>
    </row>
    <row r="96" spans="9:91" ht="15.9" customHeight="1">
      <c r="I96" s="74"/>
      <c r="J96" s="588" t="s">
        <v>159</v>
      </c>
      <c r="K96" s="759"/>
      <c r="L96" s="759"/>
      <c r="M96" s="759"/>
      <c r="N96" s="759"/>
      <c r="O96" s="759"/>
      <c r="P96" s="759"/>
      <c r="Q96" s="759"/>
      <c r="R96" s="759"/>
      <c r="S96" s="759"/>
      <c r="T96" s="52"/>
      <c r="U96" s="613" t="s">
        <v>160</v>
      </c>
      <c r="V96" s="776"/>
      <c r="W96" s="780" t="str">
        <f>CB19</f>
        <v>Gesamtanzahl</v>
      </c>
      <c r="X96" s="52"/>
      <c r="Y96" s="713" t="str">
        <f ca="1">BY19</f>
        <v>Kundenverkehr</v>
      </c>
      <c r="Z96" s="772" t="str">
        <f ca="1">BZ19</f>
        <v>Beschäftigtenverkehr</v>
      </c>
      <c r="AA96" s="774" t="str">
        <f>CA19</f>
        <v>Wirtschaftsverkehr</v>
      </c>
    </row>
    <row r="97" spans="9:27" ht="15.9" customHeight="1">
      <c r="I97" s="74"/>
      <c r="J97" s="759"/>
      <c r="K97" s="759"/>
      <c r="L97" s="759"/>
      <c r="M97" s="759"/>
      <c r="N97" s="759"/>
      <c r="O97" s="759"/>
      <c r="P97" s="759"/>
      <c r="Q97" s="759"/>
      <c r="R97" s="759"/>
      <c r="S97" s="759"/>
      <c r="T97" s="52"/>
      <c r="U97" s="615"/>
      <c r="V97" s="777"/>
      <c r="W97" s="780"/>
      <c r="X97" s="52"/>
      <c r="Y97" s="713"/>
      <c r="Z97" s="772"/>
      <c r="AA97" s="774"/>
    </row>
    <row r="98" spans="9:27" ht="15.9" customHeight="1">
      <c r="I98" s="74"/>
      <c r="J98" s="759"/>
      <c r="K98" s="759"/>
      <c r="L98" s="759"/>
      <c r="M98" s="759"/>
      <c r="N98" s="759"/>
      <c r="O98" s="759"/>
      <c r="P98" s="759"/>
      <c r="Q98" s="759"/>
      <c r="R98" s="759"/>
      <c r="S98" s="759"/>
      <c r="T98" s="52"/>
      <c r="U98" s="615"/>
      <c r="V98" s="777"/>
      <c r="W98" s="780"/>
      <c r="X98" s="52"/>
      <c r="Y98" s="713"/>
      <c r="Z98" s="772"/>
      <c r="AA98" s="774"/>
    </row>
    <row r="99" spans="9:27" ht="15.9" customHeight="1">
      <c r="I99" s="74"/>
      <c r="J99" s="759"/>
      <c r="K99" s="759"/>
      <c r="L99" s="759"/>
      <c r="M99" s="759"/>
      <c r="N99" s="759"/>
      <c r="O99" s="759"/>
      <c r="P99" s="759"/>
      <c r="Q99" s="759"/>
      <c r="R99" s="759"/>
      <c r="S99" s="759"/>
      <c r="T99" s="52"/>
      <c r="U99" s="615"/>
      <c r="V99" s="777"/>
      <c r="W99" s="780"/>
      <c r="X99" s="52"/>
      <c r="Y99" s="713"/>
      <c r="Z99" s="772"/>
      <c r="AA99" s="774"/>
    </row>
    <row r="100" spans="9:27" ht="15.9" customHeight="1">
      <c r="I100" s="74"/>
      <c r="J100" s="759"/>
      <c r="K100" s="759"/>
      <c r="L100" s="759"/>
      <c r="M100" s="759"/>
      <c r="N100" s="759"/>
      <c r="O100" s="759"/>
      <c r="P100" s="759"/>
      <c r="Q100" s="759"/>
      <c r="R100" s="759"/>
      <c r="S100" s="759"/>
      <c r="T100" s="52"/>
      <c r="U100" s="615"/>
      <c r="V100" s="777"/>
      <c r="W100" s="780"/>
      <c r="X100" s="52"/>
      <c r="Y100" s="713"/>
      <c r="Z100" s="772"/>
      <c r="AA100" s="774"/>
    </row>
    <row r="101" spans="9:27" ht="15.9" customHeight="1" thickBot="1">
      <c r="I101" s="670" t="s">
        <v>54</v>
      </c>
      <c r="J101" s="52"/>
      <c r="K101" s="52"/>
      <c r="L101" s="52"/>
      <c r="M101" s="52"/>
      <c r="N101" s="52"/>
      <c r="O101" s="52"/>
      <c r="P101" s="52"/>
      <c r="Q101" s="52"/>
      <c r="R101" s="52"/>
      <c r="S101" s="52"/>
      <c r="T101" s="52"/>
      <c r="U101" s="778"/>
      <c r="V101" s="779"/>
      <c r="W101" s="781"/>
      <c r="X101" s="52"/>
      <c r="Y101" s="714"/>
      <c r="Z101" s="773"/>
      <c r="AA101" s="775"/>
    </row>
    <row r="102" spans="9:27" ht="15.9" customHeight="1">
      <c r="I102" s="670"/>
      <c r="J102" s="52"/>
      <c r="K102" s="52"/>
      <c r="L102" s="52"/>
      <c r="M102" s="52"/>
      <c r="N102" s="52"/>
      <c r="O102" s="52"/>
      <c r="P102" s="52"/>
      <c r="Q102" s="52"/>
      <c r="R102" s="52"/>
      <c r="S102" s="52"/>
      <c r="T102" s="52"/>
      <c r="U102" s="767" t="s">
        <v>23</v>
      </c>
      <c r="V102" s="768"/>
      <c r="W102" s="466">
        <f t="shared" ref="W102:W125" ca="1" si="67">CB23</f>
        <v>0</v>
      </c>
      <c r="X102" s="244"/>
      <c r="Y102" s="499">
        <f t="shared" ref="Y102:Y125" ca="1" si="68">BY23</f>
        <v>0</v>
      </c>
      <c r="Z102" s="500">
        <f t="shared" ref="Z102:Z125" ca="1" si="69">BZ23</f>
        <v>0</v>
      </c>
      <c r="AA102" s="501">
        <f t="shared" ref="AA102:AA125" ca="1" si="70">CA23</f>
        <v>0</v>
      </c>
    </row>
    <row r="103" spans="9:27" ht="15.9" customHeight="1">
      <c r="I103" s="670"/>
      <c r="J103" s="52"/>
      <c r="K103" s="52"/>
      <c r="L103" s="52"/>
      <c r="M103" s="52"/>
      <c r="N103" s="52"/>
      <c r="O103" s="52"/>
      <c r="P103" s="52"/>
      <c r="Q103" s="52"/>
      <c r="R103" s="52"/>
      <c r="S103" s="52"/>
      <c r="T103" s="52"/>
      <c r="U103" s="664" t="s">
        <v>161</v>
      </c>
      <c r="V103" s="665"/>
      <c r="W103" s="466">
        <f t="shared" ca="1" si="67"/>
        <v>0</v>
      </c>
      <c r="X103" s="244"/>
      <c r="Y103" s="502">
        <f t="shared" ca="1" si="68"/>
        <v>0</v>
      </c>
      <c r="Z103" s="503">
        <f t="shared" ca="1" si="69"/>
        <v>0</v>
      </c>
      <c r="AA103" s="504">
        <f t="shared" ca="1" si="70"/>
        <v>0</v>
      </c>
    </row>
    <row r="104" spans="9:27" ht="15.9" customHeight="1">
      <c r="I104" s="670"/>
      <c r="J104" s="52"/>
      <c r="K104" s="52"/>
      <c r="L104" s="52"/>
      <c r="M104" s="52"/>
      <c r="N104" s="52"/>
      <c r="O104" s="52"/>
      <c r="P104" s="52"/>
      <c r="Q104" s="52"/>
      <c r="R104" s="52"/>
      <c r="S104" s="52"/>
      <c r="T104" s="52"/>
      <c r="U104" s="664" t="s">
        <v>26</v>
      </c>
      <c r="V104" s="665"/>
      <c r="W104" s="466">
        <f t="shared" ca="1" si="67"/>
        <v>0</v>
      </c>
      <c r="X104" s="244"/>
      <c r="Y104" s="502">
        <f t="shared" ca="1" si="68"/>
        <v>0</v>
      </c>
      <c r="Z104" s="503">
        <f t="shared" ca="1" si="69"/>
        <v>0</v>
      </c>
      <c r="AA104" s="504">
        <f t="shared" ca="1" si="70"/>
        <v>0</v>
      </c>
    </row>
    <row r="105" spans="9:27" ht="15.9" customHeight="1">
      <c r="I105" s="670"/>
      <c r="J105" s="52"/>
      <c r="K105" s="52"/>
      <c r="L105" s="52"/>
      <c r="M105" s="52"/>
      <c r="N105" s="52"/>
      <c r="O105" s="52"/>
      <c r="P105" s="52"/>
      <c r="Q105" s="52"/>
      <c r="R105" s="52"/>
      <c r="S105" s="52"/>
      <c r="T105" s="52"/>
      <c r="U105" s="664" t="s">
        <v>27</v>
      </c>
      <c r="V105" s="665"/>
      <c r="W105" s="466">
        <f t="shared" ca="1" si="67"/>
        <v>0</v>
      </c>
      <c r="X105" s="244"/>
      <c r="Y105" s="502">
        <f t="shared" ca="1" si="68"/>
        <v>0</v>
      </c>
      <c r="Z105" s="503">
        <f t="shared" ca="1" si="69"/>
        <v>0</v>
      </c>
      <c r="AA105" s="504">
        <f t="shared" ca="1" si="70"/>
        <v>0</v>
      </c>
    </row>
    <row r="106" spans="9:27" ht="15.9" customHeight="1">
      <c r="I106" s="670"/>
      <c r="J106" s="52"/>
      <c r="K106" s="52"/>
      <c r="L106" s="52"/>
      <c r="M106" s="52"/>
      <c r="N106" s="52"/>
      <c r="O106" s="52"/>
      <c r="P106" s="52"/>
      <c r="Q106" s="52"/>
      <c r="R106" s="52"/>
      <c r="S106" s="52"/>
      <c r="T106" s="52"/>
      <c r="U106" s="664" t="s">
        <v>28</v>
      </c>
      <c r="V106" s="665"/>
      <c r="W106" s="466">
        <f t="shared" ca="1" si="67"/>
        <v>0</v>
      </c>
      <c r="X106" s="244"/>
      <c r="Y106" s="502">
        <f t="shared" ca="1" si="68"/>
        <v>0</v>
      </c>
      <c r="Z106" s="503">
        <f t="shared" ca="1" si="69"/>
        <v>0</v>
      </c>
      <c r="AA106" s="504">
        <f t="shared" ca="1" si="70"/>
        <v>0</v>
      </c>
    </row>
    <row r="107" spans="9:27" ht="15.9" customHeight="1">
      <c r="I107" s="670"/>
      <c r="J107" s="52"/>
      <c r="K107" s="52"/>
      <c r="L107" s="52"/>
      <c r="M107" s="52"/>
      <c r="N107" s="52"/>
      <c r="O107" s="52"/>
      <c r="P107" s="52"/>
      <c r="Q107" s="52"/>
      <c r="R107" s="52"/>
      <c r="S107" s="52"/>
      <c r="T107" s="52"/>
      <c r="U107" s="664" t="s">
        <v>29</v>
      </c>
      <c r="V107" s="665"/>
      <c r="W107" s="466">
        <f t="shared" ca="1" si="67"/>
        <v>0</v>
      </c>
      <c r="X107" s="244"/>
      <c r="Y107" s="502">
        <f t="shared" ca="1" si="68"/>
        <v>0</v>
      </c>
      <c r="Z107" s="503">
        <f t="shared" ca="1" si="69"/>
        <v>0</v>
      </c>
      <c r="AA107" s="504">
        <f t="shared" ca="1" si="70"/>
        <v>0</v>
      </c>
    </row>
    <row r="108" spans="9:27" ht="15.9" customHeight="1">
      <c r="I108" s="670"/>
      <c r="J108" s="52"/>
      <c r="K108" s="52"/>
      <c r="L108" s="52"/>
      <c r="M108" s="52"/>
      <c r="N108" s="52"/>
      <c r="O108" s="52"/>
      <c r="P108" s="52"/>
      <c r="Q108" s="52"/>
      <c r="R108" s="52"/>
      <c r="S108" s="52"/>
      <c r="T108" s="52"/>
      <c r="U108" s="664" t="s">
        <v>30</v>
      </c>
      <c r="V108" s="665"/>
      <c r="W108" s="466">
        <f t="shared" ca="1" si="67"/>
        <v>0</v>
      </c>
      <c r="X108" s="244"/>
      <c r="Y108" s="502">
        <f t="shared" ca="1" si="68"/>
        <v>0</v>
      </c>
      <c r="Z108" s="503">
        <f t="shared" ca="1" si="69"/>
        <v>0</v>
      </c>
      <c r="AA108" s="504">
        <f t="shared" ca="1" si="70"/>
        <v>0</v>
      </c>
    </row>
    <row r="109" spans="9:27" ht="15.9" customHeight="1">
      <c r="I109" s="670"/>
      <c r="J109" s="52"/>
      <c r="K109" s="52"/>
      <c r="L109" s="52"/>
      <c r="M109" s="52"/>
      <c r="N109" s="52"/>
      <c r="O109" s="52"/>
      <c r="P109" s="52"/>
      <c r="Q109" s="52"/>
      <c r="R109" s="52"/>
      <c r="S109" s="52"/>
      <c r="T109" s="52"/>
      <c r="U109" s="664" t="s">
        <v>31</v>
      </c>
      <c r="V109" s="665"/>
      <c r="W109" s="466">
        <f t="shared" ca="1" si="67"/>
        <v>0</v>
      </c>
      <c r="X109" s="244"/>
      <c r="Y109" s="502">
        <f t="shared" ca="1" si="68"/>
        <v>0</v>
      </c>
      <c r="Z109" s="503">
        <f t="shared" ca="1" si="69"/>
        <v>0</v>
      </c>
      <c r="AA109" s="504">
        <f t="shared" ca="1" si="70"/>
        <v>0</v>
      </c>
    </row>
    <row r="110" spans="9:27" ht="15.9" customHeight="1">
      <c r="I110" s="670"/>
      <c r="J110" s="52"/>
      <c r="K110" s="52"/>
      <c r="L110" s="52"/>
      <c r="M110" s="52"/>
      <c r="N110" s="52"/>
      <c r="O110" s="52"/>
      <c r="P110" s="52"/>
      <c r="Q110" s="52"/>
      <c r="R110" s="52"/>
      <c r="S110" s="52"/>
      <c r="T110" s="52"/>
      <c r="U110" s="664" t="s">
        <v>32</v>
      </c>
      <c r="V110" s="665"/>
      <c r="W110" s="466">
        <f t="shared" ca="1" si="67"/>
        <v>0</v>
      </c>
      <c r="X110" s="244"/>
      <c r="Y110" s="502">
        <f t="shared" ca="1" si="68"/>
        <v>0</v>
      </c>
      <c r="Z110" s="503">
        <f t="shared" ca="1" si="69"/>
        <v>0</v>
      </c>
      <c r="AA110" s="504">
        <f t="shared" ca="1" si="70"/>
        <v>0</v>
      </c>
    </row>
    <row r="111" spans="9:27" ht="15.9" customHeight="1">
      <c r="I111" s="670"/>
      <c r="J111" s="52"/>
      <c r="K111" s="52"/>
      <c r="L111" s="52"/>
      <c r="M111" s="52"/>
      <c r="N111" s="52"/>
      <c r="O111" s="52"/>
      <c r="P111" s="52"/>
      <c r="Q111" s="52"/>
      <c r="R111" s="52"/>
      <c r="S111" s="52"/>
      <c r="T111" s="52"/>
      <c r="U111" s="664" t="s">
        <v>33</v>
      </c>
      <c r="V111" s="665"/>
      <c r="W111" s="466">
        <f t="shared" ca="1" si="67"/>
        <v>0</v>
      </c>
      <c r="X111" s="244"/>
      <c r="Y111" s="502">
        <f t="shared" ca="1" si="68"/>
        <v>0</v>
      </c>
      <c r="Z111" s="503">
        <f t="shared" ca="1" si="69"/>
        <v>0</v>
      </c>
      <c r="AA111" s="504">
        <f t="shared" ca="1" si="70"/>
        <v>0</v>
      </c>
    </row>
    <row r="112" spans="9:27" ht="15.9" customHeight="1">
      <c r="I112" s="670"/>
      <c r="J112" s="52"/>
      <c r="K112" s="52"/>
      <c r="L112" s="52"/>
      <c r="M112" s="52"/>
      <c r="N112" s="52"/>
      <c r="O112" s="52"/>
      <c r="P112" s="52"/>
      <c r="Q112" s="52"/>
      <c r="R112" s="52"/>
      <c r="S112" s="52"/>
      <c r="T112" s="52"/>
      <c r="U112" s="664" t="s">
        <v>34</v>
      </c>
      <c r="V112" s="665"/>
      <c r="W112" s="466">
        <f t="shared" ca="1" si="67"/>
        <v>0</v>
      </c>
      <c r="X112" s="244"/>
      <c r="Y112" s="502">
        <f t="shared" ca="1" si="68"/>
        <v>0</v>
      </c>
      <c r="Z112" s="503">
        <f t="shared" ca="1" si="69"/>
        <v>0</v>
      </c>
      <c r="AA112" s="504">
        <f t="shared" ca="1" si="70"/>
        <v>0</v>
      </c>
    </row>
    <row r="113" spans="9:27" ht="15.9" customHeight="1">
      <c r="I113" s="670"/>
      <c r="J113" s="52"/>
      <c r="K113" s="52"/>
      <c r="L113" s="52"/>
      <c r="M113" s="52"/>
      <c r="N113" s="52"/>
      <c r="O113" s="52"/>
      <c r="P113" s="52"/>
      <c r="Q113" s="52"/>
      <c r="R113" s="52"/>
      <c r="S113" s="52"/>
      <c r="T113" s="52"/>
      <c r="U113" s="664" t="s">
        <v>35</v>
      </c>
      <c r="V113" s="665"/>
      <c r="W113" s="466">
        <f t="shared" ca="1" si="67"/>
        <v>0</v>
      </c>
      <c r="X113" s="244"/>
      <c r="Y113" s="502">
        <f t="shared" ca="1" si="68"/>
        <v>0</v>
      </c>
      <c r="Z113" s="503">
        <f t="shared" ca="1" si="69"/>
        <v>0</v>
      </c>
      <c r="AA113" s="504">
        <f t="shared" ca="1" si="70"/>
        <v>0</v>
      </c>
    </row>
    <row r="114" spans="9:27" ht="15.9" customHeight="1">
      <c r="I114" s="670"/>
      <c r="J114" s="52"/>
      <c r="K114" s="52"/>
      <c r="L114" s="52"/>
      <c r="M114" s="52"/>
      <c r="N114" s="52"/>
      <c r="O114" s="52"/>
      <c r="P114" s="52"/>
      <c r="Q114" s="52"/>
      <c r="R114" s="52"/>
      <c r="S114" s="52"/>
      <c r="T114" s="52"/>
      <c r="U114" s="664" t="s">
        <v>36</v>
      </c>
      <c r="V114" s="665"/>
      <c r="W114" s="466">
        <f t="shared" ca="1" si="67"/>
        <v>0</v>
      </c>
      <c r="X114" s="244"/>
      <c r="Y114" s="502">
        <f t="shared" ca="1" si="68"/>
        <v>0</v>
      </c>
      <c r="Z114" s="503">
        <f t="shared" ca="1" si="69"/>
        <v>0</v>
      </c>
      <c r="AA114" s="504">
        <f t="shared" ca="1" si="70"/>
        <v>0</v>
      </c>
    </row>
    <row r="115" spans="9:27" ht="15.9" customHeight="1">
      <c r="I115" s="670"/>
      <c r="J115" s="52"/>
      <c r="K115" s="52"/>
      <c r="L115" s="52"/>
      <c r="M115" s="52"/>
      <c r="N115" s="52"/>
      <c r="O115" s="52"/>
      <c r="P115" s="52"/>
      <c r="Q115" s="52"/>
      <c r="R115" s="52"/>
      <c r="S115" s="52"/>
      <c r="T115" s="52"/>
      <c r="U115" s="664" t="s">
        <v>37</v>
      </c>
      <c r="V115" s="665"/>
      <c r="W115" s="466">
        <f t="shared" ca="1" si="67"/>
        <v>0</v>
      </c>
      <c r="X115" s="244"/>
      <c r="Y115" s="502">
        <f t="shared" ca="1" si="68"/>
        <v>0</v>
      </c>
      <c r="Z115" s="503">
        <f t="shared" ca="1" si="69"/>
        <v>0</v>
      </c>
      <c r="AA115" s="504">
        <f t="shared" ca="1" si="70"/>
        <v>0</v>
      </c>
    </row>
    <row r="116" spans="9:27" ht="15.9" customHeight="1">
      <c r="I116" s="670"/>
      <c r="J116" s="52"/>
      <c r="K116" s="52"/>
      <c r="L116" s="52"/>
      <c r="M116" s="52"/>
      <c r="N116" s="52"/>
      <c r="O116" s="52"/>
      <c r="P116" s="52"/>
      <c r="Q116" s="52"/>
      <c r="R116" s="52"/>
      <c r="S116" s="52"/>
      <c r="T116" s="52"/>
      <c r="U116" s="664" t="s">
        <v>38</v>
      </c>
      <c r="V116" s="665"/>
      <c r="W116" s="466">
        <f t="shared" ca="1" si="67"/>
        <v>0</v>
      </c>
      <c r="X116" s="244"/>
      <c r="Y116" s="502">
        <f t="shared" ca="1" si="68"/>
        <v>0</v>
      </c>
      <c r="Z116" s="503">
        <f t="shared" ca="1" si="69"/>
        <v>0</v>
      </c>
      <c r="AA116" s="504">
        <f t="shared" ca="1" si="70"/>
        <v>0</v>
      </c>
    </row>
    <row r="117" spans="9:27" ht="15.9" customHeight="1">
      <c r="I117" s="670"/>
      <c r="J117" s="52"/>
      <c r="K117" s="52"/>
      <c r="L117" s="52"/>
      <c r="M117" s="52"/>
      <c r="N117" s="52"/>
      <c r="O117" s="52"/>
      <c r="P117" s="52"/>
      <c r="Q117" s="52"/>
      <c r="R117" s="52"/>
      <c r="S117" s="52"/>
      <c r="T117" s="52"/>
      <c r="U117" s="664" t="s">
        <v>39</v>
      </c>
      <c r="V117" s="665"/>
      <c r="W117" s="466">
        <f t="shared" ca="1" si="67"/>
        <v>0</v>
      </c>
      <c r="X117" s="244"/>
      <c r="Y117" s="502">
        <f t="shared" ca="1" si="68"/>
        <v>0</v>
      </c>
      <c r="Z117" s="503">
        <f t="shared" ca="1" si="69"/>
        <v>0</v>
      </c>
      <c r="AA117" s="504">
        <f t="shared" ca="1" si="70"/>
        <v>0</v>
      </c>
    </row>
    <row r="118" spans="9:27" ht="15.9" customHeight="1">
      <c r="I118" s="670"/>
      <c r="J118" s="52"/>
      <c r="K118" s="52"/>
      <c r="L118" s="52"/>
      <c r="M118" s="52"/>
      <c r="N118" s="52"/>
      <c r="O118" s="52"/>
      <c r="P118" s="52"/>
      <c r="Q118" s="52"/>
      <c r="R118" s="52"/>
      <c r="S118" s="52"/>
      <c r="T118" s="52"/>
      <c r="U118" s="664" t="s">
        <v>40</v>
      </c>
      <c r="V118" s="665"/>
      <c r="W118" s="466">
        <f t="shared" ca="1" si="67"/>
        <v>0</v>
      </c>
      <c r="X118" s="244"/>
      <c r="Y118" s="502">
        <f t="shared" ca="1" si="68"/>
        <v>0</v>
      </c>
      <c r="Z118" s="503">
        <f t="shared" ca="1" si="69"/>
        <v>0</v>
      </c>
      <c r="AA118" s="504">
        <f t="shared" ca="1" si="70"/>
        <v>0</v>
      </c>
    </row>
    <row r="119" spans="9:27" ht="15.9" customHeight="1">
      <c r="I119" s="670"/>
      <c r="J119" s="52"/>
      <c r="K119" s="52"/>
      <c r="L119" s="52"/>
      <c r="M119" s="52"/>
      <c r="N119" s="52"/>
      <c r="O119" s="52"/>
      <c r="P119" s="52"/>
      <c r="Q119" s="52"/>
      <c r="R119" s="52"/>
      <c r="S119" s="52"/>
      <c r="T119" s="52"/>
      <c r="U119" s="664" t="s">
        <v>41</v>
      </c>
      <c r="V119" s="665"/>
      <c r="W119" s="466">
        <f t="shared" ca="1" si="67"/>
        <v>0</v>
      </c>
      <c r="X119" s="244"/>
      <c r="Y119" s="502">
        <f t="shared" ca="1" si="68"/>
        <v>0</v>
      </c>
      <c r="Z119" s="503">
        <f t="shared" ca="1" si="69"/>
        <v>0</v>
      </c>
      <c r="AA119" s="504">
        <f t="shared" ca="1" si="70"/>
        <v>0</v>
      </c>
    </row>
    <row r="120" spans="9:27" ht="15.9" customHeight="1">
      <c r="I120" s="670"/>
      <c r="J120" s="52"/>
      <c r="K120" s="52"/>
      <c r="L120" s="52"/>
      <c r="M120" s="52"/>
      <c r="N120" s="52"/>
      <c r="O120" s="52"/>
      <c r="P120" s="52"/>
      <c r="Q120" s="52"/>
      <c r="R120" s="52"/>
      <c r="S120" s="52"/>
      <c r="T120" s="52"/>
      <c r="U120" s="664" t="s">
        <v>42</v>
      </c>
      <c r="V120" s="665"/>
      <c r="W120" s="466">
        <f t="shared" ca="1" si="67"/>
        <v>0</v>
      </c>
      <c r="X120" s="244"/>
      <c r="Y120" s="502">
        <f t="shared" ca="1" si="68"/>
        <v>0</v>
      </c>
      <c r="Z120" s="503">
        <f t="shared" ca="1" si="69"/>
        <v>0</v>
      </c>
      <c r="AA120" s="504">
        <f t="shared" ca="1" si="70"/>
        <v>0</v>
      </c>
    </row>
    <row r="121" spans="9:27" ht="15.9" customHeight="1">
      <c r="I121" s="670"/>
      <c r="J121" s="52"/>
      <c r="K121" s="52"/>
      <c r="L121" s="52"/>
      <c r="M121" s="52"/>
      <c r="N121" s="52"/>
      <c r="O121" s="52"/>
      <c r="P121" s="52"/>
      <c r="Q121" s="52"/>
      <c r="R121" s="52"/>
      <c r="S121" s="52"/>
      <c r="T121" s="52"/>
      <c r="U121" s="664" t="s">
        <v>43</v>
      </c>
      <c r="V121" s="665"/>
      <c r="W121" s="466">
        <f t="shared" ca="1" si="67"/>
        <v>0</v>
      </c>
      <c r="X121" s="244"/>
      <c r="Y121" s="502">
        <f t="shared" ca="1" si="68"/>
        <v>0</v>
      </c>
      <c r="Z121" s="503">
        <f t="shared" ca="1" si="69"/>
        <v>0</v>
      </c>
      <c r="AA121" s="504">
        <f t="shared" ca="1" si="70"/>
        <v>0</v>
      </c>
    </row>
    <row r="122" spans="9:27" ht="15.9" customHeight="1">
      <c r="I122" s="670"/>
      <c r="J122" s="52"/>
      <c r="K122" s="52"/>
      <c r="L122" s="52"/>
      <c r="M122" s="52"/>
      <c r="N122" s="52"/>
      <c r="O122" s="52"/>
      <c r="P122" s="52"/>
      <c r="Q122" s="52"/>
      <c r="R122" s="52"/>
      <c r="S122" s="52"/>
      <c r="T122" s="52"/>
      <c r="U122" s="664" t="s">
        <v>44</v>
      </c>
      <c r="V122" s="665"/>
      <c r="W122" s="466">
        <f t="shared" ca="1" si="67"/>
        <v>0</v>
      </c>
      <c r="X122" s="244"/>
      <c r="Y122" s="502">
        <f t="shared" ca="1" si="68"/>
        <v>0</v>
      </c>
      <c r="Z122" s="503">
        <f t="shared" ca="1" si="69"/>
        <v>0</v>
      </c>
      <c r="AA122" s="504">
        <f t="shared" ca="1" si="70"/>
        <v>0</v>
      </c>
    </row>
    <row r="123" spans="9:27" ht="15.9" customHeight="1">
      <c r="I123" s="670"/>
      <c r="J123" s="52"/>
      <c r="K123" s="52"/>
      <c r="L123" s="52"/>
      <c r="M123" s="52"/>
      <c r="N123" s="52"/>
      <c r="O123" s="52"/>
      <c r="P123" s="52"/>
      <c r="Q123" s="52"/>
      <c r="R123" s="52"/>
      <c r="S123" s="52"/>
      <c r="T123" s="52"/>
      <c r="U123" s="664" t="s">
        <v>45</v>
      </c>
      <c r="V123" s="665"/>
      <c r="W123" s="466">
        <f t="shared" ca="1" si="67"/>
        <v>0</v>
      </c>
      <c r="X123" s="244"/>
      <c r="Y123" s="502">
        <f t="shared" ca="1" si="68"/>
        <v>0</v>
      </c>
      <c r="Z123" s="503">
        <f t="shared" ca="1" si="69"/>
        <v>0</v>
      </c>
      <c r="AA123" s="504">
        <f t="shared" ca="1" si="70"/>
        <v>0</v>
      </c>
    </row>
    <row r="124" spans="9:27" ht="15.9" customHeight="1">
      <c r="I124" s="670"/>
      <c r="J124" s="52"/>
      <c r="K124" s="52"/>
      <c r="L124" s="52"/>
      <c r="M124" s="52"/>
      <c r="N124" s="52"/>
      <c r="O124" s="52"/>
      <c r="P124" s="52"/>
      <c r="Q124" s="52"/>
      <c r="R124" s="52"/>
      <c r="S124" s="52"/>
      <c r="T124" s="52"/>
      <c r="U124" s="664" t="s">
        <v>46</v>
      </c>
      <c r="V124" s="665"/>
      <c r="W124" s="466">
        <f t="shared" ca="1" si="67"/>
        <v>0</v>
      </c>
      <c r="X124" s="244"/>
      <c r="Y124" s="502">
        <f t="shared" ca="1" si="68"/>
        <v>0</v>
      </c>
      <c r="Z124" s="503">
        <f t="shared" ca="1" si="69"/>
        <v>0</v>
      </c>
      <c r="AA124" s="504">
        <f t="shared" ca="1" si="70"/>
        <v>0</v>
      </c>
    </row>
    <row r="125" spans="9:27" ht="15.9" customHeight="1" thickBot="1">
      <c r="I125" s="670"/>
      <c r="J125" s="52"/>
      <c r="K125" s="52"/>
      <c r="L125" s="52"/>
      <c r="M125" s="52"/>
      <c r="N125" s="52"/>
      <c r="O125" s="52"/>
      <c r="P125" s="52"/>
      <c r="Q125" s="52"/>
      <c r="R125" s="52"/>
      <c r="S125" s="52"/>
      <c r="T125" s="52"/>
      <c r="U125" s="666" t="s">
        <v>24</v>
      </c>
      <c r="V125" s="667"/>
      <c r="W125" s="466">
        <f t="shared" ca="1" si="67"/>
        <v>0</v>
      </c>
      <c r="X125" s="244"/>
      <c r="Y125" s="505">
        <f t="shared" ca="1" si="68"/>
        <v>0</v>
      </c>
      <c r="Z125" s="506">
        <f t="shared" ca="1" si="69"/>
        <v>0</v>
      </c>
      <c r="AA125" s="507">
        <f t="shared" ca="1" si="70"/>
        <v>0</v>
      </c>
    </row>
    <row r="126" spans="9:27" ht="15.9" customHeight="1">
      <c r="I126" s="670"/>
      <c r="J126" s="52"/>
      <c r="K126" s="52"/>
      <c r="L126" s="52"/>
      <c r="M126" s="52"/>
      <c r="N126" s="52"/>
      <c r="O126" s="52"/>
      <c r="P126" s="52"/>
      <c r="Q126" s="52"/>
      <c r="R126" s="52"/>
      <c r="S126" s="52"/>
      <c r="T126" s="52"/>
      <c r="U126" s="654" t="s">
        <v>48</v>
      </c>
      <c r="V126" s="655"/>
      <c r="W126" s="658">
        <f ca="1">MAX(W102:W125)</f>
        <v>0</v>
      </c>
      <c r="X126" s="245"/>
      <c r="Y126" s="660">
        <f ca="1">MAX(Y102:Y125)</f>
        <v>0</v>
      </c>
      <c r="Z126" s="662">
        <f ca="1">MAX(Z102:Z125)</f>
        <v>0</v>
      </c>
      <c r="AA126" s="652">
        <f ca="1">MAX(AA102:AA125)</f>
        <v>0</v>
      </c>
    </row>
    <row r="127" spans="9:27" ht="15.9" customHeight="1" thickBot="1">
      <c r="I127" s="52"/>
      <c r="J127" s="52"/>
      <c r="K127" s="52"/>
      <c r="L127" s="52"/>
      <c r="M127" s="52"/>
      <c r="N127" s="52"/>
      <c r="O127" s="52"/>
      <c r="P127" s="52"/>
      <c r="Q127" s="52"/>
      <c r="R127" s="52"/>
      <c r="S127" s="52"/>
      <c r="T127" s="52"/>
      <c r="U127" s="656"/>
      <c r="V127" s="657"/>
      <c r="W127" s="659"/>
      <c r="X127" s="245"/>
      <c r="Y127" s="661"/>
      <c r="Z127" s="663"/>
      <c r="AA127" s="653"/>
    </row>
    <row r="128" spans="9:27" ht="15.9" customHeight="1">
      <c r="I128" s="52"/>
      <c r="J128" s="52"/>
      <c r="K128" s="52"/>
      <c r="L128" s="52"/>
      <c r="M128" s="52"/>
      <c r="N128" s="52"/>
      <c r="O128" s="52"/>
      <c r="P128" s="52"/>
      <c r="Q128" s="52"/>
      <c r="R128" s="52"/>
      <c r="S128" s="52"/>
      <c r="T128" s="52"/>
      <c r="U128" s="52"/>
      <c r="V128" s="52"/>
      <c r="W128" s="52"/>
      <c r="X128" s="52"/>
      <c r="Y128" s="52"/>
      <c r="Z128" s="52"/>
      <c r="AA128" s="52"/>
    </row>
    <row r="129" spans="9:27" ht="15.9" customHeight="1">
      <c r="I129" s="52"/>
      <c r="J129" s="52"/>
      <c r="K129" s="52"/>
      <c r="L129" s="52"/>
      <c r="M129" s="52"/>
      <c r="N129" s="52"/>
      <c r="O129" s="52"/>
      <c r="P129" s="52"/>
      <c r="Q129" s="52"/>
      <c r="R129" s="52"/>
      <c r="S129" s="52"/>
      <c r="T129" s="52"/>
      <c r="U129" s="771" t="str">
        <f ca="1">"Für die Nutzung sind mindestens "&amp;TEXT(ROUND((W126+2.5)*2,-1)/2,"#.##0")&amp;" Stellplätze erforderlich, um die tägliche Nachfrage bewältigen zu können."</f>
        <v>Für die Nutzung sind mindestens 5 Stellplätze erforderlich, um die tägliche Nachfrage bewältigen zu können.</v>
      </c>
      <c r="V129" s="771"/>
      <c r="W129" s="771"/>
      <c r="X129" s="771"/>
      <c r="Y129" s="771"/>
      <c r="Z129" s="771"/>
      <c r="AA129" s="771"/>
    </row>
    <row r="130" spans="9:27" ht="15.9" customHeight="1">
      <c r="I130" s="52"/>
      <c r="J130" s="52"/>
      <c r="K130" s="52"/>
      <c r="L130" s="52"/>
      <c r="M130" s="52"/>
      <c r="N130" s="52"/>
      <c r="O130" s="52"/>
      <c r="P130" s="52"/>
      <c r="Q130" s="52"/>
      <c r="R130" s="52"/>
      <c r="S130" s="52"/>
      <c r="T130" s="52"/>
      <c r="U130" s="771"/>
      <c r="V130" s="771"/>
      <c r="W130" s="771"/>
      <c r="X130" s="771"/>
      <c r="Y130" s="771"/>
      <c r="Z130" s="771"/>
      <c r="AA130" s="771"/>
    </row>
    <row r="131" spans="9:27" ht="15.9" customHeight="1">
      <c r="I131" s="52"/>
      <c r="J131" s="52"/>
      <c r="K131" s="52"/>
      <c r="L131" s="52"/>
      <c r="M131" s="52"/>
      <c r="N131" s="52"/>
      <c r="O131" s="52"/>
      <c r="P131" s="52"/>
      <c r="Q131" s="52"/>
      <c r="R131" s="52"/>
      <c r="S131" s="52"/>
      <c r="T131" s="52"/>
      <c r="U131" s="771"/>
      <c r="V131" s="771"/>
      <c r="W131" s="771"/>
      <c r="X131" s="771"/>
      <c r="Y131" s="771"/>
      <c r="Z131" s="771"/>
      <c r="AA131" s="771"/>
    </row>
    <row r="132" spans="9:27" ht="15.9" customHeight="1">
      <c r="I132" s="52"/>
      <c r="J132" s="52"/>
      <c r="K132" s="52"/>
      <c r="L132" s="52"/>
      <c r="M132" s="52"/>
      <c r="N132" s="52"/>
      <c r="O132" s="52"/>
      <c r="P132" s="52"/>
      <c r="Q132" s="52"/>
      <c r="R132" s="52"/>
      <c r="S132" s="52"/>
      <c r="T132" s="52"/>
      <c r="U132" s="771"/>
      <c r="V132" s="771"/>
      <c r="W132" s="771"/>
      <c r="X132" s="771"/>
      <c r="Y132" s="771"/>
      <c r="Z132" s="771"/>
      <c r="AA132" s="771"/>
    </row>
    <row r="133" spans="9:27" ht="15.9" customHeight="1">
      <c r="I133" s="52"/>
      <c r="J133" s="52"/>
      <c r="K133" s="52"/>
      <c r="L133" s="52"/>
      <c r="M133" s="52"/>
      <c r="N133" s="52"/>
      <c r="O133" s="52"/>
      <c r="P133" s="52"/>
      <c r="Q133" s="52"/>
      <c r="R133" s="52"/>
      <c r="S133" s="52"/>
      <c r="T133" s="52"/>
      <c r="U133" s="771"/>
      <c r="V133" s="771"/>
      <c r="W133" s="771"/>
      <c r="X133" s="771"/>
      <c r="Y133" s="771"/>
      <c r="Z133" s="771"/>
      <c r="AA133" s="771"/>
    </row>
    <row r="134" spans="9:27" ht="15.9" customHeight="1"/>
  </sheetData>
  <sheetProtection password="C957" sheet="1" objects="1" scenarios="1" selectLockedCells="1"/>
  <mergeCells count="141">
    <mergeCell ref="K1:T1"/>
    <mergeCell ref="AA126:AA127"/>
    <mergeCell ref="U126:V127"/>
    <mergeCell ref="W126:W127"/>
    <mergeCell ref="Y126:Y127"/>
    <mergeCell ref="Z126:Z127"/>
    <mergeCell ref="U121:V121"/>
    <mergeCell ref="U125:V125"/>
    <mergeCell ref="U122:V122"/>
    <mergeCell ref="U110:V110"/>
    <mergeCell ref="U111:V111"/>
    <mergeCell ref="U112:V112"/>
    <mergeCell ref="U116:V116"/>
    <mergeCell ref="O17:O18"/>
    <mergeCell ref="O19:O21"/>
    <mergeCell ref="K19:L19"/>
    <mergeCell ref="K20:L20"/>
    <mergeCell ref="K17:L17"/>
    <mergeCell ref="Q6:R7"/>
    <mergeCell ref="Q8:R10"/>
    <mergeCell ref="O16:AA16"/>
    <mergeCell ref="Z14:AA14"/>
    <mergeCell ref="U19:W21"/>
    <mergeCell ref="Q19:S21"/>
    <mergeCell ref="B34:C34"/>
    <mergeCell ref="U109:V109"/>
    <mergeCell ref="U124:V124"/>
    <mergeCell ref="U123:V123"/>
    <mergeCell ref="U117:V117"/>
    <mergeCell ref="U118:V118"/>
    <mergeCell ref="U119:V119"/>
    <mergeCell ref="U120:V120"/>
    <mergeCell ref="U113:V113"/>
    <mergeCell ref="U114:V114"/>
    <mergeCell ref="U115:V115"/>
    <mergeCell ref="U102:V102"/>
    <mergeCell ref="U106:V106"/>
    <mergeCell ref="U107:V107"/>
    <mergeCell ref="U108:V108"/>
    <mergeCell ref="U103:V103"/>
    <mergeCell ref="U104:V104"/>
    <mergeCell ref="U105:V105"/>
    <mergeCell ref="D38:F38"/>
    <mergeCell ref="I74:I91"/>
    <mergeCell ref="I92:Y92"/>
    <mergeCell ref="L40:L43"/>
    <mergeCell ref="M40:M43"/>
    <mergeCell ref="K38:L38"/>
    <mergeCell ref="I52:I70"/>
    <mergeCell ref="I40:K43"/>
    <mergeCell ref="I51:AA51"/>
    <mergeCell ref="Z92:AA92"/>
    <mergeCell ref="D28:G28"/>
    <mergeCell ref="D22:G22"/>
    <mergeCell ref="K35:L35"/>
    <mergeCell ref="K32:L32"/>
    <mergeCell ref="D24:G24"/>
    <mergeCell ref="K24:L24"/>
    <mergeCell ref="K25:L25"/>
    <mergeCell ref="K31:L31"/>
    <mergeCell ref="I28:M28"/>
    <mergeCell ref="D27:G27"/>
    <mergeCell ref="D36:F36"/>
    <mergeCell ref="D37:F37"/>
    <mergeCell ref="K37:L37"/>
    <mergeCell ref="K36:L36"/>
    <mergeCell ref="K30:L30"/>
    <mergeCell ref="D23:G23"/>
    <mergeCell ref="D26:G26"/>
    <mergeCell ref="Y19:AA21"/>
    <mergeCell ref="AR20:AT20"/>
    <mergeCell ref="BL19:BT19"/>
    <mergeCell ref="BU19:BW19"/>
    <mergeCell ref="AY19:BG19"/>
    <mergeCell ref="BH19:BJ19"/>
    <mergeCell ref="AI20:AJ20"/>
    <mergeCell ref="AE18:AJ19"/>
    <mergeCell ref="U17:W18"/>
    <mergeCell ref="BL18:BW18"/>
    <mergeCell ref="CB19:CB20"/>
    <mergeCell ref="BY19:BY20"/>
    <mergeCell ref="BZ19:BZ20"/>
    <mergeCell ref="CA19:CA20"/>
    <mergeCell ref="BR20:BT20"/>
    <mergeCell ref="BO20:BQ20"/>
    <mergeCell ref="AO20:AQ20"/>
    <mergeCell ref="AL20:AN20"/>
    <mergeCell ref="AY18:BJ18"/>
    <mergeCell ref="BY18:CB18"/>
    <mergeCell ref="BL20:BN20"/>
    <mergeCell ref="AY20:BA20"/>
    <mergeCell ref="BE20:BG20"/>
    <mergeCell ref="BB20:BD20"/>
    <mergeCell ref="B2:G2"/>
    <mergeCell ref="S8:AA10"/>
    <mergeCell ref="B17:C17"/>
    <mergeCell ref="U129:AA133"/>
    <mergeCell ref="Q4:S4"/>
    <mergeCell ref="O2:AA2"/>
    <mergeCell ref="I101:I126"/>
    <mergeCell ref="I15:AA15"/>
    <mergeCell ref="K4:M4"/>
    <mergeCell ref="L8:M8"/>
    <mergeCell ref="Y49:AA49"/>
    <mergeCell ref="I16:M16"/>
    <mergeCell ref="Q17:S18"/>
    <mergeCell ref="K29:L29"/>
    <mergeCell ref="K18:L18"/>
    <mergeCell ref="K23:L23"/>
    <mergeCell ref="Y17:AA18"/>
    <mergeCell ref="I2:M2"/>
    <mergeCell ref="D20:G20"/>
    <mergeCell ref="D25:G25"/>
    <mergeCell ref="D21:G21"/>
    <mergeCell ref="K22:L22"/>
    <mergeCell ref="D19:G19"/>
    <mergeCell ref="I93:AA93"/>
    <mergeCell ref="AC2:AL2"/>
    <mergeCell ref="AC13:AL13"/>
    <mergeCell ref="K6:M6"/>
    <mergeCell ref="S6:AA7"/>
    <mergeCell ref="L9:M9"/>
    <mergeCell ref="L10:M10"/>
    <mergeCell ref="I13:O13"/>
    <mergeCell ref="Y96:Y101"/>
    <mergeCell ref="Z96:Z101"/>
    <mergeCell ref="AA96:AA101"/>
    <mergeCell ref="J96:S100"/>
    <mergeCell ref="U96:V101"/>
    <mergeCell ref="W96:W101"/>
    <mergeCell ref="AL18:AW18"/>
    <mergeCell ref="AL19:AT19"/>
    <mergeCell ref="AU19:AW19"/>
    <mergeCell ref="I34:M34"/>
    <mergeCell ref="J33:K33"/>
    <mergeCell ref="K27:L27"/>
    <mergeCell ref="K26:L26"/>
    <mergeCell ref="Z50:AA50"/>
    <mergeCell ref="AE20:AF20"/>
    <mergeCell ref="K21:L21"/>
    <mergeCell ref="AG20:AH20"/>
  </mergeCells>
  <phoneticPr fontId="2" type="noConversion"/>
  <conditionalFormatting sqref="I34:M38">
    <cfRule type="expression" dxfId="14" priority="1" stopIfTrue="1">
      <formula>$I34&lt;&gt;""</formula>
    </cfRule>
  </conditionalFormatting>
  <dataValidations count="4">
    <dataValidation type="list" allowBlank="1" showInputMessage="1" showErrorMessage="1" sqref="L8" xr:uid="{00000000-0002-0000-0B00-000000000000}">
      <formula1>F9:F10</formula1>
    </dataValidation>
    <dataValidation type="list" allowBlank="1" showInputMessage="1" showErrorMessage="1" sqref="L9:L10" xr:uid="{00000000-0002-0000-0B00-000001000000}">
      <formula1>$F$9:$F$10</formula1>
    </dataValidation>
    <dataValidation type="list" allowBlank="1" showInputMessage="1" showErrorMessage="1" sqref="K4:M4" xr:uid="{00000000-0002-0000-0B00-000002000000}">
      <formula1>$CL$22:$CL$44</formula1>
    </dataValidation>
    <dataValidation type="list" allowBlank="1" showInputMessage="1" showErrorMessage="1" sqref="K6:M6" xr:uid="{00000000-0002-0000-0B00-000003000000}">
      <formula1>$CG$22:$CG$44</formula1>
    </dataValidation>
  </dataValidations>
  <printOptions horizontalCentered="1" verticalCentered="1"/>
  <pageMargins left="0.6889763779527559" right="0.6889763779527559" top="0.78740157480314965" bottom="0.78740157480314965" header="0.39370078740157483" footer="0.19685039370078741"/>
  <pageSetup paperSize="9" scale="67" fitToHeight="3" orientation="landscape" horizontalDpi="1200" verticalDpi="1200" r:id="rId1"/>
  <headerFooter alignWithMargins="0">
    <oddFooter>&amp;L&amp;"Arial Narrow,Fett"&amp;7Pfad: &amp;"Arial Narrow,Standard"&amp;Z &amp;F
&amp;"Arial Narrow,Fett"Erstellt am:&amp;"Arial Narrow,Standard" &amp;D | &amp;T Uhr&amp;R&amp;"Arial Narrow,Standard"&amp;8&amp;G</oddFooter>
  </headerFooter>
  <rowBreaks count="2" manualBreakCount="2">
    <brk id="49" min="8" max="26" man="1"/>
    <brk id="91" min="8" max="26" man="1"/>
  </rowBreaks>
  <drawing r:id="rId2"/>
  <legacyDrawing r:id="rId3"/>
  <legacyDrawingHF r:id="rId4"/>
  <controls>
    <mc:AlternateContent xmlns:mc="http://schemas.openxmlformats.org/markup-compatibility/2006">
      <mc:Choice Requires="x14">
        <control shapeId="66890767" r:id="rId5" name="ToggleButton1">
          <controlPr defaultSize="0" autoLine="0" r:id="rId6">
            <anchor moveWithCells="1">
              <from>
                <xdr:col>8</xdr:col>
                <xdr:colOff>7620</xdr:colOff>
                <xdr:row>0</xdr:row>
                <xdr:rowOff>45720</xdr:rowOff>
              </from>
              <to>
                <xdr:col>9</xdr:col>
                <xdr:colOff>1783080</xdr:colOff>
                <xdr:row>0</xdr:row>
                <xdr:rowOff>403860</xdr:rowOff>
              </to>
            </anchor>
          </controlPr>
        </control>
      </mc:Choice>
      <mc:Fallback>
        <control shapeId="66890767" r:id="rId5" name="Toggle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
    <tabColor rgb="FFFFC000"/>
  </sheetPr>
  <dimension ref="A1:EL106"/>
  <sheetViews>
    <sheetView tabSelected="1" zoomScaleNormal="100" workbookViewId="0">
      <pane xSplit="1" ySplit="8" topLeftCell="BG9" activePane="bottomRight" state="frozen"/>
      <selection pane="topRight" activeCell="B1" sqref="B1"/>
      <selection pane="bottomLeft" activeCell="A7" sqref="A7"/>
      <selection pane="bottomRight" activeCell="BG2" sqref="BG2:BL2"/>
    </sheetView>
  </sheetViews>
  <sheetFormatPr defaultColWidth="10.88671875" defaultRowHeight="13.2"/>
  <cols>
    <col min="1" max="1" width="14.33203125" style="52" customWidth="1"/>
    <col min="2" max="2" width="1.109375" style="428" customWidth="1"/>
    <col min="3" max="4" width="9.44140625" style="52" customWidth="1"/>
    <col min="5" max="5" width="9.44140625" style="429" customWidth="1"/>
    <col min="6" max="8" width="9.44140625" style="52" customWidth="1"/>
    <col min="9" max="9" width="1.109375" style="428" customWidth="1"/>
    <col min="10" max="15" width="9.44140625" style="52" customWidth="1"/>
    <col min="16" max="16" width="1.109375" style="428" customWidth="1"/>
    <col min="17" max="22" width="9.44140625" style="52" customWidth="1"/>
    <col min="23" max="23" width="1.109375" style="428" customWidth="1"/>
    <col min="24" max="29" width="9.44140625" style="52" customWidth="1"/>
    <col min="30" max="30" width="1.109375" style="428" customWidth="1"/>
    <col min="31" max="36" width="9.44140625" style="52" customWidth="1"/>
    <col min="37" max="37" width="1.109375" style="428" customWidth="1"/>
    <col min="38" max="43" width="9.44140625" style="52" customWidth="1"/>
    <col min="44" max="44" width="1.109375" style="428" customWidth="1"/>
    <col min="45" max="50" width="9.44140625" style="52" customWidth="1"/>
    <col min="51" max="51" width="1.109375" style="428" customWidth="1"/>
    <col min="52" max="57" width="9.44140625" style="52" customWidth="1"/>
    <col min="58" max="58" width="1.109375" style="428" customWidth="1"/>
    <col min="59" max="64" width="9.44140625" style="52" customWidth="1"/>
    <col min="65" max="65" width="1.109375" style="428" customWidth="1"/>
    <col min="66" max="71" width="9.44140625" style="52" customWidth="1"/>
    <col min="72" max="72" width="1.109375" style="428" customWidth="1"/>
    <col min="73" max="78" width="9.44140625" style="52" customWidth="1"/>
    <col min="79" max="79" width="1.109375" style="428" customWidth="1"/>
    <col min="80" max="85" width="9.44140625" style="52" customWidth="1"/>
    <col min="86" max="86" width="1.109375" style="428" customWidth="1"/>
    <col min="87" max="92" width="9.44140625" style="52" customWidth="1"/>
    <col min="93" max="93" width="1.109375" style="428" customWidth="1"/>
    <col min="94" max="99" width="9.44140625" style="52" customWidth="1"/>
    <col min="100" max="100" width="1.109375" style="428" customWidth="1"/>
    <col min="101" max="106" width="9.44140625" style="52" customWidth="1"/>
    <col min="107" max="107" width="1.109375" style="428" customWidth="1"/>
    <col min="108" max="113" width="9.44140625" style="52" customWidth="1"/>
    <col min="114" max="114" width="1.109375" style="428" customWidth="1"/>
    <col min="115" max="120" width="9.44140625" style="52" customWidth="1"/>
    <col min="121" max="121" width="1.109375" style="428" customWidth="1"/>
    <col min="122" max="127" width="9.44140625" style="52" customWidth="1"/>
    <col min="128" max="128" width="1.109375" style="428" customWidth="1"/>
    <col min="129" max="134" width="9.44140625" style="52" customWidth="1"/>
    <col min="135" max="135" width="1.109375" style="428" customWidth="1"/>
    <col min="136" max="141" width="9.44140625" style="52" customWidth="1"/>
    <col min="142" max="142" width="1.109375" style="428" customWidth="1"/>
    <col min="143" max="16384" width="10.88671875" style="52"/>
  </cols>
  <sheetData>
    <row r="1" spans="1:142" customFormat="1" ht="13.8">
      <c r="A1" s="420"/>
      <c r="B1" s="421"/>
      <c r="C1" s="1"/>
      <c r="D1" s="1"/>
      <c r="E1" s="7"/>
      <c r="F1" s="1"/>
      <c r="G1" s="1"/>
      <c r="I1" s="421"/>
      <c r="J1" s="1"/>
      <c r="K1" s="1"/>
      <c r="L1" s="1"/>
      <c r="M1" s="1"/>
      <c r="N1" s="1"/>
      <c r="P1" s="422"/>
      <c r="W1" s="422"/>
      <c r="AB1" s="1"/>
      <c r="AC1" s="6"/>
      <c r="AD1" s="423"/>
      <c r="AE1" s="6"/>
      <c r="AF1" s="6"/>
      <c r="AG1" s="6"/>
      <c r="AH1" s="6"/>
      <c r="AI1" s="6"/>
      <c r="AJ1" s="6"/>
      <c r="AK1" s="422"/>
      <c r="AL1" s="6"/>
      <c r="AM1" s="6"/>
      <c r="AN1" s="6"/>
      <c r="AO1" s="6"/>
      <c r="AP1" s="6"/>
      <c r="AQ1" s="6"/>
      <c r="AR1" s="423"/>
      <c r="AS1" s="6"/>
      <c r="AT1" s="6"/>
      <c r="AU1" s="6"/>
      <c r="AV1" s="6"/>
      <c r="AW1" s="6"/>
      <c r="AY1" s="423"/>
      <c r="AZ1" s="6"/>
      <c r="BA1" s="6"/>
      <c r="BB1" s="6"/>
      <c r="BC1" s="6"/>
      <c r="BD1" s="6"/>
      <c r="BF1" s="423"/>
      <c r="BG1" s="6"/>
      <c r="BH1" s="6"/>
      <c r="BI1" s="6"/>
      <c r="BJ1" s="6"/>
      <c r="BK1" s="6"/>
      <c r="BM1" s="423"/>
      <c r="BN1" s="6"/>
      <c r="BO1" s="6"/>
      <c r="BP1" s="6"/>
      <c r="BQ1" s="6"/>
      <c r="BR1" s="6"/>
      <c r="BT1" s="423"/>
      <c r="BU1" s="6"/>
      <c r="BV1" s="6"/>
      <c r="BW1" s="6"/>
      <c r="BX1" s="6"/>
      <c r="BY1" s="6"/>
      <c r="CA1" s="423"/>
      <c r="CB1" s="6"/>
      <c r="CC1" s="6"/>
      <c r="CD1" s="6"/>
      <c r="CE1" s="6"/>
      <c r="CF1" s="6"/>
      <c r="CH1" s="423"/>
      <c r="CI1" s="6"/>
      <c r="CJ1" s="6"/>
      <c r="CK1" s="6"/>
      <c r="CL1" s="6"/>
      <c r="CM1" s="6"/>
      <c r="CO1" s="423"/>
      <c r="CP1" s="6"/>
      <c r="CQ1" s="6"/>
      <c r="CR1" s="6"/>
      <c r="CS1" s="6"/>
      <c r="CT1" s="6"/>
      <c r="CV1" s="423"/>
      <c r="CW1" s="6"/>
      <c r="CX1" s="6"/>
      <c r="CY1" s="6"/>
      <c r="CZ1" s="6"/>
      <c r="DA1" s="6"/>
      <c r="DC1" s="423"/>
      <c r="DD1" s="6"/>
      <c r="DE1" s="6"/>
      <c r="DF1" s="6"/>
      <c r="DG1" s="6"/>
      <c r="DH1" s="6"/>
      <c r="DJ1" s="423"/>
      <c r="DK1" s="6"/>
      <c r="DL1" s="6"/>
      <c r="DM1" s="6"/>
      <c r="DN1" s="6"/>
      <c r="DO1" s="6"/>
      <c r="DQ1" s="423"/>
      <c r="DR1" s="6"/>
      <c r="DS1" s="6"/>
      <c r="DT1" s="6"/>
      <c r="DU1" s="6"/>
      <c r="DV1" s="6"/>
      <c r="DX1" s="423"/>
      <c r="DY1" s="6"/>
      <c r="DZ1" s="6"/>
      <c r="EA1" s="6"/>
      <c r="EB1" s="6"/>
      <c r="EC1" s="6"/>
      <c r="EE1" s="423"/>
      <c r="EF1" s="6"/>
      <c r="EG1" s="6"/>
      <c r="EH1" s="6"/>
      <c r="EI1" s="6"/>
      <c r="EJ1" s="6"/>
      <c r="EL1" s="423"/>
    </row>
    <row r="2" spans="1:142" s="391" customFormat="1" ht="63" customHeight="1">
      <c r="A2" s="424" t="s">
        <v>173</v>
      </c>
      <c r="B2" s="390"/>
      <c r="C2" s="793" t="s">
        <v>168</v>
      </c>
      <c r="D2" s="793"/>
      <c r="E2" s="793"/>
      <c r="F2" s="793"/>
      <c r="G2" s="793"/>
      <c r="H2" s="793"/>
      <c r="I2" s="390"/>
      <c r="J2" s="793" t="s">
        <v>174</v>
      </c>
      <c r="K2" s="793"/>
      <c r="L2" s="793"/>
      <c r="M2" s="793"/>
      <c r="N2" s="793"/>
      <c r="O2" s="793"/>
      <c r="P2" s="390"/>
      <c r="Q2" s="793" t="s">
        <v>90</v>
      </c>
      <c r="R2" s="793"/>
      <c r="S2" s="793"/>
      <c r="T2" s="793"/>
      <c r="U2" s="793"/>
      <c r="V2" s="793"/>
      <c r="W2" s="390"/>
      <c r="X2" s="793" t="s">
        <v>163</v>
      </c>
      <c r="Y2" s="793"/>
      <c r="Z2" s="793"/>
      <c r="AA2" s="793"/>
      <c r="AB2" s="793"/>
      <c r="AC2" s="793"/>
      <c r="AD2" s="390"/>
      <c r="AE2" s="793" t="s">
        <v>175</v>
      </c>
      <c r="AF2" s="793"/>
      <c r="AG2" s="793"/>
      <c r="AH2" s="793"/>
      <c r="AI2" s="793"/>
      <c r="AJ2" s="793"/>
      <c r="AK2" s="390"/>
      <c r="AL2" s="793" t="s">
        <v>176</v>
      </c>
      <c r="AM2" s="793"/>
      <c r="AN2" s="793"/>
      <c r="AO2" s="793"/>
      <c r="AP2" s="793"/>
      <c r="AQ2" s="793"/>
      <c r="AR2" s="390"/>
      <c r="AS2" s="793" t="s">
        <v>177</v>
      </c>
      <c r="AT2" s="793"/>
      <c r="AU2" s="793"/>
      <c r="AV2" s="793"/>
      <c r="AW2" s="793"/>
      <c r="AX2" s="793"/>
      <c r="AY2" s="390"/>
      <c r="AZ2" s="793" t="s">
        <v>178</v>
      </c>
      <c r="BA2" s="793"/>
      <c r="BB2" s="793"/>
      <c r="BC2" s="793"/>
      <c r="BD2" s="793"/>
      <c r="BE2" s="793"/>
      <c r="BF2" s="390"/>
      <c r="BG2" s="793" t="s">
        <v>179</v>
      </c>
      <c r="BH2" s="793"/>
      <c r="BI2" s="793"/>
      <c r="BJ2" s="793"/>
      <c r="BK2" s="793"/>
      <c r="BL2" s="793"/>
      <c r="BM2" s="390"/>
      <c r="BN2" s="793" t="s">
        <v>180</v>
      </c>
      <c r="BO2" s="793"/>
      <c r="BP2" s="793"/>
      <c r="BQ2" s="793"/>
      <c r="BR2" s="793"/>
      <c r="BS2" s="793"/>
      <c r="BT2" s="390"/>
      <c r="BU2" s="793" t="s">
        <v>181</v>
      </c>
      <c r="BV2" s="793"/>
      <c r="BW2" s="793"/>
      <c r="BX2" s="793"/>
      <c r="BY2" s="793"/>
      <c r="BZ2" s="793"/>
      <c r="CA2" s="390"/>
      <c r="CB2" s="793" t="s">
        <v>181</v>
      </c>
      <c r="CC2" s="793"/>
      <c r="CD2" s="793"/>
      <c r="CE2" s="793"/>
      <c r="CF2" s="793"/>
      <c r="CG2" s="793"/>
      <c r="CH2" s="390"/>
      <c r="CI2" s="793" t="s">
        <v>181</v>
      </c>
      <c r="CJ2" s="793"/>
      <c r="CK2" s="793"/>
      <c r="CL2" s="793"/>
      <c r="CM2" s="793"/>
      <c r="CN2" s="793"/>
      <c r="CO2" s="390"/>
      <c r="CP2" s="793" t="s">
        <v>181</v>
      </c>
      <c r="CQ2" s="793"/>
      <c r="CR2" s="793"/>
      <c r="CS2" s="793"/>
      <c r="CT2" s="793"/>
      <c r="CU2" s="793"/>
      <c r="CV2" s="390"/>
      <c r="CW2" s="793" t="s">
        <v>181</v>
      </c>
      <c r="CX2" s="793"/>
      <c r="CY2" s="793"/>
      <c r="CZ2" s="793"/>
      <c r="DA2" s="793"/>
      <c r="DB2" s="793"/>
      <c r="DC2" s="390"/>
      <c r="DD2" s="793" t="s">
        <v>181</v>
      </c>
      <c r="DE2" s="793"/>
      <c r="DF2" s="793"/>
      <c r="DG2" s="793"/>
      <c r="DH2" s="793"/>
      <c r="DI2" s="793"/>
      <c r="DJ2" s="390"/>
      <c r="DK2" s="793" t="s">
        <v>181</v>
      </c>
      <c r="DL2" s="793"/>
      <c r="DM2" s="793"/>
      <c r="DN2" s="793"/>
      <c r="DO2" s="793"/>
      <c r="DP2" s="793"/>
      <c r="DQ2" s="390"/>
      <c r="DR2" s="793" t="s">
        <v>181</v>
      </c>
      <c r="DS2" s="793"/>
      <c r="DT2" s="793"/>
      <c r="DU2" s="793"/>
      <c r="DV2" s="793"/>
      <c r="DW2" s="793"/>
      <c r="DX2" s="390"/>
      <c r="DY2" s="793" t="s">
        <v>181</v>
      </c>
      <c r="DZ2" s="793"/>
      <c r="EA2" s="793"/>
      <c r="EB2" s="793"/>
      <c r="EC2" s="793"/>
      <c r="ED2" s="793"/>
      <c r="EE2" s="390"/>
      <c r="EF2" s="793" t="s">
        <v>181</v>
      </c>
      <c r="EG2" s="793"/>
      <c r="EH2" s="793"/>
      <c r="EI2" s="793"/>
      <c r="EJ2" s="793"/>
      <c r="EK2" s="793"/>
      <c r="EL2" s="390"/>
    </row>
    <row r="3" spans="1:142" s="1" customFormat="1" ht="15.6">
      <c r="B3" s="421"/>
      <c r="C3" s="425"/>
      <c r="D3" s="2"/>
      <c r="E3" s="426"/>
      <c r="F3" s="2"/>
      <c r="G3" s="2"/>
      <c r="H3" s="2"/>
      <c r="I3" s="421"/>
      <c r="J3" s="425"/>
      <c r="K3" s="2"/>
      <c r="L3" s="2"/>
      <c r="M3" s="2"/>
      <c r="N3" s="2"/>
      <c r="O3" s="2"/>
      <c r="P3" s="421"/>
      <c r="Q3" s="425"/>
      <c r="R3" s="2"/>
      <c r="S3" s="2"/>
      <c r="T3" s="2"/>
      <c r="U3" s="2"/>
      <c r="V3" s="2"/>
      <c r="W3" s="421"/>
      <c r="X3" s="427"/>
      <c r="Y3" s="2"/>
      <c r="Z3" s="2"/>
      <c r="AA3" s="2"/>
      <c r="AB3" s="2"/>
      <c r="AC3" s="2"/>
      <c r="AD3" s="421"/>
      <c r="AE3" s="427"/>
      <c r="AF3" s="2"/>
      <c r="AG3" s="2"/>
      <c r="AH3" s="2"/>
      <c r="AI3" s="2"/>
      <c r="AJ3" s="2"/>
      <c r="AK3" s="421"/>
      <c r="AL3" s="427"/>
      <c r="AM3" s="2"/>
      <c r="AN3" s="2"/>
      <c r="AO3" s="2"/>
      <c r="AP3" s="2"/>
      <c r="AQ3" s="2"/>
      <c r="AR3" s="421"/>
      <c r="AS3" s="427"/>
      <c r="AT3" s="2"/>
      <c r="AU3" s="2"/>
      <c r="AV3" s="2"/>
      <c r="AW3" s="2"/>
      <c r="AX3" s="2"/>
      <c r="AY3" s="421"/>
      <c r="AZ3" s="427"/>
      <c r="BA3" s="2"/>
      <c r="BB3" s="2"/>
      <c r="BC3" s="2"/>
      <c r="BD3" s="2"/>
      <c r="BE3" s="2"/>
      <c r="BF3" s="421"/>
      <c r="BG3" s="427"/>
      <c r="BH3" s="2"/>
      <c r="BI3" s="2"/>
      <c r="BJ3" s="2"/>
      <c r="BK3" s="2"/>
      <c r="BL3" s="2"/>
      <c r="BM3" s="421"/>
      <c r="BN3" s="427"/>
      <c r="BO3" s="2"/>
      <c r="BP3" s="2"/>
      <c r="BQ3" s="2"/>
      <c r="BR3" s="2"/>
      <c r="BS3" s="2"/>
      <c r="BT3" s="421"/>
      <c r="BU3" s="427"/>
      <c r="BV3" s="2"/>
      <c r="BW3" s="2"/>
      <c r="BX3" s="2"/>
      <c r="BY3" s="2"/>
      <c r="BZ3" s="2"/>
      <c r="CA3" s="421"/>
      <c r="CB3" s="427"/>
      <c r="CC3" s="2"/>
      <c r="CD3" s="2"/>
      <c r="CE3" s="2"/>
      <c r="CF3" s="2"/>
      <c r="CG3" s="2"/>
      <c r="CH3" s="421"/>
      <c r="CI3" s="427"/>
      <c r="CJ3" s="2"/>
      <c r="CK3" s="2"/>
      <c r="CL3" s="2"/>
      <c r="CM3" s="2"/>
      <c r="CN3" s="2"/>
      <c r="CO3" s="421"/>
      <c r="CP3" s="427"/>
      <c r="CQ3" s="2"/>
      <c r="CR3" s="2"/>
      <c r="CS3" s="2"/>
      <c r="CT3" s="2"/>
      <c r="CU3" s="2"/>
      <c r="CV3" s="421"/>
      <c r="CW3" s="427"/>
      <c r="CX3" s="2"/>
      <c r="CY3" s="2"/>
      <c r="CZ3" s="2"/>
      <c r="DA3" s="2"/>
      <c r="DB3" s="2"/>
      <c r="DC3" s="421"/>
      <c r="DD3" s="427"/>
      <c r="DE3" s="2"/>
      <c r="DF3" s="2"/>
      <c r="DG3" s="2"/>
      <c r="DH3" s="2"/>
      <c r="DI3" s="2"/>
      <c r="DJ3" s="421"/>
      <c r="DK3" s="427"/>
      <c r="DL3" s="2"/>
      <c r="DM3" s="2"/>
      <c r="DN3" s="2"/>
      <c r="DO3" s="2"/>
      <c r="DP3" s="2"/>
      <c r="DQ3" s="421"/>
      <c r="DR3" s="427"/>
      <c r="DS3" s="2"/>
      <c r="DT3" s="2"/>
      <c r="DU3" s="2"/>
      <c r="DV3" s="2"/>
      <c r="DW3" s="2"/>
      <c r="DX3" s="421"/>
      <c r="DY3" s="427"/>
      <c r="DZ3" s="2"/>
      <c r="EA3" s="2"/>
      <c r="EB3" s="2"/>
      <c r="EC3" s="2"/>
      <c r="ED3" s="2"/>
      <c r="EE3" s="421"/>
      <c r="EF3" s="427"/>
      <c r="EG3" s="2"/>
      <c r="EH3" s="2"/>
      <c r="EI3" s="2"/>
      <c r="EJ3" s="2"/>
      <c r="EK3" s="2"/>
      <c r="EL3" s="421"/>
    </row>
    <row r="4" spans="1:142" s="393" customFormat="1" ht="13.8">
      <c r="A4" s="508" t="s">
        <v>182</v>
      </c>
      <c r="B4" s="392"/>
      <c r="C4" s="787" t="s">
        <v>183</v>
      </c>
      <c r="D4" s="787"/>
      <c r="E4" s="787"/>
      <c r="F4" s="787"/>
      <c r="G4" s="787"/>
      <c r="H4" s="787"/>
      <c r="I4" s="392"/>
      <c r="J4" s="787" t="s">
        <v>184</v>
      </c>
      <c r="K4" s="787"/>
      <c r="L4" s="787"/>
      <c r="M4" s="787"/>
      <c r="N4" s="787"/>
      <c r="O4" s="787"/>
      <c r="P4" s="392"/>
      <c r="Q4" s="787" t="s">
        <v>185</v>
      </c>
      <c r="R4" s="787"/>
      <c r="S4" s="787"/>
      <c r="T4" s="787"/>
      <c r="U4" s="787"/>
      <c r="V4" s="787"/>
      <c r="W4" s="392"/>
      <c r="X4" s="787" t="s">
        <v>186</v>
      </c>
      <c r="Y4" s="787"/>
      <c r="Z4" s="787"/>
      <c r="AA4" s="787"/>
      <c r="AB4" s="787"/>
      <c r="AC4" s="787"/>
      <c r="AD4" s="392"/>
      <c r="AE4" s="787" t="s">
        <v>187</v>
      </c>
      <c r="AF4" s="787"/>
      <c r="AG4" s="787"/>
      <c r="AH4" s="787"/>
      <c r="AI4" s="787"/>
      <c r="AJ4" s="787"/>
      <c r="AK4" s="392"/>
      <c r="AL4" s="787" t="s">
        <v>188</v>
      </c>
      <c r="AM4" s="787"/>
      <c r="AN4" s="787"/>
      <c r="AO4" s="787"/>
      <c r="AP4" s="787"/>
      <c r="AQ4" s="787"/>
      <c r="AR4" s="392"/>
      <c r="AS4" s="787" t="s">
        <v>189</v>
      </c>
      <c r="AT4" s="787"/>
      <c r="AU4" s="787"/>
      <c r="AV4" s="787"/>
      <c r="AW4" s="787"/>
      <c r="AX4" s="787"/>
      <c r="AY4" s="392"/>
      <c r="AZ4" s="787" t="s">
        <v>190</v>
      </c>
      <c r="BA4" s="787"/>
      <c r="BB4" s="787"/>
      <c r="BC4" s="787"/>
      <c r="BD4" s="787"/>
      <c r="BE4" s="787"/>
      <c r="BF4" s="392"/>
      <c r="BG4" s="787" t="s">
        <v>191</v>
      </c>
      <c r="BH4" s="787"/>
      <c r="BI4" s="787"/>
      <c r="BJ4" s="787"/>
      <c r="BK4" s="787"/>
      <c r="BL4" s="787"/>
      <c r="BM4" s="392"/>
      <c r="BN4" s="787" t="s">
        <v>192</v>
      </c>
      <c r="BO4" s="787"/>
      <c r="BP4" s="787"/>
      <c r="BQ4" s="787"/>
      <c r="BR4" s="787"/>
      <c r="BS4" s="787"/>
      <c r="BT4" s="392"/>
      <c r="BU4" s="787"/>
      <c r="BV4" s="787"/>
      <c r="BW4" s="787"/>
      <c r="BX4" s="787"/>
      <c r="BY4" s="787"/>
      <c r="BZ4" s="787"/>
      <c r="CA4" s="392"/>
      <c r="CB4" s="787"/>
      <c r="CC4" s="787"/>
      <c r="CD4" s="787"/>
      <c r="CE4" s="787"/>
      <c r="CF4" s="787"/>
      <c r="CG4" s="787"/>
      <c r="CH4" s="392"/>
      <c r="CI4" s="787"/>
      <c r="CJ4" s="787"/>
      <c r="CK4" s="787"/>
      <c r="CL4" s="787"/>
      <c r="CM4" s="787"/>
      <c r="CN4" s="787"/>
      <c r="CO4" s="392"/>
      <c r="CP4" s="787"/>
      <c r="CQ4" s="787"/>
      <c r="CR4" s="787"/>
      <c r="CS4" s="787"/>
      <c r="CT4" s="787"/>
      <c r="CU4" s="787"/>
      <c r="CV4" s="392"/>
      <c r="CW4" s="787"/>
      <c r="CX4" s="787"/>
      <c r="CY4" s="787"/>
      <c r="CZ4" s="787"/>
      <c r="DA4" s="787"/>
      <c r="DB4" s="787"/>
      <c r="DC4" s="392"/>
      <c r="DD4" s="787"/>
      <c r="DE4" s="787"/>
      <c r="DF4" s="787"/>
      <c r="DG4" s="787"/>
      <c r="DH4" s="787"/>
      <c r="DI4" s="787"/>
      <c r="DJ4" s="392"/>
      <c r="DK4" s="787"/>
      <c r="DL4" s="787"/>
      <c r="DM4" s="787"/>
      <c r="DN4" s="787"/>
      <c r="DO4" s="787"/>
      <c r="DP4" s="787"/>
      <c r="DQ4" s="392"/>
      <c r="DR4" s="787"/>
      <c r="DS4" s="787"/>
      <c r="DT4" s="787"/>
      <c r="DU4" s="787"/>
      <c r="DV4" s="787"/>
      <c r="DW4" s="787"/>
      <c r="DX4" s="392"/>
      <c r="DY4" s="787"/>
      <c r="DZ4" s="787"/>
      <c r="EA4" s="787"/>
      <c r="EB4" s="787"/>
      <c r="EC4" s="787"/>
      <c r="ED4" s="787"/>
      <c r="EE4" s="392"/>
      <c r="EF4" s="787"/>
      <c r="EG4" s="787"/>
      <c r="EH4" s="787"/>
      <c r="EI4" s="787"/>
      <c r="EJ4" s="787"/>
      <c r="EK4" s="787"/>
      <c r="EL4" s="392"/>
    </row>
    <row r="5" spans="1:142" ht="13.8" thickBot="1"/>
    <row r="6" spans="1:142">
      <c r="A6" s="430"/>
      <c r="C6" s="788" t="s">
        <v>193</v>
      </c>
      <c r="D6" s="789"/>
      <c r="E6" s="790" t="s">
        <v>194</v>
      </c>
      <c r="F6" s="790"/>
      <c r="G6" s="791" t="s">
        <v>195</v>
      </c>
      <c r="H6" s="792"/>
      <c r="J6" s="788" t="s">
        <v>196</v>
      </c>
      <c r="K6" s="789"/>
      <c r="L6" s="790" t="s">
        <v>197</v>
      </c>
      <c r="M6" s="790"/>
      <c r="N6" s="791" t="s">
        <v>195</v>
      </c>
      <c r="O6" s="792"/>
      <c r="Q6" s="788" t="s">
        <v>196</v>
      </c>
      <c r="R6" s="789"/>
      <c r="S6" s="790" t="s">
        <v>197</v>
      </c>
      <c r="T6" s="790"/>
      <c r="U6" s="791" t="s">
        <v>195</v>
      </c>
      <c r="V6" s="792"/>
      <c r="X6" s="788" t="s">
        <v>198</v>
      </c>
      <c r="Y6" s="789"/>
      <c r="Z6" s="790" t="s">
        <v>197</v>
      </c>
      <c r="AA6" s="790"/>
      <c r="AB6" s="791" t="s">
        <v>195</v>
      </c>
      <c r="AC6" s="792"/>
      <c r="AE6" s="788" t="s">
        <v>198</v>
      </c>
      <c r="AF6" s="789"/>
      <c r="AG6" s="790" t="s">
        <v>197</v>
      </c>
      <c r="AH6" s="790"/>
      <c r="AI6" s="791" t="s">
        <v>195</v>
      </c>
      <c r="AJ6" s="792"/>
      <c r="AL6" s="788" t="s">
        <v>193</v>
      </c>
      <c r="AM6" s="789"/>
      <c r="AN6" s="790" t="s">
        <v>197</v>
      </c>
      <c r="AO6" s="790"/>
      <c r="AP6" s="791" t="s">
        <v>195</v>
      </c>
      <c r="AQ6" s="792"/>
      <c r="AS6" s="788" t="s">
        <v>198</v>
      </c>
      <c r="AT6" s="789"/>
      <c r="AU6" s="790" t="s">
        <v>197</v>
      </c>
      <c r="AV6" s="790"/>
      <c r="AW6" s="791" t="s">
        <v>195</v>
      </c>
      <c r="AX6" s="792"/>
      <c r="AZ6" s="788" t="s">
        <v>198</v>
      </c>
      <c r="BA6" s="789"/>
      <c r="BB6" s="790" t="s">
        <v>197</v>
      </c>
      <c r="BC6" s="790"/>
      <c r="BD6" s="791" t="s">
        <v>195</v>
      </c>
      <c r="BE6" s="792"/>
      <c r="BG6" s="788" t="s">
        <v>198</v>
      </c>
      <c r="BH6" s="789"/>
      <c r="BI6" s="790" t="s">
        <v>197</v>
      </c>
      <c r="BJ6" s="790"/>
      <c r="BK6" s="791" t="s">
        <v>195</v>
      </c>
      <c r="BL6" s="792"/>
      <c r="BN6" s="788" t="s">
        <v>198</v>
      </c>
      <c r="BO6" s="789"/>
      <c r="BP6" s="790" t="s">
        <v>197</v>
      </c>
      <c r="BQ6" s="790"/>
      <c r="BR6" s="791" t="s">
        <v>195</v>
      </c>
      <c r="BS6" s="792"/>
      <c r="BU6" s="788" t="s">
        <v>198</v>
      </c>
      <c r="BV6" s="789"/>
      <c r="BW6" s="790" t="s">
        <v>197</v>
      </c>
      <c r="BX6" s="790"/>
      <c r="BY6" s="791" t="s">
        <v>195</v>
      </c>
      <c r="BZ6" s="792"/>
      <c r="CB6" s="788" t="s">
        <v>198</v>
      </c>
      <c r="CC6" s="789"/>
      <c r="CD6" s="790" t="s">
        <v>197</v>
      </c>
      <c r="CE6" s="790"/>
      <c r="CF6" s="791" t="s">
        <v>195</v>
      </c>
      <c r="CG6" s="792"/>
      <c r="CI6" s="788" t="s">
        <v>198</v>
      </c>
      <c r="CJ6" s="789"/>
      <c r="CK6" s="790" t="s">
        <v>197</v>
      </c>
      <c r="CL6" s="790"/>
      <c r="CM6" s="791" t="s">
        <v>195</v>
      </c>
      <c r="CN6" s="792"/>
      <c r="CP6" s="788" t="s">
        <v>198</v>
      </c>
      <c r="CQ6" s="789"/>
      <c r="CR6" s="790" t="s">
        <v>197</v>
      </c>
      <c r="CS6" s="790"/>
      <c r="CT6" s="791" t="s">
        <v>195</v>
      </c>
      <c r="CU6" s="792"/>
      <c r="CW6" s="788" t="s">
        <v>198</v>
      </c>
      <c r="CX6" s="789"/>
      <c r="CY6" s="790" t="s">
        <v>197</v>
      </c>
      <c r="CZ6" s="790"/>
      <c r="DA6" s="791" t="s">
        <v>195</v>
      </c>
      <c r="DB6" s="792"/>
      <c r="DD6" s="788" t="s">
        <v>198</v>
      </c>
      <c r="DE6" s="789"/>
      <c r="DF6" s="790" t="s">
        <v>197</v>
      </c>
      <c r="DG6" s="790"/>
      <c r="DH6" s="791" t="s">
        <v>195</v>
      </c>
      <c r="DI6" s="792"/>
      <c r="DK6" s="788" t="s">
        <v>198</v>
      </c>
      <c r="DL6" s="789"/>
      <c r="DM6" s="790" t="s">
        <v>197</v>
      </c>
      <c r="DN6" s="790"/>
      <c r="DO6" s="791" t="s">
        <v>195</v>
      </c>
      <c r="DP6" s="792"/>
      <c r="DR6" s="788" t="s">
        <v>198</v>
      </c>
      <c r="DS6" s="789"/>
      <c r="DT6" s="790" t="s">
        <v>197</v>
      </c>
      <c r="DU6" s="790"/>
      <c r="DV6" s="791" t="s">
        <v>195</v>
      </c>
      <c r="DW6" s="792"/>
      <c r="DY6" s="788" t="s">
        <v>198</v>
      </c>
      <c r="DZ6" s="789"/>
      <c r="EA6" s="790" t="s">
        <v>197</v>
      </c>
      <c r="EB6" s="790"/>
      <c r="EC6" s="791" t="s">
        <v>195</v>
      </c>
      <c r="ED6" s="792"/>
      <c r="EF6" s="788" t="s">
        <v>198</v>
      </c>
      <c r="EG6" s="789"/>
      <c r="EH6" s="790" t="s">
        <v>197</v>
      </c>
      <c r="EI6" s="790"/>
      <c r="EJ6" s="791" t="s">
        <v>195</v>
      </c>
      <c r="EK6" s="792"/>
    </row>
    <row r="7" spans="1:142" s="440" customFormat="1">
      <c r="A7" s="431"/>
      <c r="B7" s="432"/>
      <c r="C7" s="433" t="s">
        <v>12</v>
      </c>
      <c r="D7" s="434" t="s">
        <v>199</v>
      </c>
      <c r="E7" s="435" t="s">
        <v>12</v>
      </c>
      <c r="F7" s="436" t="s">
        <v>199</v>
      </c>
      <c r="G7" s="437" t="s">
        <v>12</v>
      </c>
      <c r="H7" s="438" t="s">
        <v>199</v>
      </c>
      <c r="I7" s="432"/>
      <c r="J7" s="433" t="s">
        <v>12</v>
      </c>
      <c r="K7" s="434" t="s">
        <v>199</v>
      </c>
      <c r="L7" s="439" t="s">
        <v>12</v>
      </c>
      <c r="M7" s="436" t="s">
        <v>199</v>
      </c>
      <c r="N7" s="437" t="s">
        <v>12</v>
      </c>
      <c r="O7" s="438" t="s">
        <v>199</v>
      </c>
      <c r="P7" s="432"/>
      <c r="Q7" s="433" t="s">
        <v>12</v>
      </c>
      <c r="R7" s="434" t="s">
        <v>199</v>
      </c>
      <c r="S7" s="439" t="s">
        <v>12</v>
      </c>
      <c r="T7" s="436" t="s">
        <v>199</v>
      </c>
      <c r="U7" s="437" t="s">
        <v>12</v>
      </c>
      <c r="V7" s="438" t="s">
        <v>199</v>
      </c>
      <c r="W7" s="432"/>
      <c r="X7" s="433" t="s">
        <v>12</v>
      </c>
      <c r="Y7" s="434" t="s">
        <v>199</v>
      </c>
      <c r="Z7" s="439" t="s">
        <v>12</v>
      </c>
      <c r="AA7" s="436" t="s">
        <v>199</v>
      </c>
      <c r="AB7" s="437" t="s">
        <v>12</v>
      </c>
      <c r="AC7" s="438" t="s">
        <v>199</v>
      </c>
      <c r="AD7" s="432"/>
      <c r="AE7" s="433" t="s">
        <v>12</v>
      </c>
      <c r="AF7" s="434" t="s">
        <v>199</v>
      </c>
      <c r="AG7" s="439" t="s">
        <v>12</v>
      </c>
      <c r="AH7" s="436" t="s">
        <v>199</v>
      </c>
      <c r="AI7" s="437" t="s">
        <v>12</v>
      </c>
      <c r="AJ7" s="438" t="s">
        <v>199</v>
      </c>
      <c r="AK7" s="432"/>
      <c r="AL7" s="433" t="s">
        <v>12</v>
      </c>
      <c r="AM7" s="434" t="s">
        <v>199</v>
      </c>
      <c r="AN7" s="439" t="s">
        <v>12</v>
      </c>
      <c r="AO7" s="436" t="s">
        <v>199</v>
      </c>
      <c r="AP7" s="437" t="s">
        <v>12</v>
      </c>
      <c r="AQ7" s="438" t="s">
        <v>199</v>
      </c>
      <c r="AR7" s="432"/>
      <c r="AS7" s="433" t="s">
        <v>12</v>
      </c>
      <c r="AT7" s="434" t="s">
        <v>199</v>
      </c>
      <c r="AU7" s="439" t="s">
        <v>12</v>
      </c>
      <c r="AV7" s="436" t="s">
        <v>199</v>
      </c>
      <c r="AW7" s="437" t="s">
        <v>12</v>
      </c>
      <c r="AX7" s="438" t="s">
        <v>199</v>
      </c>
      <c r="AY7" s="432"/>
      <c r="AZ7" s="433" t="s">
        <v>12</v>
      </c>
      <c r="BA7" s="434" t="s">
        <v>199</v>
      </c>
      <c r="BB7" s="439" t="s">
        <v>12</v>
      </c>
      <c r="BC7" s="436" t="s">
        <v>199</v>
      </c>
      <c r="BD7" s="437" t="s">
        <v>12</v>
      </c>
      <c r="BE7" s="438" t="s">
        <v>199</v>
      </c>
      <c r="BF7" s="432"/>
      <c r="BG7" s="433" t="s">
        <v>12</v>
      </c>
      <c r="BH7" s="434" t="s">
        <v>199</v>
      </c>
      <c r="BI7" s="439" t="s">
        <v>12</v>
      </c>
      <c r="BJ7" s="436" t="s">
        <v>199</v>
      </c>
      <c r="BK7" s="437" t="s">
        <v>12</v>
      </c>
      <c r="BL7" s="438" t="s">
        <v>199</v>
      </c>
      <c r="BM7" s="432"/>
      <c r="BN7" s="433" t="s">
        <v>12</v>
      </c>
      <c r="BO7" s="434" t="s">
        <v>199</v>
      </c>
      <c r="BP7" s="439" t="s">
        <v>12</v>
      </c>
      <c r="BQ7" s="436" t="s">
        <v>199</v>
      </c>
      <c r="BR7" s="437" t="s">
        <v>12</v>
      </c>
      <c r="BS7" s="438" t="s">
        <v>199</v>
      </c>
      <c r="BT7" s="432"/>
      <c r="BU7" s="433" t="s">
        <v>12</v>
      </c>
      <c r="BV7" s="434" t="s">
        <v>199</v>
      </c>
      <c r="BW7" s="439" t="s">
        <v>12</v>
      </c>
      <c r="BX7" s="436" t="s">
        <v>199</v>
      </c>
      <c r="BY7" s="437" t="s">
        <v>12</v>
      </c>
      <c r="BZ7" s="438" t="s">
        <v>199</v>
      </c>
      <c r="CA7" s="432"/>
      <c r="CB7" s="433" t="s">
        <v>12</v>
      </c>
      <c r="CC7" s="434" t="s">
        <v>199</v>
      </c>
      <c r="CD7" s="439" t="s">
        <v>12</v>
      </c>
      <c r="CE7" s="436" t="s">
        <v>199</v>
      </c>
      <c r="CF7" s="437" t="s">
        <v>12</v>
      </c>
      <c r="CG7" s="438" t="s">
        <v>199</v>
      </c>
      <c r="CH7" s="432"/>
      <c r="CI7" s="433" t="s">
        <v>12</v>
      </c>
      <c r="CJ7" s="434" t="s">
        <v>199</v>
      </c>
      <c r="CK7" s="439" t="s">
        <v>12</v>
      </c>
      <c r="CL7" s="436" t="s">
        <v>199</v>
      </c>
      <c r="CM7" s="437" t="s">
        <v>12</v>
      </c>
      <c r="CN7" s="438" t="s">
        <v>199</v>
      </c>
      <c r="CO7" s="432"/>
      <c r="CP7" s="433" t="s">
        <v>12</v>
      </c>
      <c r="CQ7" s="434" t="s">
        <v>199</v>
      </c>
      <c r="CR7" s="439" t="s">
        <v>12</v>
      </c>
      <c r="CS7" s="436" t="s">
        <v>199</v>
      </c>
      <c r="CT7" s="437" t="s">
        <v>12</v>
      </c>
      <c r="CU7" s="438" t="s">
        <v>199</v>
      </c>
      <c r="CV7" s="432"/>
      <c r="CW7" s="433" t="s">
        <v>12</v>
      </c>
      <c r="CX7" s="434" t="s">
        <v>199</v>
      </c>
      <c r="CY7" s="439" t="s">
        <v>12</v>
      </c>
      <c r="CZ7" s="436" t="s">
        <v>199</v>
      </c>
      <c r="DA7" s="437" t="s">
        <v>12</v>
      </c>
      <c r="DB7" s="438" t="s">
        <v>199</v>
      </c>
      <c r="DC7" s="432"/>
      <c r="DD7" s="433" t="s">
        <v>12</v>
      </c>
      <c r="DE7" s="434" t="s">
        <v>199</v>
      </c>
      <c r="DF7" s="439" t="s">
        <v>12</v>
      </c>
      <c r="DG7" s="436" t="s">
        <v>199</v>
      </c>
      <c r="DH7" s="437" t="s">
        <v>12</v>
      </c>
      <c r="DI7" s="438" t="s">
        <v>199</v>
      </c>
      <c r="DJ7" s="432"/>
      <c r="DK7" s="433" t="s">
        <v>12</v>
      </c>
      <c r="DL7" s="434" t="s">
        <v>199</v>
      </c>
      <c r="DM7" s="439" t="s">
        <v>12</v>
      </c>
      <c r="DN7" s="436" t="s">
        <v>199</v>
      </c>
      <c r="DO7" s="437" t="s">
        <v>12</v>
      </c>
      <c r="DP7" s="438" t="s">
        <v>199</v>
      </c>
      <c r="DQ7" s="432"/>
      <c r="DR7" s="433" t="s">
        <v>12</v>
      </c>
      <c r="DS7" s="434" t="s">
        <v>199</v>
      </c>
      <c r="DT7" s="439" t="s">
        <v>12</v>
      </c>
      <c r="DU7" s="436" t="s">
        <v>199</v>
      </c>
      <c r="DV7" s="437" t="s">
        <v>12</v>
      </c>
      <c r="DW7" s="438" t="s">
        <v>199</v>
      </c>
      <c r="DX7" s="432"/>
      <c r="DY7" s="433" t="s">
        <v>12</v>
      </c>
      <c r="DZ7" s="434" t="s">
        <v>199</v>
      </c>
      <c r="EA7" s="439" t="s">
        <v>12</v>
      </c>
      <c r="EB7" s="436" t="s">
        <v>199</v>
      </c>
      <c r="EC7" s="437" t="s">
        <v>12</v>
      </c>
      <c r="ED7" s="438" t="s">
        <v>199</v>
      </c>
      <c r="EE7" s="432"/>
      <c r="EF7" s="433" t="s">
        <v>12</v>
      </c>
      <c r="EG7" s="434" t="s">
        <v>199</v>
      </c>
      <c r="EH7" s="439" t="s">
        <v>12</v>
      </c>
      <c r="EI7" s="436" t="s">
        <v>199</v>
      </c>
      <c r="EJ7" s="437" t="s">
        <v>12</v>
      </c>
      <c r="EK7" s="438" t="s">
        <v>199</v>
      </c>
      <c r="EL7" s="432"/>
    </row>
    <row r="8" spans="1:142" s="449" customFormat="1" ht="22.2" thickBot="1">
      <c r="A8" s="509" t="s">
        <v>11</v>
      </c>
      <c r="B8" s="441"/>
      <c r="C8" s="442" t="s">
        <v>200</v>
      </c>
      <c r="D8" s="443" t="s">
        <v>201</v>
      </c>
      <c r="E8" s="444" t="s">
        <v>202</v>
      </c>
      <c r="F8" s="445" t="s">
        <v>203</v>
      </c>
      <c r="G8" s="446" t="s">
        <v>202</v>
      </c>
      <c r="H8" s="447" t="s">
        <v>201</v>
      </c>
      <c r="I8" s="441"/>
      <c r="J8" s="442" t="s">
        <v>200</v>
      </c>
      <c r="K8" s="443" t="s">
        <v>201</v>
      </c>
      <c r="L8" s="448" t="s">
        <v>202</v>
      </c>
      <c r="M8" s="445" t="s">
        <v>203</v>
      </c>
      <c r="N8" s="446" t="s">
        <v>202</v>
      </c>
      <c r="O8" s="447" t="s">
        <v>201</v>
      </c>
      <c r="P8" s="441"/>
      <c r="Q8" s="442" t="s">
        <v>200</v>
      </c>
      <c r="R8" s="443" t="s">
        <v>201</v>
      </c>
      <c r="S8" s="448" t="s">
        <v>202</v>
      </c>
      <c r="T8" s="445" t="s">
        <v>203</v>
      </c>
      <c r="U8" s="446" t="s">
        <v>202</v>
      </c>
      <c r="V8" s="447" t="s">
        <v>201</v>
      </c>
      <c r="W8" s="441"/>
      <c r="X8" s="442" t="s">
        <v>200</v>
      </c>
      <c r="Y8" s="443" t="s">
        <v>201</v>
      </c>
      <c r="Z8" s="448" t="s">
        <v>202</v>
      </c>
      <c r="AA8" s="445" t="s">
        <v>203</v>
      </c>
      <c r="AB8" s="446" t="s">
        <v>202</v>
      </c>
      <c r="AC8" s="447" t="s">
        <v>201</v>
      </c>
      <c r="AD8" s="441"/>
      <c r="AE8" s="442" t="s">
        <v>200</v>
      </c>
      <c r="AF8" s="443" t="s">
        <v>201</v>
      </c>
      <c r="AG8" s="448" t="s">
        <v>202</v>
      </c>
      <c r="AH8" s="445" t="s">
        <v>203</v>
      </c>
      <c r="AI8" s="446" t="s">
        <v>202</v>
      </c>
      <c r="AJ8" s="447" t="s">
        <v>201</v>
      </c>
      <c r="AK8" s="441"/>
      <c r="AL8" s="442" t="s">
        <v>200</v>
      </c>
      <c r="AM8" s="443" t="s">
        <v>201</v>
      </c>
      <c r="AN8" s="448" t="s">
        <v>202</v>
      </c>
      <c r="AO8" s="445" t="s">
        <v>203</v>
      </c>
      <c r="AP8" s="446" t="s">
        <v>202</v>
      </c>
      <c r="AQ8" s="447" t="s">
        <v>201</v>
      </c>
      <c r="AR8" s="441"/>
      <c r="AS8" s="442" t="s">
        <v>200</v>
      </c>
      <c r="AT8" s="443" t="s">
        <v>201</v>
      </c>
      <c r="AU8" s="448" t="s">
        <v>202</v>
      </c>
      <c r="AV8" s="445" t="s">
        <v>203</v>
      </c>
      <c r="AW8" s="446" t="s">
        <v>202</v>
      </c>
      <c r="AX8" s="447" t="s">
        <v>201</v>
      </c>
      <c r="AY8" s="441"/>
      <c r="AZ8" s="442" t="s">
        <v>200</v>
      </c>
      <c r="BA8" s="443" t="s">
        <v>201</v>
      </c>
      <c r="BB8" s="448" t="s">
        <v>202</v>
      </c>
      <c r="BC8" s="445" t="s">
        <v>203</v>
      </c>
      <c r="BD8" s="446" t="s">
        <v>202</v>
      </c>
      <c r="BE8" s="447" t="s">
        <v>201</v>
      </c>
      <c r="BF8" s="441"/>
      <c r="BG8" s="442" t="s">
        <v>200</v>
      </c>
      <c r="BH8" s="443" t="s">
        <v>201</v>
      </c>
      <c r="BI8" s="448" t="s">
        <v>202</v>
      </c>
      <c r="BJ8" s="445" t="s">
        <v>203</v>
      </c>
      <c r="BK8" s="446" t="s">
        <v>202</v>
      </c>
      <c r="BL8" s="447" t="s">
        <v>201</v>
      </c>
      <c r="BM8" s="441"/>
      <c r="BN8" s="442" t="s">
        <v>200</v>
      </c>
      <c r="BO8" s="443" t="s">
        <v>201</v>
      </c>
      <c r="BP8" s="448" t="s">
        <v>202</v>
      </c>
      <c r="BQ8" s="445" t="s">
        <v>203</v>
      </c>
      <c r="BR8" s="446" t="s">
        <v>202</v>
      </c>
      <c r="BS8" s="447" t="s">
        <v>201</v>
      </c>
      <c r="BT8" s="441"/>
      <c r="BU8" s="442" t="s">
        <v>200</v>
      </c>
      <c r="BV8" s="443" t="s">
        <v>201</v>
      </c>
      <c r="BW8" s="448" t="s">
        <v>202</v>
      </c>
      <c r="BX8" s="445" t="s">
        <v>203</v>
      </c>
      <c r="BY8" s="446" t="s">
        <v>202</v>
      </c>
      <c r="BZ8" s="447" t="s">
        <v>201</v>
      </c>
      <c r="CA8" s="441"/>
      <c r="CB8" s="442" t="s">
        <v>200</v>
      </c>
      <c r="CC8" s="443" t="s">
        <v>201</v>
      </c>
      <c r="CD8" s="448" t="s">
        <v>202</v>
      </c>
      <c r="CE8" s="445" t="s">
        <v>203</v>
      </c>
      <c r="CF8" s="446" t="s">
        <v>202</v>
      </c>
      <c r="CG8" s="447" t="s">
        <v>201</v>
      </c>
      <c r="CH8" s="441"/>
      <c r="CI8" s="442" t="s">
        <v>200</v>
      </c>
      <c r="CJ8" s="443" t="s">
        <v>201</v>
      </c>
      <c r="CK8" s="448" t="s">
        <v>202</v>
      </c>
      <c r="CL8" s="445" t="s">
        <v>203</v>
      </c>
      <c r="CM8" s="446" t="s">
        <v>202</v>
      </c>
      <c r="CN8" s="447" t="s">
        <v>201</v>
      </c>
      <c r="CO8" s="441"/>
      <c r="CP8" s="442" t="s">
        <v>200</v>
      </c>
      <c r="CQ8" s="443" t="s">
        <v>201</v>
      </c>
      <c r="CR8" s="448" t="s">
        <v>202</v>
      </c>
      <c r="CS8" s="445" t="s">
        <v>203</v>
      </c>
      <c r="CT8" s="446" t="s">
        <v>202</v>
      </c>
      <c r="CU8" s="447" t="s">
        <v>201</v>
      </c>
      <c r="CV8" s="441"/>
      <c r="CW8" s="442" t="s">
        <v>200</v>
      </c>
      <c r="CX8" s="443" t="s">
        <v>201</v>
      </c>
      <c r="CY8" s="448" t="s">
        <v>202</v>
      </c>
      <c r="CZ8" s="445" t="s">
        <v>203</v>
      </c>
      <c r="DA8" s="446" t="s">
        <v>202</v>
      </c>
      <c r="DB8" s="447" t="s">
        <v>201</v>
      </c>
      <c r="DC8" s="441"/>
      <c r="DD8" s="442" t="s">
        <v>200</v>
      </c>
      <c r="DE8" s="443" t="s">
        <v>201</v>
      </c>
      <c r="DF8" s="448" t="s">
        <v>202</v>
      </c>
      <c r="DG8" s="445" t="s">
        <v>203</v>
      </c>
      <c r="DH8" s="446" t="s">
        <v>202</v>
      </c>
      <c r="DI8" s="447" t="s">
        <v>201</v>
      </c>
      <c r="DJ8" s="441"/>
      <c r="DK8" s="442" t="s">
        <v>200</v>
      </c>
      <c r="DL8" s="443" t="s">
        <v>201</v>
      </c>
      <c r="DM8" s="448" t="s">
        <v>202</v>
      </c>
      <c r="DN8" s="445" t="s">
        <v>203</v>
      </c>
      <c r="DO8" s="446" t="s">
        <v>202</v>
      </c>
      <c r="DP8" s="447" t="s">
        <v>201</v>
      </c>
      <c r="DQ8" s="441"/>
      <c r="DR8" s="442" t="s">
        <v>200</v>
      </c>
      <c r="DS8" s="443" t="s">
        <v>201</v>
      </c>
      <c r="DT8" s="448" t="s">
        <v>202</v>
      </c>
      <c r="DU8" s="445" t="s">
        <v>203</v>
      </c>
      <c r="DV8" s="446" t="s">
        <v>202</v>
      </c>
      <c r="DW8" s="447" t="s">
        <v>201</v>
      </c>
      <c r="DX8" s="441"/>
      <c r="DY8" s="442" t="s">
        <v>200</v>
      </c>
      <c r="DZ8" s="443" t="s">
        <v>201</v>
      </c>
      <c r="EA8" s="448" t="s">
        <v>202</v>
      </c>
      <c r="EB8" s="445" t="s">
        <v>203</v>
      </c>
      <c r="EC8" s="446" t="s">
        <v>202</v>
      </c>
      <c r="ED8" s="447" t="s">
        <v>201</v>
      </c>
      <c r="EE8" s="441"/>
      <c r="EF8" s="442" t="s">
        <v>200</v>
      </c>
      <c r="EG8" s="443" t="s">
        <v>201</v>
      </c>
      <c r="EH8" s="448" t="s">
        <v>202</v>
      </c>
      <c r="EI8" s="445" t="s">
        <v>203</v>
      </c>
      <c r="EJ8" s="446" t="s">
        <v>202</v>
      </c>
      <c r="EK8" s="447" t="s">
        <v>201</v>
      </c>
      <c r="EL8" s="441"/>
    </row>
    <row r="9" spans="1:142" s="400" customFormat="1" ht="14.4" thickBot="1">
      <c r="A9" s="510" t="s">
        <v>23</v>
      </c>
      <c r="B9" s="394"/>
      <c r="C9" s="395">
        <v>0</v>
      </c>
      <c r="D9" s="396">
        <v>0</v>
      </c>
      <c r="E9" s="397">
        <v>0</v>
      </c>
      <c r="F9" s="398">
        <v>0.25</v>
      </c>
      <c r="G9" s="397">
        <v>0</v>
      </c>
      <c r="H9" s="399">
        <v>0</v>
      </c>
      <c r="I9" s="394"/>
      <c r="J9" s="395">
        <v>0</v>
      </c>
      <c r="K9" s="396">
        <v>0</v>
      </c>
      <c r="L9" s="397">
        <v>0</v>
      </c>
      <c r="M9" s="398">
        <v>0</v>
      </c>
      <c r="N9" s="397">
        <v>0</v>
      </c>
      <c r="O9" s="399">
        <v>0</v>
      </c>
      <c r="P9" s="394"/>
      <c r="Q9" s="397">
        <v>0</v>
      </c>
      <c r="R9" s="399">
        <v>0</v>
      </c>
      <c r="S9" s="397">
        <v>0</v>
      </c>
      <c r="T9" s="398">
        <v>0</v>
      </c>
      <c r="U9" s="397">
        <v>0</v>
      </c>
      <c r="V9" s="399">
        <v>0</v>
      </c>
      <c r="W9" s="394"/>
      <c r="X9" s="395">
        <v>-0.5</v>
      </c>
      <c r="Y9" s="398">
        <v>0</v>
      </c>
      <c r="Z9" s="397">
        <v>0</v>
      </c>
      <c r="AA9" s="398">
        <v>0</v>
      </c>
      <c r="AB9" s="397">
        <v>0</v>
      </c>
      <c r="AC9" s="399">
        <v>0</v>
      </c>
      <c r="AD9" s="394"/>
      <c r="AE9" s="395">
        <v>0</v>
      </c>
      <c r="AF9" s="398">
        <v>0</v>
      </c>
      <c r="AG9" s="397">
        <v>0</v>
      </c>
      <c r="AH9" s="398">
        <v>0</v>
      </c>
      <c r="AI9" s="397">
        <v>0</v>
      </c>
      <c r="AJ9" s="399">
        <v>0</v>
      </c>
      <c r="AK9" s="394"/>
      <c r="AL9" s="395">
        <v>0</v>
      </c>
      <c r="AM9" s="398">
        <v>0</v>
      </c>
      <c r="AN9" s="397">
        <v>-0.5</v>
      </c>
      <c r="AO9" s="398">
        <v>0</v>
      </c>
      <c r="AP9" s="397">
        <v>0</v>
      </c>
      <c r="AQ9" s="399">
        <v>0</v>
      </c>
      <c r="AR9" s="394"/>
      <c r="AS9" s="395">
        <v>-7.26</v>
      </c>
      <c r="AT9" s="398">
        <v>0</v>
      </c>
      <c r="AU9" s="397">
        <v>-3</v>
      </c>
      <c r="AV9" s="398">
        <v>0</v>
      </c>
      <c r="AW9" s="397">
        <v>0</v>
      </c>
      <c r="AX9" s="399">
        <v>0</v>
      </c>
      <c r="AY9" s="394"/>
      <c r="AZ9" s="395">
        <v>0</v>
      </c>
      <c r="BA9" s="396">
        <v>0</v>
      </c>
      <c r="BB9" s="397">
        <v>0</v>
      </c>
      <c r="BC9" s="398">
        <v>0</v>
      </c>
      <c r="BD9" s="397">
        <v>0</v>
      </c>
      <c r="BE9" s="399">
        <v>0</v>
      </c>
      <c r="BF9" s="394"/>
      <c r="BG9" s="395">
        <v>-1.4</v>
      </c>
      <c r="BH9" s="398">
        <v>1.4</v>
      </c>
      <c r="BI9" s="397">
        <v>0</v>
      </c>
      <c r="BJ9" s="398">
        <v>0</v>
      </c>
      <c r="BK9" s="397">
        <v>0</v>
      </c>
      <c r="BL9" s="399">
        <v>0</v>
      </c>
      <c r="BM9" s="394"/>
      <c r="BN9" s="397">
        <v>0</v>
      </c>
      <c r="BO9" s="533">
        <v>0</v>
      </c>
      <c r="BP9" s="397">
        <v>0</v>
      </c>
      <c r="BQ9" s="533">
        <v>0</v>
      </c>
      <c r="BR9" s="397">
        <v>0</v>
      </c>
      <c r="BS9" s="399">
        <v>0</v>
      </c>
      <c r="BT9" s="394"/>
      <c r="BU9" s="395"/>
      <c r="BV9" s="398"/>
      <c r="BW9" s="397"/>
      <c r="BX9" s="398"/>
      <c r="BY9" s="397"/>
      <c r="BZ9" s="399"/>
      <c r="CA9" s="394"/>
      <c r="CB9" s="395"/>
      <c r="CC9" s="398"/>
      <c r="CD9" s="397"/>
      <c r="CE9" s="398"/>
      <c r="CF9" s="397"/>
      <c r="CG9" s="399"/>
      <c r="CH9" s="394"/>
      <c r="CI9" s="395"/>
      <c r="CJ9" s="398"/>
      <c r="CK9" s="397"/>
      <c r="CL9" s="398"/>
      <c r="CM9" s="397"/>
      <c r="CN9" s="399"/>
      <c r="CO9" s="394"/>
      <c r="CP9" s="395"/>
      <c r="CQ9" s="398"/>
      <c r="CR9" s="397"/>
      <c r="CS9" s="398"/>
      <c r="CT9" s="397"/>
      <c r="CU9" s="399"/>
      <c r="CV9" s="394"/>
      <c r="CW9" s="395"/>
      <c r="CX9" s="398"/>
      <c r="CY9" s="397"/>
      <c r="CZ9" s="398"/>
      <c r="DA9" s="397"/>
      <c r="DB9" s="399"/>
      <c r="DC9" s="394"/>
      <c r="DD9" s="395"/>
      <c r="DE9" s="398"/>
      <c r="DF9" s="397"/>
      <c r="DG9" s="398"/>
      <c r="DH9" s="397"/>
      <c r="DI9" s="399"/>
      <c r="DJ9" s="394"/>
      <c r="DK9" s="395"/>
      <c r="DL9" s="398"/>
      <c r="DM9" s="397"/>
      <c r="DN9" s="398"/>
      <c r="DO9" s="397"/>
      <c r="DP9" s="399"/>
      <c r="DQ9" s="394"/>
      <c r="DR9" s="395"/>
      <c r="DS9" s="398"/>
      <c r="DT9" s="397"/>
      <c r="DU9" s="398"/>
      <c r="DV9" s="397"/>
      <c r="DW9" s="399"/>
      <c r="DX9" s="394"/>
      <c r="DY9" s="395"/>
      <c r="DZ9" s="398"/>
      <c r="EA9" s="397"/>
      <c r="EB9" s="398"/>
      <c r="EC9" s="397"/>
      <c r="ED9" s="399"/>
      <c r="EE9" s="394"/>
      <c r="EF9" s="395"/>
      <c r="EG9" s="398"/>
      <c r="EH9" s="397"/>
      <c r="EI9" s="398"/>
      <c r="EJ9" s="397"/>
      <c r="EK9" s="399"/>
      <c r="EL9" s="394"/>
    </row>
    <row r="10" spans="1:142" s="400" customFormat="1" ht="14.4" thickBot="1">
      <c r="A10" s="511" t="s">
        <v>25</v>
      </c>
      <c r="B10" s="394"/>
      <c r="C10" s="401">
        <v>0</v>
      </c>
      <c r="D10" s="402">
        <v>0</v>
      </c>
      <c r="E10" s="403">
        <v>0</v>
      </c>
      <c r="F10" s="404">
        <v>0.2</v>
      </c>
      <c r="G10" s="403">
        <v>0</v>
      </c>
      <c r="H10" s="405">
        <v>0</v>
      </c>
      <c r="I10" s="394"/>
      <c r="J10" s="401">
        <v>0</v>
      </c>
      <c r="K10" s="402">
        <v>0</v>
      </c>
      <c r="L10" s="403">
        <v>0</v>
      </c>
      <c r="M10" s="404">
        <v>0</v>
      </c>
      <c r="N10" s="403">
        <v>0</v>
      </c>
      <c r="O10" s="405">
        <v>0</v>
      </c>
      <c r="P10" s="394"/>
      <c r="Q10" s="403">
        <v>0</v>
      </c>
      <c r="R10" s="405">
        <v>0</v>
      </c>
      <c r="S10" s="403">
        <v>0</v>
      </c>
      <c r="T10" s="404">
        <v>0</v>
      </c>
      <c r="U10" s="403">
        <v>0</v>
      </c>
      <c r="V10" s="405">
        <v>0</v>
      </c>
      <c r="W10" s="394"/>
      <c r="X10" s="401">
        <v>0</v>
      </c>
      <c r="Y10" s="404">
        <v>0</v>
      </c>
      <c r="Z10" s="403">
        <v>0</v>
      </c>
      <c r="AA10" s="404">
        <v>0</v>
      </c>
      <c r="AB10" s="403">
        <v>0</v>
      </c>
      <c r="AC10" s="405">
        <v>0</v>
      </c>
      <c r="AD10" s="394"/>
      <c r="AE10" s="401">
        <v>0</v>
      </c>
      <c r="AF10" s="404">
        <v>0</v>
      </c>
      <c r="AG10" s="403">
        <v>0</v>
      </c>
      <c r="AH10" s="404">
        <v>0</v>
      </c>
      <c r="AI10" s="403">
        <v>0</v>
      </c>
      <c r="AJ10" s="405">
        <v>0</v>
      </c>
      <c r="AK10" s="394"/>
      <c r="AL10" s="401">
        <v>0</v>
      </c>
      <c r="AM10" s="404">
        <v>0</v>
      </c>
      <c r="AN10" s="403">
        <v>0</v>
      </c>
      <c r="AO10" s="404">
        <v>0</v>
      </c>
      <c r="AP10" s="403">
        <v>0</v>
      </c>
      <c r="AQ10" s="405">
        <v>0</v>
      </c>
      <c r="AR10" s="394"/>
      <c r="AS10" s="401">
        <v>0</v>
      </c>
      <c r="AT10" s="404">
        <v>0</v>
      </c>
      <c r="AU10" s="403">
        <v>0</v>
      </c>
      <c r="AV10" s="404">
        <v>0</v>
      </c>
      <c r="AW10" s="403">
        <v>0</v>
      </c>
      <c r="AX10" s="405">
        <v>0</v>
      </c>
      <c r="AY10" s="394"/>
      <c r="AZ10" s="401">
        <v>0</v>
      </c>
      <c r="BA10" s="402">
        <v>0</v>
      </c>
      <c r="BB10" s="403">
        <v>0</v>
      </c>
      <c r="BC10" s="404">
        <v>0</v>
      </c>
      <c r="BD10" s="403">
        <v>0</v>
      </c>
      <c r="BE10" s="405">
        <v>0</v>
      </c>
      <c r="BF10" s="394"/>
      <c r="BG10" s="401">
        <v>-1</v>
      </c>
      <c r="BH10" s="404">
        <v>1</v>
      </c>
      <c r="BI10" s="403">
        <v>0</v>
      </c>
      <c r="BJ10" s="404">
        <v>0</v>
      </c>
      <c r="BK10" s="403">
        <v>0</v>
      </c>
      <c r="BL10" s="405">
        <v>0</v>
      </c>
      <c r="BM10" s="394"/>
      <c r="BN10" s="397">
        <v>0</v>
      </c>
      <c r="BO10" s="533">
        <v>0</v>
      </c>
      <c r="BP10" s="397">
        <v>0</v>
      </c>
      <c r="BQ10" s="533">
        <v>0</v>
      </c>
      <c r="BR10" s="403">
        <v>0</v>
      </c>
      <c r="BS10" s="405">
        <v>0</v>
      </c>
      <c r="BT10" s="394"/>
      <c r="BU10" s="401"/>
      <c r="BV10" s="404"/>
      <c r="BW10" s="403"/>
      <c r="BX10" s="404"/>
      <c r="BY10" s="403"/>
      <c r="BZ10" s="405"/>
      <c r="CA10" s="394"/>
      <c r="CB10" s="401"/>
      <c r="CC10" s="404"/>
      <c r="CD10" s="403"/>
      <c r="CE10" s="404"/>
      <c r="CF10" s="403"/>
      <c r="CG10" s="405"/>
      <c r="CH10" s="394"/>
      <c r="CI10" s="401"/>
      <c r="CJ10" s="404"/>
      <c r="CK10" s="403"/>
      <c r="CL10" s="404"/>
      <c r="CM10" s="403"/>
      <c r="CN10" s="405"/>
      <c r="CO10" s="394"/>
      <c r="CP10" s="401"/>
      <c r="CQ10" s="404"/>
      <c r="CR10" s="403"/>
      <c r="CS10" s="404"/>
      <c r="CT10" s="403"/>
      <c r="CU10" s="405"/>
      <c r="CV10" s="394"/>
      <c r="CW10" s="401"/>
      <c r="CX10" s="404"/>
      <c r="CY10" s="403"/>
      <c r="CZ10" s="404"/>
      <c r="DA10" s="403"/>
      <c r="DB10" s="405"/>
      <c r="DC10" s="394"/>
      <c r="DD10" s="401"/>
      <c r="DE10" s="404"/>
      <c r="DF10" s="403"/>
      <c r="DG10" s="404"/>
      <c r="DH10" s="403"/>
      <c r="DI10" s="405"/>
      <c r="DJ10" s="394"/>
      <c r="DK10" s="401"/>
      <c r="DL10" s="404"/>
      <c r="DM10" s="403"/>
      <c r="DN10" s="404"/>
      <c r="DO10" s="403"/>
      <c r="DP10" s="405"/>
      <c r="DQ10" s="394"/>
      <c r="DR10" s="401"/>
      <c r="DS10" s="404"/>
      <c r="DT10" s="403"/>
      <c r="DU10" s="404"/>
      <c r="DV10" s="403"/>
      <c r="DW10" s="405"/>
      <c r="DX10" s="394"/>
      <c r="DY10" s="401"/>
      <c r="DZ10" s="404"/>
      <c r="EA10" s="403"/>
      <c r="EB10" s="404"/>
      <c r="EC10" s="403"/>
      <c r="ED10" s="405"/>
      <c r="EE10" s="394"/>
      <c r="EF10" s="401"/>
      <c r="EG10" s="404"/>
      <c r="EH10" s="403"/>
      <c r="EI10" s="404"/>
      <c r="EJ10" s="403"/>
      <c r="EK10" s="405"/>
      <c r="EL10" s="394"/>
    </row>
    <row r="11" spans="1:142" s="400" customFormat="1" ht="14.4" thickBot="1">
      <c r="A11" s="511" t="s">
        <v>26</v>
      </c>
      <c r="B11" s="394"/>
      <c r="C11" s="401">
        <v>0</v>
      </c>
      <c r="D11" s="402">
        <v>0</v>
      </c>
      <c r="E11" s="403">
        <v>0</v>
      </c>
      <c r="F11" s="404">
        <v>0</v>
      </c>
      <c r="G11" s="403">
        <v>0</v>
      </c>
      <c r="H11" s="405">
        <v>0</v>
      </c>
      <c r="I11" s="394"/>
      <c r="J11" s="401">
        <v>0</v>
      </c>
      <c r="K11" s="402">
        <v>0</v>
      </c>
      <c r="L11" s="403">
        <v>0</v>
      </c>
      <c r="M11" s="404">
        <v>0</v>
      </c>
      <c r="N11" s="403">
        <v>0</v>
      </c>
      <c r="O11" s="405">
        <v>0</v>
      </c>
      <c r="P11" s="394"/>
      <c r="Q11" s="403">
        <v>0</v>
      </c>
      <c r="R11" s="405">
        <v>0</v>
      </c>
      <c r="S11" s="403">
        <v>0</v>
      </c>
      <c r="T11" s="404">
        <v>0</v>
      </c>
      <c r="U11" s="403">
        <v>0</v>
      </c>
      <c r="V11" s="405">
        <v>0</v>
      </c>
      <c r="W11" s="394"/>
      <c r="X11" s="401">
        <v>0</v>
      </c>
      <c r="Y11" s="404">
        <v>0</v>
      </c>
      <c r="Z11" s="403">
        <v>0</v>
      </c>
      <c r="AA11" s="404">
        <v>0</v>
      </c>
      <c r="AB11" s="403">
        <v>0</v>
      </c>
      <c r="AC11" s="405">
        <v>0</v>
      </c>
      <c r="AD11" s="394"/>
      <c r="AE11" s="401">
        <v>0</v>
      </c>
      <c r="AF11" s="404">
        <v>0</v>
      </c>
      <c r="AG11" s="403">
        <v>0</v>
      </c>
      <c r="AH11" s="404">
        <v>0</v>
      </c>
      <c r="AI11" s="403">
        <v>0</v>
      </c>
      <c r="AJ11" s="405">
        <v>0</v>
      </c>
      <c r="AK11" s="394"/>
      <c r="AL11" s="401">
        <v>0</v>
      </c>
      <c r="AM11" s="404">
        <v>0</v>
      </c>
      <c r="AN11" s="403">
        <v>0</v>
      </c>
      <c r="AO11" s="404">
        <v>0</v>
      </c>
      <c r="AP11" s="403">
        <v>0</v>
      </c>
      <c r="AQ11" s="405">
        <v>0</v>
      </c>
      <c r="AR11" s="394"/>
      <c r="AS11" s="401">
        <v>0</v>
      </c>
      <c r="AT11" s="404">
        <v>0</v>
      </c>
      <c r="AU11" s="403">
        <v>0</v>
      </c>
      <c r="AV11" s="404">
        <v>0</v>
      </c>
      <c r="AW11" s="403">
        <v>0</v>
      </c>
      <c r="AX11" s="405">
        <v>0</v>
      </c>
      <c r="AY11" s="394"/>
      <c r="AZ11" s="401">
        <v>0</v>
      </c>
      <c r="BA11" s="402">
        <v>0</v>
      </c>
      <c r="BB11" s="403">
        <v>0</v>
      </c>
      <c r="BC11" s="404">
        <v>0</v>
      </c>
      <c r="BD11" s="403">
        <v>0</v>
      </c>
      <c r="BE11" s="405">
        <v>0</v>
      </c>
      <c r="BF11" s="394"/>
      <c r="BG11" s="401">
        <v>-0.4</v>
      </c>
      <c r="BH11" s="404">
        <v>0.4</v>
      </c>
      <c r="BI11" s="403">
        <v>0</v>
      </c>
      <c r="BJ11" s="404">
        <v>0</v>
      </c>
      <c r="BK11" s="403">
        <v>0</v>
      </c>
      <c r="BL11" s="405">
        <v>0</v>
      </c>
      <c r="BM11" s="394"/>
      <c r="BN11" s="397">
        <v>0</v>
      </c>
      <c r="BO11" s="533">
        <v>0</v>
      </c>
      <c r="BP11" s="397">
        <v>0</v>
      </c>
      <c r="BQ11" s="533">
        <v>0</v>
      </c>
      <c r="BR11" s="403">
        <v>0</v>
      </c>
      <c r="BS11" s="405">
        <v>0</v>
      </c>
      <c r="BT11" s="394"/>
      <c r="BU11" s="401"/>
      <c r="BV11" s="404"/>
      <c r="BW11" s="403"/>
      <c r="BX11" s="404"/>
      <c r="BY11" s="403"/>
      <c r="BZ11" s="405"/>
      <c r="CA11" s="394"/>
      <c r="CB11" s="401"/>
      <c r="CC11" s="404"/>
      <c r="CD11" s="403"/>
      <c r="CE11" s="404"/>
      <c r="CF11" s="403"/>
      <c r="CG11" s="405"/>
      <c r="CH11" s="394"/>
      <c r="CI11" s="401"/>
      <c r="CJ11" s="404"/>
      <c r="CK11" s="403"/>
      <c r="CL11" s="404"/>
      <c r="CM11" s="403"/>
      <c r="CN11" s="405"/>
      <c r="CO11" s="394"/>
      <c r="CP11" s="401"/>
      <c r="CQ11" s="404"/>
      <c r="CR11" s="403"/>
      <c r="CS11" s="404"/>
      <c r="CT11" s="403"/>
      <c r="CU11" s="405"/>
      <c r="CV11" s="394"/>
      <c r="CW11" s="401"/>
      <c r="CX11" s="404"/>
      <c r="CY11" s="403"/>
      <c r="CZ11" s="404"/>
      <c r="DA11" s="403"/>
      <c r="DB11" s="405"/>
      <c r="DC11" s="394"/>
      <c r="DD11" s="401"/>
      <c r="DE11" s="404"/>
      <c r="DF11" s="403"/>
      <c r="DG11" s="404"/>
      <c r="DH11" s="403"/>
      <c r="DI11" s="405"/>
      <c r="DJ11" s="394"/>
      <c r="DK11" s="401"/>
      <c r="DL11" s="404"/>
      <c r="DM11" s="403"/>
      <c r="DN11" s="404"/>
      <c r="DO11" s="403"/>
      <c r="DP11" s="405"/>
      <c r="DQ11" s="394"/>
      <c r="DR11" s="401"/>
      <c r="DS11" s="404"/>
      <c r="DT11" s="403"/>
      <c r="DU11" s="404"/>
      <c r="DV11" s="403"/>
      <c r="DW11" s="405"/>
      <c r="DX11" s="394"/>
      <c r="DY11" s="401"/>
      <c r="DZ11" s="404"/>
      <c r="EA11" s="403"/>
      <c r="EB11" s="404"/>
      <c r="EC11" s="403"/>
      <c r="ED11" s="405"/>
      <c r="EE11" s="394"/>
      <c r="EF11" s="401"/>
      <c r="EG11" s="404"/>
      <c r="EH11" s="403"/>
      <c r="EI11" s="404"/>
      <c r="EJ11" s="403"/>
      <c r="EK11" s="405"/>
      <c r="EL11" s="394"/>
    </row>
    <row r="12" spans="1:142" s="400" customFormat="1" ht="14.4" thickBot="1">
      <c r="A12" s="511" t="s">
        <v>27</v>
      </c>
      <c r="B12" s="394"/>
      <c r="C12" s="401">
        <v>0</v>
      </c>
      <c r="D12" s="402">
        <v>0</v>
      </c>
      <c r="E12" s="403">
        <v>-0.25</v>
      </c>
      <c r="F12" s="404">
        <v>0</v>
      </c>
      <c r="G12" s="403">
        <v>0</v>
      </c>
      <c r="H12" s="405">
        <v>0</v>
      </c>
      <c r="I12" s="394"/>
      <c r="J12" s="401">
        <v>0</v>
      </c>
      <c r="K12" s="402">
        <v>0</v>
      </c>
      <c r="L12" s="403">
        <v>0</v>
      </c>
      <c r="M12" s="404">
        <v>0</v>
      </c>
      <c r="N12" s="403">
        <v>0</v>
      </c>
      <c r="O12" s="405">
        <v>0</v>
      </c>
      <c r="P12" s="394"/>
      <c r="Q12" s="403">
        <v>0</v>
      </c>
      <c r="R12" s="405">
        <v>0</v>
      </c>
      <c r="S12" s="403">
        <v>0</v>
      </c>
      <c r="T12" s="404">
        <v>0</v>
      </c>
      <c r="U12" s="403">
        <v>0</v>
      </c>
      <c r="V12" s="405">
        <v>0</v>
      </c>
      <c r="W12" s="394"/>
      <c r="X12" s="401">
        <v>-0.4</v>
      </c>
      <c r="Y12" s="404">
        <v>0</v>
      </c>
      <c r="Z12" s="403">
        <v>0</v>
      </c>
      <c r="AA12" s="404">
        <v>0</v>
      </c>
      <c r="AB12" s="403">
        <v>0</v>
      </c>
      <c r="AC12" s="405">
        <v>0</v>
      </c>
      <c r="AD12" s="394"/>
      <c r="AE12" s="401">
        <v>0</v>
      </c>
      <c r="AF12" s="404">
        <v>0</v>
      </c>
      <c r="AG12" s="403">
        <v>0</v>
      </c>
      <c r="AH12" s="404">
        <v>0</v>
      </c>
      <c r="AI12" s="403">
        <v>0</v>
      </c>
      <c r="AJ12" s="405">
        <v>0</v>
      </c>
      <c r="AK12" s="394"/>
      <c r="AL12" s="401">
        <v>0</v>
      </c>
      <c r="AM12" s="404">
        <v>0</v>
      </c>
      <c r="AN12" s="403">
        <v>0</v>
      </c>
      <c r="AO12" s="404">
        <v>0</v>
      </c>
      <c r="AP12" s="403">
        <v>0</v>
      </c>
      <c r="AQ12" s="405">
        <v>0</v>
      </c>
      <c r="AR12" s="394"/>
      <c r="AS12" s="401">
        <v>0</v>
      </c>
      <c r="AT12" s="404">
        <v>0</v>
      </c>
      <c r="AU12" s="403">
        <v>0</v>
      </c>
      <c r="AV12" s="404">
        <v>0</v>
      </c>
      <c r="AW12" s="403">
        <v>0</v>
      </c>
      <c r="AX12" s="405">
        <v>0</v>
      </c>
      <c r="AY12" s="394"/>
      <c r="AZ12" s="401">
        <v>0</v>
      </c>
      <c r="BA12" s="402">
        <v>0</v>
      </c>
      <c r="BB12" s="403">
        <v>0</v>
      </c>
      <c r="BC12" s="404">
        <v>0</v>
      </c>
      <c r="BD12" s="403">
        <v>0</v>
      </c>
      <c r="BE12" s="405">
        <v>0</v>
      </c>
      <c r="BF12" s="394"/>
      <c r="BG12" s="401">
        <v>-0.2</v>
      </c>
      <c r="BH12" s="404">
        <v>0.2</v>
      </c>
      <c r="BI12" s="403">
        <v>0</v>
      </c>
      <c r="BJ12" s="404">
        <v>0</v>
      </c>
      <c r="BK12" s="403">
        <v>0</v>
      </c>
      <c r="BL12" s="405">
        <v>0</v>
      </c>
      <c r="BM12" s="394"/>
      <c r="BN12" s="397">
        <v>0</v>
      </c>
      <c r="BO12" s="533">
        <v>0</v>
      </c>
      <c r="BP12" s="397">
        <v>0</v>
      </c>
      <c r="BQ12" s="533">
        <v>0</v>
      </c>
      <c r="BR12" s="403">
        <v>0</v>
      </c>
      <c r="BS12" s="405">
        <v>0</v>
      </c>
      <c r="BT12" s="394"/>
      <c r="BU12" s="401"/>
      <c r="BV12" s="404"/>
      <c r="BW12" s="403"/>
      <c r="BX12" s="404"/>
      <c r="BY12" s="403"/>
      <c r="BZ12" s="405"/>
      <c r="CA12" s="394"/>
      <c r="CB12" s="401"/>
      <c r="CC12" s="404"/>
      <c r="CD12" s="403"/>
      <c r="CE12" s="404"/>
      <c r="CF12" s="403"/>
      <c r="CG12" s="405"/>
      <c r="CH12" s="394"/>
      <c r="CI12" s="401"/>
      <c r="CJ12" s="404"/>
      <c r="CK12" s="403"/>
      <c r="CL12" s="404"/>
      <c r="CM12" s="403"/>
      <c r="CN12" s="405"/>
      <c r="CO12" s="394"/>
      <c r="CP12" s="401"/>
      <c r="CQ12" s="404"/>
      <c r="CR12" s="403"/>
      <c r="CS12" s="404"/>
      <c r="CT12" s="403"/>
      <c r="CU12" s="405"/>
      <c r="CV12" s="394"/>
      <c r="CW12" s="401"/>
      <c r="CX12" s="404"/>
      <c r="CY12" s="403"/>
      <c r="CZ12" s="404"/>
      <c r="DA12" s="403"/>
      <c r="DB12" s="405"/>
      <c r="DC12" s="394"/>
      <c r="DD12" s="401"/>
      <c r="DE12" s="404"/>
      <c r="DF12" s="403"/>
      <c r="DG12" s="404"/>
      <c r="DH12" s="403"/>
      <c r="DI12" s="405"/>
      <c r="DJ12" s="394"/>
      <c r="DK12" s="401"/>
      <c r="DL12" s="404"/>
      <c r="DM12" s="403"/>
      <c r="DN12" s="404"/>
      <c r="DO12" s="403"/>
      <c r="DP12" s="405"/>
      <c r="DQ12" s="394"/>
      <c r="DR12" s="401"/>
      <c r="DS12" s="404"/>
      <c r="DT12" s="403"/>
      <c r="DU12" s="404"/>
      <c r="DV12" s="403"/>
      <c r="DW12" s="405"/>
      <c r="DX12" s="394"/>
      <c r="DY12" s="401"/>
      <c r="DZ12" s="404"/>
      <c r="EA12" s="403"/>
      <c r="EB12" s="404"/>
      <c r="EC12" s="403"/>
      <c r="ED12" s="405"/>
      <c r="EE12" s="394"/>
      <c r="EF12" s="401"/>
      <c r="EG12" s="404"/>
      <c r="EH12" s="403"/>
      <c r="EI12" s="404"/>
      <c r="EJ12" s="403"/>
      <c r="EK12" s="405"/>
      <c r="EL12" s="394"/>
    </row>
    <row r="13" spans="1:142" s="400" customFormat="1" ht="14.4" thickBot="1">
      <c r="A13" s="511" t="s">
        <v>28</v>
      </c>
      <c r="B13" s="394"/>
      <c r="C13" s="401">
        <v>0</v>
      </c>
      <c r="D13" s="402">
        <v>0</v>
      </c>
      <c r="E13" s="403">
        <v>-1</v>
      </c>
      <c r="F13" s="404">
        <v>0</v>
      </c>
      <c r="G13" s="403">
        <v>0</v>
      </c>
      <c r="H13" s="405">
        <v>0.25</v>
      </c>
      <c r="I13" s="394"/>
      <c r="J13" s="401">
        <v>0</v>
      </c>
      <c r="K13" s="402">
        <v>0</v>
      </c>
      <c r="L13" s="403">
        <v>0</v>
      </c>
      <c r="M13" s="404">
        <v>1</v>
      </c>
      <c r="N13" s="403">
        <v>0</v>
      </c>
      <c r="O13" s="405">
        <v>0.25</v>
      </c>
      <c r="P13" s="394"/>
      <c r="Q13" s="403">
        <v>0</v>
      </c>
      <c r="R13" s="405">
        <v>0</v>
      </c>
      <c r="S13" s="403">
        <v>0</v>
      </c>
      <c r="T13" s="404">
        <v>1</v>
      </c>
      <c r="U13" s="403">
        <v>0</v>
      </c>
      <c r="V13" s="405">
        <v>0.25</v>
      </c>
      <c r="W13" s="394"/>
      <c r="X13" s="401">
        <v>-0.25</v>
      </c>
      <c r="Y13" s="404">
        <v>0</v>
      </c>
      <c r="Z13" s="403">
        <v>0</v>
      </c>
      <c r="AA13" s="404">
        <v>1</v>
      </c>
      <c r="AB13" s="403">
        <v>0</v>
      </c>
      <c r="AC13" s="405">
        <v>0.25</v>
      </c>
      <c r="AD13" s="394"/>
      <c r="AE13" s="401">
        <v>0</v>
      </c>
      <c r="AF13" s="404">
        <v>0</v>
      </c>
      <c r="AG13" s="403">
        <v>0</v>
      </c>
      <c r="AH13" s="404">
        <v>1</v>
      </c>
      <c r="AI13" s="403">
        <v>0</v>
      </c>
      <c r="AJ13" s="405">
        <v>0.25</v>
      </c>
      <c r="AK13" s="394"/>
      <c r="AL13" s="401">
        <v>0</v>
      </c>
      <c r="AM13" s="404">
        <v>0</v>
      </c>
      <c r="AN13" s="403">
        <v>0</v>
      </c>
      <c r="AO13" s="404">
        <v>0</v>
      </c>
      <c r="AP13" s="403">
        <v>0</v>
      </c>
      <c r="AQ13" s="405">
        <v>0</v>
      </c>
      <c r="AR13" s="394"/>
      <c r="AS13" s="401">
        <v>0</v>
      </c>
      <c r="AT13" s="404">
        <v>0</v>
      </c>
      <c r="AU13" s="403">
        <v>0</v>
      </c>
      <c r="AV13" s="404">
        <v>0</v>
      </c>
      <c r="AW13" s="403">
        <v>0</v>
      </c>
      <c r="AX13" s="405">
        <v>0</v>
      </c>
      <c r="AY13" s="394"/>
      <c r="AZ13" s="401">
        <v>0</v>
      </c>
      <c r="BA13" s="402">
        <v>0</v>
      </c>
      <c r="BB13" s="403">
        <v>0</v>
      </c>
      <c r="BC13" s="404">
        <v>1</v>
      </c>
      <c r="BD13" s="403">
        <v>-0.5</v>
      </c>
      <c r="BE13" s="405">
        <v>1</v>
      </c>
      <c r="BF13" s="394"/>
      <c r="BG13" s="401">
        <v>-1.1000000000000001</v>
      </c>
      <c r="BH13" s="404">
        <v>1.1000000000000001</v>
      </c>
      <c r="BI13" s="403">
        <v>0</v>
      </c>
      <c r="BJ13" s="404">
        <v>1</v>
      </c>
      <c r="BK13" s="403">
        <v>0</v>
      </c>
      <c r="BL13" s="405">
        <v>0.25</v>
      </c>
      <c r="BM13" s="394"/>
      <c r="BN13" s="397">
        <v>0</v>
      </c>
      <c r="BO13" s="533">
        <v>0</v>
      </c>
      <c r="BP13" s="397">
        <v>0</v>
      </c>
      <c r="BQ13" s="533">
        <v>0</v>
      </c>
      <c r="BR13" s="403">
        <v>0</v>
      </c>
      <c r="BS13" s="405">
        <v>0.25</v>
      </c>
      <c r="BT13" s="394"/>
      <c r="BU13" s="401"/>
      <c r="BV13" s="404"/>
      <c r="BW13" s="403"/>
      <c r="BX13" s="404"/>
      <c r="BY13" s="403"/>
      <c r="BZ13" s="405"/>
      <c r="CA13" s="394"/>
      <c r="CB13" s="401"/>
      <c r="CC13" s="404"/>
      <c r="CD13" s="403"/>
      <c r="CE13" s="404"/>
      <c r="CF13" s="403"/>
      <c r="CG13" s="405"/>
      <c r="CH13" s="394"/>
      <c r="CI13" s="401"/>
      <c r="CJ13" s="404"/>
      <c r="CK13" s="403"/>
      <c r="CL13" s="404"/>
      <c r="CM13" s="403"/>
      <c r="CN13" s="405"/>
      <c r="CO13" s="394"/>
      <c r="CP13" s="401"/>
      <c r="CQ13" s="404"/>
      <c r="CR13" s="403"/>
      <c r="CS13" s="404"/>
      <c r="CT13" s="403"/>
      <c r="CU13" s="405"/>
      <c r="CV13" s="394"/>
      <c r="CW13" s="401"/>
      <c r="CX13" s="404"/>
      <c r="CY13" s="403"/>
      <c r="CZ13" s="404"/>
      <c r="DA13" s="403"/>
      <c r="DB13" s="405"/>
      <c r="DC13" s="394"/>
      <c r="DD13" s="401"/>
      <c r="DE13" s="404"/>
      <c r="DF13" s="403"/>
      <c r="DG13" s="404"/>
      <c r="DH13" s="403"/>
      <c r="DI13" s="405"/>
      <c r="DJ13" s="394"/>
      <c r="DK13" s="401"/>
      <c r="DL13" s="404"/>
      <c r="DM13" s="403"/>
      <c r="DN13" s="404"/>
      <c r="DO13" s="403"/>
      <c r="DP13" s="405"/>
      <c r="DQ13" s="394"/>
      <c r="DR13" s="401"/>
      <c r="DS13" s="404"/>
      <c r="DT13" s="403"/>
      <c r="DU13" s="404"/>
      <c r="DV13" s="403"/>
      <c r="DW13" s="405"/>
      <c r="DX13" s="394"/>
      <c r="DY13" s="401"/>
      <c r="DZ13" s="404"/>
      <c r="EA13" s="403"/>
      <c r="EB13" s="404"/>
      <c r="EC13" s="403"/>
      <c r="ED13" s="405"/>
      <c r="EE13" s="394"/>
      <c r="EF13" s="401"/>
      <c r="EG13" s="404"/>
      <c r="EH13" s="403"/>
      <c r="EI13" s="404"/>
      <c r="EJ13" s="403"/>
      <c r="EK13" s="405"/>
      <c r="EL13" s="394"/>
    </row>
    <row r="14" spans="1:142" s="400" customFormat="1" ht="14.4" thickBot="1">
      <c r="A14" s="511" t="s">
        <v>29</v>
      </c>
      <c r="B14" s="394"/>
      <c r="C14" s="401">
        <v>0</v>
      </c>
      <c r="D14" s="402">
        <v>0</v>
      </c>
      <c r="E14" s="403">
        <v>-4.5</v>
      </c>
      <c r="F14" s="404">
        <v>0.25</v>
      </c>
      <c r="G14" s="403">
        <v>-1</v>
      </c>
      <c r="H14" s="405">
        <v>1.5</v>
      </c>
      <c r="I14" s="394"/>
      <c r="J14" s="401">
        <v>0</v>
      </c>
      <c r="K14" s="402">
        <v>0</v>
      </c>
      <c r="L14" s="403">
        <v>-1</v>
      </c>
      <c r="M14" s="404">
        <v>6.75</v>
      </c>
      <c r="N14" s="403">
        <v>-1</v>
      </c>
      <c r="O14" s="405">
        <v>1.5</v>
      </c>
      <c r="P14" s="394"/>
      <c r="Q14" s="403">
        <v>0</v>
      </c>
      <c r="R14" s="405">
        <v>0</v>
      </c>
      <c r="S14" s="403">
        <v>-1</v>
      </c>
      <c r="T14" s="404">
        <v>6.75</v>
      </c>
      <c r="U14" s="403">
        <v>-1</v>
      </c>
      <c r="V14" s="405">
        <v>1.5</v>
      </c>
      <c r="W14" s="394"/>
      <c r="X14" s="401">
        <v>0</v>
      </c>
      <c r="Y14" s="404">
        <v>0</v>
      </c>
      <c r="Z14" s="403">
        <v>-1</v>
      </c>
      <c r="AA14" s="404">
        <v>6.75</v>
      </c>
      <c r="AB14" s="403">
        <v>-1</v>
      </c>
      <c r="AC14" s="405">
        <v>1.5</v>
      </c>
      <c r="AD14" s="394"/>
      <c r="AE14" s="401">
        <v>0</v>
      </c>
      <c r="AF14" s="404">
        <v>0</v>
      </c>
      <c r="AG14" s="403">
        <v>-1</v>
      </c>
      <c r="AH14" s="404">
        <v>6.75</v>
      </c>
      <c r="AI14" s="403">
        <v>-1</v>
      </c>
      <c r="AJ14" s="405">
        <v>1.5</v>
      </c>
      <c r="AK14" s="394"/>
      <c r="AL14" s="401">
        <v>0</v>
      </c>
      <c r="AM14" s="404">
        <v>0</v>
      </c>
      <c r="AN14" s="403">
        <v>0</v>
      </c>
      <c r="AO14" s="404">
        <v>0</v>
      </c>
      <c r="AP14" s="403">
        <v>0</v>
      </c>
      <c r="AQ14" s="405">
        <v>0</v>
      </c>
      <c r="AR14" s="394"/>
      <c r="AS14" s="401">
        <v>0</v>
      </c>
      <c r="AT14" s="404">
        <v>0</v>
      </c>
      <c r="AU14" s="403">
        <v>0</v>
      </c>
      <c r="AV14" s="404">
        <v>0</v>
      </c>
      <c r="AW14" s="403">
        <v>0</v>
      </c>
      <c r="AX14" s="405">
        <v>0</v>
      </c>
      <c r="AY14" s="394"/>
      <c r="AZ14" s="401">
        <v>0</v>
      </c>
      <c r="BA14" s="402">
        <v>0</v>
      </c>
      <c r="BB14" s="403">
        <v>-1</v>
      </c>
      <c r="BC14" s="404">
        <v>6.75</v>
      </c>
      <c r="BD14" s="403">
        <v>-4</v>
      </c>
      <c r="BE14" s="405">
        <v>6</v>
      </c>
      <c r="BF14" s="394"/>
      <c r="BG14" s="401">
        <v>-2.1</v>
      </c>
      <c r="BH14" s="404">
        <v>2.1</v>
      </c>
      <c r="BI14" s="403">
        <v>-1</v>
      </c>
      <c r="BJ14" s="404">
        <v>6.75</v>
      </c>
      <c r="BK14" s="403">
        <v>-1</v>
      </c>
      <c r="BL14" s="405">
        <v>1.5</v>
      </c>
      <c r="BM14" s="394"/>
      <c r="BN14" s="397">
        <v>0</v>
      </c>
      <c r="BO14" s="533">
        <v>0</v>
      </c>
      <c r="BP14" s="397">
        <v>0</v>
      </c>
      <c r="BQ14" s="533">
        <v>0</v>
      </c>
      <c r="BR14" s="403">
        <v>-1</v>
      </c>
      <c r="BS14" s="405">
        <v>1.5</v>
      </c>
      <c r="BT14" s="394"/>
      <c r="BU14" s="401"/>
      <c r="BV14" s="404"/>
      <c r="BW14" s="403"/>
      <c r="BX14" s="404"/>
      <c r="BY14" s="403"/>
      <c r="BZ14" s="405"/>
      <c r="CA14" s="394"/>
      <c r="CB14" s="401"/>
      <c r="CC14" s="404"/>
      <c r="CD14" s="403"/>
      <c r="CE14" s="404"/>
      <c r="CF14" s="403"/>
      <c r="CG14" s="405"/>
      <c r="CH14" s="394"/>
      <c r="CI14" s="401"/>
      <c r="CJ14" s="404"/>
      <c r="CK14" s="403"/>
      <c r="CL14" s="404"/>
      <c r="CM14" s="403"/>
      <c r="CN14" s="405"/>
      <c r="CO14" s="394"/>
      <c r="CP14" s="401"/>
      <c r="CQ14" s="404"/>
      <c r="CR14" s="403"/>
      <c r="CS14" s="404"/>
      <c r="CT14" s="403"/>
      <c r="CU14" s="405"/>
      <c r="CV14" s="394"/>
      <c r="CW14" s="401"/>
      <c r="CX14" s="404"/>
      <c r="CY14" s="403"/>
      <c r="CZ14" s="404"/>
      <c r="DA14" s="403"/>
      <c r="DB14" s="405"/>
      <c r="DC14" s="394"/>
      <c r="DD14" s="401"/>
      <c r="DE14" s="404"/>
      <c r="DF14" s="403"/>
      <c r="DG14" s="404"/>
      <c r="DH14" s="403"/>
      <c r="DI14" s="405"/>
      <c r="DJ14" s="394"/>
      <c r="DK14" s="401"/>
      <c r="DL14" s="404"/>
      <c r="DM14" s="403"/>
      <c r="DN14" s="404"/>
      <c r="DO14" s="403"/>
      <c r="DP14" s="405"/>
      <c r="DQ14" s="394"/>
      <c r="DR14" s="401"/>
      <c r="DS14" s="404"/>
      <c r="DT14" s="403"/>
      <c r="DU14" s="404"/>
      <c r="DV14" s="403"/>
      <c r="DW14" s="405"/>
      <c r="DX14" s="394"/>
      <c r="DY14" s="401"/>
      <c r="DZ14" s="404"/>
      <c r="EA14" s="403"/>
      <c r="EB14" s="404"/>
      <c r="EC14" s="403"/>
      <c r="ED14" s="405"/>
      <c r="EE14" s="394"/>
      <c r="EF14" s="401"/>
      <c r="EG14" s="404"/>
      <c r="EH14" s="403"/>
      <c r="EI14" s="404"/>
      <c r="EJ14" s="403"/>
      <c r="EK14" s="405"/>
      <c r="EL14" s="394"/>
    </row>
    <row r="15" spans="1:142" s="400" customFormat="1" ht="14.4" thickBot="1">
      <c r="A15" s="511" t="s">
        <v>30</v>
      </c>
      <c r="B15" s="394"/>
      <c r="C15" s="401">
        <v>0</v>
      </c>
      <c r="D15" s="402">
        <v>0</v>
      </c>
      <c r="E15" s="403">
        <v>-15</v>
      </c>
      <c r="F15" s="404">
        <v>0.9</v>
      </c>
      <c r="G15" s="403">
        <v>-1.75</v>
      </c>
      <c r="H15" s="405">
        <v>3</v>
      </c>
      <c r="I15" s="394"/>
      <c r="J15" s="401">
        <v>0</v>
      </c>
      <c r="K15" s="402">
        <v>0</v>
      </c>
      <c r="L15" s="403">
        <v>-2</v>
      </c>
      <c r="M15" s="404">
        <v>22.2</v>
      </c>
      <c r="N15" s="403">
        <v>-1.75</v>
      </c>
      <c r="O15" s="405">
        <v>3</v>
      </c>
      <c r="P15" s="394"/>
      <c r="Q15" s="403">
        <v>0</v>
      </c>
      <c r="R15" s="405">
        <v>0</v>
      </c>
      <c r="S15" s="403">
        <v>-2</v>
      </c>
      <c r="T15" s="404">
        <v>22.2</v>
      </c>
      <c r="U15" s="403">
        <v>-1.75</v>
      </c>
      <c r="V15" s="405">
        <v>3</v>
      </c>
      <c r="W15" s="394"/>
      <c r="X15" s="401">
        <v>-2</v>
      </c>
      <c r="Y15" s="404">
        <v>3</v>
      </c>
      <c r="Z15" s="403">
        <v>-2</v>
      </c>
      <c r="AA15" s="404">
        <v>22.2</v>
      </c>
      <c r="AB15" s="403">
        <v>-1.75</v>
      </c>
      <c r="AC15" s="405">
        <v>3</v>
      </c>
      <c r="AD15" s="394"/>
      <c r="AE15" s="401">
        <v>0</v>
      </c>
      <c r="AF15" s="404">
        <v>0</v>
      </c>
      <c r="AG15" s="403">
        <v>-2</v>
      </c>
      <c r="AH15" s="404">
        <v>22.2</v>
      </c>
      <c r="AI15" s="403">
        <v>-1.75</v>
      </c>
      <c r="AJ15" s="405">
        <v>3</v>
      </c>
      <c r="AK15" s="394"/>
      <c r="AL15" s="401">
        <v>0</v>
      </c>
      <c r="AM15" s="404">
        <v>0</v>
      </c>
      <c r="AN15" s="403">
        <v>0</v>
      </c>
      <c r="AO15" s="404">
        <v>5</v>
      </c>
      <c r="AP15" s="403">
        <v>0</v>
      </c>
      <c r="AQ15" s="405">
        <v>3</v>
      </c>
      <c r="AR15" s="394"/>
      <c r="AS15" s="401">
        <v>0</v>
      </c>
      <c r="AT15" s="404">
        <v>0</v>
      </c>
      <c r="AU15" s="403">
        <v>0</v>
      </c>
      <c r="AV15" s="404">
        <v>0</v>
      </c>
      <c r="AW15" s="403">
        <v>0</v>
      </c>
      <c r="AX15" s="405">
        <v>0</v>
      </c>
      <c r="AY15" s="394"/>
      <c r="AZ15" s="401">
        <v>0</v>
      </c>
      <c r="BA15" s="402">
        <v>0</v>
      </c>
      <c r="BB15" s="403">
        <v>-2</v>
      </c>
      <c r="BC15" s="404">
        <v>22.2</v>
      </c>
      <c r="BD15" s="403">
        <v>-10</v>
      </c>
      <c r="BE15" s="405">
        <v>15</v>
      </c>
      <c r="BF15" s="394"/>
      <c r="BG15" s="401">
        <v>-4.5999999999999996</v>
      </c>
      <c r="BH15" s="404">
        <v>4.5999999999999996</v>
      </c>
      <c r="BI15" s="403">
        <v>-2</v>
      </c>
      <c r="BJ15" s="404">
        <v>22.2</v>
      </c>
      <c r="BK15" s="403">
        <v>-2</v>
      </c>
      <c r="BL15" s="405">
        <v>3.25</v>
      </c>
      <c r="BM15" s="394"/>
      <c r="BN15" s="397">
        <v>-8.1499592502037491E-2</v>
      </c>
      <c r="BO15" s="534">
        <v>0.56360708534621573</v>
      </c>
      <c r="BP15" s="397">
        <v>-8.1499592502037491E-2</v>
      </c>
      <c r="BQ15" s="534">
        <v>0.56360708534621573</v>
      </c>
      <c r="BR15" s="403">
        <v>-1.75</v>
      </c>
      <c r="BS15" s="405">
        <v>3</v>
      </c>
      <c r="BT15" s="394"/>
      <c r="BU15" s="401"/>
      <c r="BV15" s="404"/>
      <c r="BW15" s="403"/>
      <c r="BX15" s="404"/>
      <c r="BY15" s="403"/>
      <c r="BZ15" s="405"/>
      <c r="CA15" s="394"/>
      <c r="CB15" s="401"/>
      <c r="CC15" s="404"/>
      <c r="CD15" s="403"/>
      <c r="CE15" s="404"/>
      <c r="CF15" s="403"/>
      <c r="CG15" s="405"/>
      <c r="CH15" s="394"/>
      <c r="CI15" s="401"/>
      <c r="CJ15" s="404"/>
      <c r="CK15" s="403"/>
      <c r="CL15" s="404"/>
      <c r="CM15" s="403"/>
      <c r="CN15" s="405"/>
      <c r="CO15" s="394"/>
      <c r="CP15" s="401"/>
      <c r="CQ15" s="404"/>
      <c r="CR15" s="403"/>
      <c r="CS15" s="404"/>
      <c r="CT15" s="403"/>
      <c r="CU15" s="405"/>
      <c r="CV15" s="394"/>
      <c r="CW15" s="401"/>
      <c r="CX15" s="404"/>
      <c r="CY15" s="403"/>
      <c r="CZ15" s="404"/>
      <c r="DA15" s="403"/>
      <c r="DB15" s="405"/>
      <c r="DC15" s="394"/>
      <c r="DD15" s="401"/>
      <c r="DE15" s="404"/>
      <c r="DF15" s="403"/>
      <c r="DG15" s="404"/>
      <c r="DH15" s="403"/>
      <c r="DI15" s="405"/>
      <c r="DJ15" s="394"/>
      <c r="DK15" s="401"/>
      <c r="DL15" s="404"/>
      <c r="DM15" s="403"/>
      <c r="DN15" s="404"/>
      <c r="DO15" s="403"/>
      <c r="DP15" s="405"/>
      <c r="DQ15" s="394"/>
      <c r="DR15" s="401"/>
      <c r="DS15" s="404"/>
      <c r="DT15" s="403"/>
      <c r="DU15" s="404"/>
      <c r="DV15" s="403"/>
      <c r="DW15" s="405"/>
      <c r="DX15" s="394"/>
      <c r="DY15" s="401"/>
      <c r="DZ15" s="404"/>
      <c r="EA15" s="403"/>
      <c r="EB15" s="404"/>
      <c r="EC15" s="403"/>
      <c r="ED15" s="405"/>
      <c r="EE15" s="394"/>
      <c r="EF15" s="401"/>
      <c r="EG15" s="404"/>
      <c r="EH15" s="403"/>
      <c r="EI15" s="404"/>
      <c r="EJ15" s="403"/>
      <c r="EK15" s="405"/>
      <c r="EL15" s="394"/>
    </row>
    <row r="16" spans="1:142" s="400" customFormat="1" ht="14.4" thickBot="1">
      <c r="A16" s="511" t="s">
        <v>31</v>
      </c>
      <c r="B16" s="394"/>
      <c r="C16" s="401">
        <v>-0.64</v>
      </c>
      <c r="D16" s="402">
        <v>0.98</v>
      </c>
      <c r="E16" s="403">
        <v>-14</v>
      </c>
      <c r="F16" s="404">
        <v>2</v>
      </c>
      <c r="G16" s="403">
        <v>-4.75</v>
      </c>
      <c r="H16" s="405">
        <v>8</v>
      </c>
      <c r="I16" s="394"/>
      <c r="J16" s="401">
        <v>-0.64</v>
      </c>
      <c r="K16" s="402">
        <v>0.98</v>
      </c>
      <c r="L16" s="403">
        <v>-4.5</v>
      </c>
      <c r="M16" s="404">
        <v>28.7</v>
      </c>
      <c r="N16" s="403">
        <v>-4.75</v>
      </c>
      <c r="O16" s="405">
        <v>8</v>
      </c>
      <c r="P16" s="394"/>
      <c r="Q16" s="403">
        <v>0</v>
      </c>
      <c r="R16" s="405">
        <v>2.7</v>
      </c>
      <c r="S16" s="403">
        <v>-4.5</v>
      </c>
      <c r="T16" s="404">
        <v>28.7</v>
      </c>
      <c r="U16" s="403">
        <v>-4.75</v>
      </c>
      <c r="V16" s="405">
        <v>8</v>
      </c>
      <c r="W16" s="394"/>
      <c r="X16" s="401">
        <v>-3</v>
      </c>
      <c r="Y16" s="404">
        <v>3.25</v>
      </c>
      <c r="Z16" s="403">
        <v>-4.5</v>
      </c>
      <c r="AA16" s="404">
        <v>28.7</v>
      </c>
      <c r="AB16" s="403">
        <v>-4.75</v>
      </c>
      <c r="AC16" s="405">
        <v>8</v>
      </c>
      <c r="AD16" s="394"/>
      <c r="AE16" s="401">
        <v>0</v>
      </c>
      <c r="AF16" s="404">
        <v>0</v>
      </c>
      <c r="AG16" s="403">
        <v>-4.5</v>
      </c>
      <c r="AH16" s="404">
        <v>28.7</v>
      </c>
      <c r="AI16" s="403">
        <v>-4.75</v>
      </c>
      <c r="AJ16" s="405">
        <v>8</v>
      </c>
      <c r="AK16" s="394"/>
      <c r="AL16" s="401">
        <v>0</v>
      </c>
      <c r="AM16" s="404">
        <v>0</v>
      </c>
      <c r="AN16" s="403">
        <v>-2.75</v>
      </c>
      <c r="AO16" s="404">
        <v>10</v>
      </c>
      <c r="AP16" s="403">
        <v>-4.75</v>
      </c>
      <c r="AQ16" s="405">
        <v>8</v>
      </c>
      <c r="AR16" s="394"/>
      <c r="AS16" s="401">
        <v>0</v>
      </c>
      <c r="AT16" s="404">
        <v>0</v>
      </c>
      <c r="AU16" s="403">
        <v>0</v>
      </c>
      <c r="AV16" s="404">
        <v>3</v>
      </c>
      <c r="AW16" s="403">
        <v>0</v>
      </c>
      <c r="AX16" s="405">
        <v>4</v>
      </c>
      <c r="AY16" s="394"/>
      <c r="AZ16" s="401">
        <v>-0.64</v>
      </c>
      <c r="BA16" s="402">
        <v>0.98</v>
      </c>
      <c r="BB16" s="403">
        <v>-4.5</v>
      </c>
      <c r="BC16" s="404">
        <v>28.7</v>
      </c>
      <c r="BD16" s="403">
        <v>-20</v>
      </c>
      <c r="BE16" s="405">
        <v>25</v>
      </c>
      <c r="BF16" s="394"/>
      <c r="BG16" s="401">
        <v>-3.9</v>
      </c>
      <c r="BH16" s="404">
        <v>3.9</v>
      </c>
      <c r="BI16" s="403">
        <v>-4.5</v>
      </c>
      <c r="BJ16" s="404">
        <v>28.7</v>
      </c>
      <c r="BK16" s="403">
        <v>-4.75</v>
      </c>
      <c r="BL16" s="405">
        <v>8</v>
      </c>
      <c r="BM16" s="394"/>
      <c r="BN16" s="397">
        <v>-0.24449877750611246</v>
      </c>
      <c r="BO16" s="534">
        <v>2.0933977455716586</v>
      </c>
      <c r="BP16" s="397">
        <v>-0.24449877750611246</v>
      </c>
      <c r="BQ16" s="534">
        <v>2.0933977455716586</v>
      </c>
      <c r="BR16" s="403">
        <v>-4.75</v>
      </c>
      <c r="BS16" s="405">
        <v>8</v>
      </c>
      <c r="BT16" s="394"/>
      <c r="BU16" s="401"/>
      <c r="BV16" s="404"/>
      <c r="BW16" s="403"/>
      <c r="BX16" s="404"/>
      <c r="BY16" s="403"/>
      <c r="BZ16" s="405"/>
      <c r="CA16" s="394"/>
      <c r="CB16" s="401"/>
      <c r="CC16" s="404"/>
      <c r="CD16" s="403"/>
      <c r="CE16" s="404"/>
      <c r="CF16" s="403"/>
      <c r="CG16" s="405"/>
      <c r="CH16" s="394"/>
      <c r="CI16" s="401"/>
      <c r="CJ16" s="404"/>
      <c r="CK16" s="403"/>
      <c r="CL16" s="404"/>
      <c r="CM16" s="403"/>
      <c r="CN16" s="405"/>
      <c r="CO16" s="394"/>
      <c r="CP16" s="401"/>
      <c r="CQ16" s="404"/>
      <c r="CR16" s="403"/>
      <c r="CS16" s="404"/>
      <c r="CT16" s="403"/>
      <c r="CU16" s="405"/>
      <c r="CV16" s="394"/>
      <c r="CW16" s="401"/>
      <c r="CX16" s="404"/>
      <c r="CY16" s="403"/>
      <c r="CZ16" s="404"/>
      <c r="DA16" s="403"/>
      <c r="DB16" s="405"/>
      <c r="DC16" s="394"/>
      <c r="DD16" s="401"/>
      <c r="DE16" s="404"/>
      <c r="DF16" s="403"/>
      <c r="DG16" s="404"/>
      <c r="DH16" s="403"/>
      <c r="DI16" s="405"/>
      <c r="DJ16" s="394"/>
      <c r="DK16" s="401"/>
      <c r="DL16" s="404"/>
      <c r="DM16" s="403"/>
      <c r="DN16" s="404"/>
      <c r="DO16" s="403"/>
      <c r="DP16" s="405"/>
      <c r="DQ16" s="394"/>
      <c r="DR16" s="401"/>
      <c r="DS16" s="404"/>
      <c r="DT16" s="403"/>
      <c r="DU16" s="404"/>
      <c r="DV16" s="403"/>
      <c r="DW16" s="405"/>
      <c r="DX16" s="394"/>
      <c r="DY16" s="401"/>
      <c r="DZ16" s="404"/>
      <c r="EA16" s="403"/>
      <c r="EB16" s="404"/>
      <c r="EC16" s="403"/>
      <c r="ED16" s="405"/>
      <c r="EE16" s="394"/>
      <c r="EF16" s="401"/>
      <c r="EG16" s="404"/>
      <c r="EH16" s="403"/>
      <c r="EI16" s="404"/>
      <c r="EJ16" s="403"/>
      <c r="EK16" s="405"/>
      <c r="EL16" s="394"/>
    </row>
    <row r="17" spans="1:142" s="400" customFormat="1" ht="14.4" thickBot="1">
      <c r="A17" s="511" t="s">
        <v>32</v>
      </c>
      <c r="B17" s="394"/>
      <c r="C17" s="401">
        <v>-2.89</v>
      </c>
      <c r="D17" s="402">
        <v>5.73</v>
      </c>
      <c r="E17" s="403">
        <v>-8</v>
      </c>
      <c r="F17" s="404">
        <v>2.5</v>
      </c>
      <c r="G17" s="403">
        <v>-6.5</v>
      </c>
      <c r="H17" s="405">
        <v>10.4</v>
      </c>
      <c r="I17" s="394"/>
      <c r="J17" s="401">
        <v>-2.89</v>
      </c>
      <c r="K17" s="402">
        <v>5.73</v>
      </c>
      <c r="L17" s="403">
        <v>-5.25</v>
      </c>
      <c r="M17" s="404">
        <v>8.75</v>
      </c>
      <c r="N17" s="403">
        <v>-6.5</v>
      </c>
      <c r="O17" s="405">
        <v>10.4</v>
      </c>
      <c r="P17" s="394"/>
      <c r="Q17" s="403">
        <v>-3.5</v>
      </c>
      <c r="R17" s="405">
        <v>5.05</v>
      </c>
      <c r="S17" s="403">
        <v>-5.25</v>
      </c>
      <c r="T17" s="404">
        <v>8.75</v>
      </c>
      <c r="U17" s="403">
        <v>-6.5</v>
      </c>
      <c r="V17" s="405">
        <v>10.4</v>
      </c>
      <c r="W17" s="394"/>
      <c r="X17" s="401">
        <v>-3.5</v>
      </c>
      <c r="Y17" s="404">
        <v>1.5</v>
      </c>
      <c r="Z17" s="403">
        <v>-5.25</v>
      </c>
      <c r="AA17" s="404">
        <v>8.75</v>
      </c>
      <c r="AB17" s="403">
        <v>-6.5</v>
      </c>
      <c r="AC17" s="405">
        <v>10.4</v>
      </c>
      <c r="AD17" s="394"/>
      <c r="AE17" s="401">
        <v>0</v>
      </c>
      <c r="AF17" s="404">
        <v>13.86</v>
      </c>
      <c r="AG17" s="403">
        <v>-5.25</v>
      </c>
      <c r="AH17" s="404">
        <v>8.75</v>
      </c>
      <c r="AI17" s="403">
        <v>-6.5</v>
      </c>
      <c r="AJ17" s="405">
        <v>10.4</v>
      </c>
      <c r="AK17" s="394"/>
      <c r="AL17" s="401">
        <v>0</v>
      </c>
      <c r="AM17" s="404">
        <v>0</v>
      </c>
      <c r="AN17" s="403">
        <v>-5.25</v>
      </c>
      <c r="AO17" s="404">
        <v>21.7</v>
      </c>
      <c r="AP17" s="403">
        <v>-7</v>
      </c>
      <c r="AQ17" s="405">
        <v>10.4</v>
      </c>
      <c r="AR17" s="394"/>
      <c r="AS17" s="401">
        <v>0</v>
      </c>
      <c r="AT17" s="404">
        <v>0</v>
      </c>
      <c r="AU17" s="403">
        <v>0</v>
      </c>
      <c r="AV17" s="404">
        <v>6</v>
      </c>
      <c r="AW17" s="403">
        <v>-6.5</v>
      </c>
      <c r="AX17" s="405">
        <v>13</v>
      </c>
      <c r="AY17" s="394"/>
      <c r="AZ17" s="401">
        <v>-2.89</v>
      </c>
      <c r="BA17" s="402">
        <v>5.73</v>
      </c>
      <c r="BB17" s="403">
        <v>-5.25</v>
      </c>
      <c r="BC17" s="404">
        <v>8.75</v>
      </c>
      <c r="BD17" s="403">
        <v>-15</v>
      </c>
      <c r="BE17" s="405">
        <v>15</v>
      </c>
      <c r="BF17" s="394"/>
      <c r="BG17" s="401">
        <v>-5.3</v>
      </c>
      <c r="BH17" s="404">
        <v>5.3</v>
      </c>
      <c r="BI17" s="403">
        <v>-5.25</v>
      </c>
      <c r="BJ17" s="404">
        <v>8.75</v>
      </c>
      <c r="BK17" s="403">
        <v>-6.5</v>
      </c>
      <c r="BL17" s="405">
        <v>10.4</v>
      </c>
      <c r="BM17" s="394"/>
      <c r="BN17" s="397">
        <v>-0.40749796251018744</v>
      </c>
      <c r="BO17" s="534">
        <v>6.1191626409017719</v>
      </c>
      <c r="BP17" s="397">
        <v>-0.40749796251018744</v>
      </c>
      <c r="BQ17" s="534">
        <v>6.1191626409017719</v>
      </c>
      <c r="BR17" s="403">
        <v>-6.5</v>
      </c>
      <c r="BS17" s="405">
        <v>10.4</v>
      </c>
      <c r="BT17" s="394"/>
      <c r="BU17" s="401"/>
      <c r="BV17" s="404"/>
      <c r="BW17" s="403"/>
      <c r="BX17" s="404"/>
      <c r="BY17" s="403"/>
      <c r="BZ17" s="405"/>
      <c r="CA17" s="394"/>
      <c r="CB17" s="401"/>
      <c r="CC17" s="404"/>
      <c r="CD17" s="403"/>
      <c r="CE17" s="404"/>
      <c r="CF17" s="403"/>
      <c r="CG17" s="405"/>
      <c r="CH17" s="394"/>
      <c r="CI17" s="401"/>
      <c r="CJ17" s="404"/>
      <c r="CK17" s="403"/>
      <c r="CL17" s="404"/>
      <c r="CM17" s="403"/>
      <c r="CN17" s="405"/>
      <c r="CO17" s="394"/>
      <c r="CP17" s="401"/>
      <c r="CQ17" s="404"/>
      <c r="CR17" s="403"/>
      <c r="CS17" s="404"/>
      <c r="CT17" s="403"/>
      <c r="CU17" s="405"/>
      <c r="CV17" s="394"/>
      <c r="CW17" s="401"/>
      <c r="CX17" s="404"/>
      <c r="CY17" s="403"/>
      <c r="CZ17" s="404"/>
      <c r="DA17" s="403"/>
      <c r="DB17" s="405"/>
      <c r="DC17" s="394"/>
      <c r="DD17" s="401"/>
      <c r="DE17" s="404"/>
      <c r="DF17" s="403"/>
      <c r="DG17" s="404"/>
      <c r="DH17" s="403"/>
      <c r="DI17" s="405"/>
      <c r="DJ17" s="394"/>
      <c r="DK17" s="401"/>
      <c r="DL17" s="404"/>
      <c r="DM17" s="403"/>
      <c r="DN17" s="404"/>
      <c r="DO17" s="403"/>
      <c r="DP17" s="405"/>
      <c r="DQ17" s="394"/>
      <c r="DR17" s="401"/>
      <c r="DS17" s="404"/>
      <c r="DT17" s="403"/>
      <c r="DU17" s="404"/>
      <c r="DV17" s="403"/>
      <c r="DW17" s="405"/>
      <c r="DX17" s="394"/>
      <c r="DY17" s="401"/>
      <c r="DZ17" s="404"/>
      <c r="EA17" s="403"/>
      <c r="EB17" s="404"/>
      <c r="EC17" s="403"/>
      <c r="ED17" s="405"/>
      <c r="EE17" s="394"/>
      <c r="EF17" s="401"/>
      <c r="EG17" s="404"/>
      <c r="EH17" s="403"/>
      <c r="EI17" s="404"/>
      <c r="EJ17" s="403"/>
      <c r="EK17" s="405"/>
      <c r="EL17" s="394"/>
    </row>
    <row r="18" spans="1:142" s="400" customFormat="1" ht="14.4" thickBot="1">
      <c r="A18" s="511" t="s">
        <v>33</v>
      </c>
      <c r="B18" s="394"/>
      <c r="C18" s="401">
        <v>-8.5500000000000007</v>
      </c>
      <c r="D18" s="402">
        <v>8.7799999999999994</v>
      </c>
      <c r="E18" s="403">
        <v>-5.25</v>
      </c>
      <c r="F18" s="404">
        <v>2.75</v>
      </c>
      <c r="G18" s="403">
        <v>-8.25</v>
      </c>
      <c r="H18" s="405">
        <v>8.75</v>
      </c>
      <c r="I18" s="394"/>
      <c r="J18" s="401">
        <v>-8.5500000000000007</v>
      </c>
      <c r="K18" s="402">
        <v>8.7799999999999994</v>
      </c>
      <c r="L18" s="403">
        <v>-3.5</v>
      </c>
      <c r="M18" s="404">
        <v>1.75</v>
      </c>
      <c r="N18" s="403">
        <v>-8.25</v>
      </c>
      <c r="O18" s="405">
        <v>8.75</v>
      </c>
      <c r="P18" s="394"/>
      <c r="Q18" s="403">
        <v>-5.4</v>
      </c>
      <c r="R18" s="405">
        <v>8.65</v>
      </c>
      <c r="S18" s="403">
        <v>-3.5</v>
      </c>
      <c r="T18" s="404">
        <v>1.75</v>
      </c>
      <c r="U18" s="403">
        <v>-8.25</v>
      </c>
      <c r="V18" s="405">
        <v>8.75</v>
      </c>
      <c r="W18" s="394"/>
      <c r="X18" s="401">
        <v>-1.75</v>
      </c>
      <c r="Y18" s="404">
        <v>2</v>
      </c>
      <c r="Z18" s="403">
        <v>-3.5</v>
      </c>
      <c r="AA18" s="404">
        <v>1.75</v>
      </c>
      <c r="AB18" s="403">
        <v>-8.25</v>
      </c>
      <c r="AC18" s="405">
        <v>8.75</v>
      </c>
      <c r="AD18" s="394"/>
      <c r="AE18" s="401">
        <v>-6.16</v>
      </c>
      <c r="AF18" s="404">
        <v>12.55</v>
      </c>
      <c r="AG18" s="403">
        <v>-3.5</v>
      </c>
      <c r="AH18" s="404">
        <v>1.75</v>
      </c>
      <c r="AI18" s="403">
        <v>-8.25</v>
      </c>
      <c r="AJ18" s="405">
        <v>8.75</v>
      </c>
      <c r="AK18" s="394"/>
      <c r="AL18" s="401">
        <v>-2.2000000000000002</v>
      </c>
      <c r="AM18" s="404">
        <v>12.06</v>
      </c>
      <c r="AN18" s="403">
        <v>-3.5</v>
      </c>
      <c r="AO18" s="404">
        <v>11.15</v>
      </c>
      <c r="AP18" s="403">
        <v>-8.25</v>
      </c>
      <c r="AQ18" s="405">
        <v>9.25</v>
      </c>
      <c r="AR18" s="394"/>
      <c r="AS18" s="401">
        <v>0</v>
      </c>
      <c r="AT18" s="404">
        <v>0</v>
      </c>
      <c r="AU18" s="403">
        <v>0</v>
      </c>
      <c r="AV18" s="404">
        <v>12</v>
      </c>
      <c r="AW18" s="403">
        <v>-8.25</v>
      </c>
      <c r="AX18" s="405">
        <v>10.5</v>
      </c>
      <c r="AY18" s="394"/>
      <c r="AZ18" s="401">
        <v>-8.5500000000000007</v>
      </c>
      <c r="BA18" s="402">
        <v>8.7799999999999994</v>
      </c>
      <c r="BB18" s="403">
        <v>-3.5</v>
      </c>
      <c r="BC18" s="404">
        <v>1.75</v>
      </c>
      <c r="BD18" s="403">
        <v>-10</v>
      </c>
      <c r="BE18" s="405">
        <v>5</v>
      </c>
      <c r="BF18" s="394"/>
      <c r="BG18" s="401">
        <v>-4.0999999999999996</v>
      </c>
      <c r="BH18" s="404">
        <v>4.0999999999999996</v>
      </c>
      <c r="BI18" s="403">
        <v>-3.5</v>
      </c>
      <c r="BJ18" s="404">
        <v>1.75</v>
      </c>
      <c r="BK18" s="403">
        <v>-8.25</v>
      </c>
      <c r="BL18" s="405">
        <v>8.75</v>
      </c>
      <c r="BM18" s="394"/>
      <c r="BN18" s="397">
        <v>-4.0749796251018742</v>
      </c>
      <c r="BO18" s="534">
        <v>11.674718196457327</v>
      </c>
      <c r="BP18" s="397">
        <v>-4.0749796251018742</v>
      </c>
      <c r="BQ18" s="534">
        <v>11.674718196457327</v>
      </c>
      <c r="BR18" s="403">
        <v>-8.25</v>
      </c>
      <c r="BS18" s="405">
        <v>8.75</v>
      </c>
      <c r="BT18" s="394"/>
      <c r="BU18" s="401"/>
      <c r="BV18" s="404"/>
      <c r="BW18" s="403"/>
      <c r="BX18" s="404"/>
      <c r="BY18" s="403"/>
      <c r="BZ18" s="405"/>
      <c r="CA18" s="394"/>
      <c r="CB18" s="401"/>
      <c r="CC18" s="404"/>
      <c r="CD18" s="403"/>
      <c r="CE18" s="404"/>
      <c r="CF18" s="403"/>
      <c r="CG18" s="405"/>
      <c r="CH18" s="394"/>
      <c r="CI18" s="401"/>
      <c r="CJ18" s="404"/>
      <c r="CK18" s="403"/>
      <c r="CL18" s="404"/>
      <c r="CM18" s="403"/>
      <c r="CN18" s="405"/>
      <c r="CO18" s="394"/>
      <c r="CP18" s="401"/>
      <c r="CQ18" s="404"/>
      <c r="CR18" s="403"/>
      <c r="CS18" s="404"/>
      <c r="CT18" s="403"/>
      <c r="CU18" s="405"/>
      <c r="CV18" s="394"/>
      <c r="CW18" s="401"/>
      <c r="CX18" s="404"/>
      <c r="CY18" s="403"/>
      <c r="CZ18" s="404"/>
      <c r="DA18" s="403"/>
      <c r="DB18" s="405"/>
      <c r="DC18" s="394"/>
      <c r="DD18" s="401"/>
      <c r="DE18" s="404"/>
      <c r="DF18" s="403"/>
      <c r="DG18" s="404"/>
      <c r="DH18" s="403"/>
      <c r="DI18" s="405"/>
      <c r="DJ18" s="394"/>
      <c r="DK18" s="401"/>
      <c r="DL18" s="404"/>
      <c r="DM18" s="403"/>
      <c r="DN18" s="404"/>
      <c r="DO18" s="403"/>
      <c r="DP18" s="405"/>
      <c r="DQ18" s="394"/>
      <c r="DR18" s="401"/>
      <c r="DS18" s="404"/>
      <c r="DT18" s="403"/>
      <c r="DU18" s="404"/>
      <c r="DV18" s="403"/>
      <c r="DW18" s="405"/>
      <c r="DX18" s="394"/>
      <c r="DY18" s="401"/>
      <c r="DZ18" s="404"/>
      <c r="EA18" s="403"/>
      <c r="EB18" s="404"/>
      <c r="EC18" s="403"/>
      <c r="ED18" s="405"/>
      <c r="EE18" s="394"/>
      <c r="EF18" s="401"/>
      <c r="EG18" s="404"/>
      <c r="EH18" s="403"/>
      <c r="EI18" s="404"/>
      <c r="EJ18" s="403"/>
      <c r="EK18" s="405"/>
      <c r="EL18" s="394"/>
    </row>
    <row r="19" spans="1:142" s="400" customFormat="1" ht="14.4" thickBot="1">
      <c r="A19" s="511" t="s">
        <v>34</v>
      </c>
      <c r="B19" s="394"/>
      <c r="C19" s="401">
        <v>-9.31</v>
      </c>
      <c r="D19" s="402">
        <v>11.46</v>
      </c>
      <c r="E19" s="403">
        <v>-4.25</v>
      </c>
      <c r="F19" s="404">
        <v>3.5</v>
      </c>
      <c r="G19" s="403">
        <v>-9</v>
      </c>
      <c r="H19" s="405">
        <v>10.25</v>
      </c>
      <c r="I19" s="394"/>
      <c r="J19" s="401">
        <v>-9.31</v>
      </c>
      <c r="K19" s="402">
        <v>11.46</v>
      </c>
      <c r="L19" s="403">
        <v>-3.25</v>
      </c>
      <c r="M19" s="404">
        <v>1</v>
      </c>
      <c r="N19" s="403">
        <v>-9</v>
      </c>
      <c r="O19" s="405">
        <v>10.25</v>
      </c>
      <c r="P19" s="394"/>
      <c r="Q19" s="403">
        <v>-7.6</v>
      </c>
      <c r="R19" s="405">
        <v>8.75</v>
      </c>
      <c r="S19" s="403">
        <v>-3.25</v>
      </c>
      <c r="T19" s="404">
        <v>1</v>
      </c>
      <c r="U19" s="403">
        <v>-9</v>
      </c>
      <c r="V19" s="405">
        <v>10.25</v>
      </c>
      <c r="W19" s="394"/>
      <c r="X19" s="401">
        <v>-1.25</v>
      </c>
      <c r="Y19" s="404">
        <v>2.25</v>
      </c>
      <c r="Z19" s="403">
        <v>-3.25</v>
      </c>
      <c r="AA19" s="404">
        <v>1</v>
      </c>
      <c r="AB19" s="403">
        <v>-9</v>
      </c>
      <c r="AC19" s="405">
        <v>10.25</v>
      </c>
      <c r="AD19" s="394"/>
      <c r="AE19" s="401">
        <v>-11.66</v>
      </c>
      <c r="AF19" s="404">
        <v>11.99</v>
      </c>
      <c r="AG19" s="403">
        <v>-3.25</v>
      </c>
      <c r="AH19" s="404">
        <v>1</v>
      </c>
      <c r="AI19" s="403">
        <v>-9</v>
      </c>
      <c r="AJ19" s="405">
        <v>10.25</v>
      </c>
      <c r="AK19" s="394"/>
      <c r="AL19" s="401">
        <v>-2.09</v>
      </c>
      <c r="AM19" s="404">
        <v>5.57</v>
      </c>
      <c r="AN19" s="403">
        <v>-3.25</v>
      </c>
      <c r="AO19" s="404">
        <v>5.2</v>
      </c>
      <c r="AP19" s="403">
        <v>-9.25</v>
      </c>
      <c r="AQ19" s="405">
        <v>10.5</v>
      </c>
      <c r="AR19" s="394"/>
      <c r="AS19" s="401">
        <v>0</v>
      </c>
      <c r="AT19" s="404">
        <v>0</v>
      </c>
      <c r="AU19" s="403">
        <v>-3</v>
      </c>
      <c r="AV19" s="404">
        <v>10</v>
      </c>
      <c r="AW19" s="403">
        <v>-10</v>
      </c>
      <c r="AX19" s="405">
        <v>11</v>
      </c>
      <c r="AY19" s="394"/>
      <c r="AZ19" s="401">
        <v>-9.31</v>
      </c>
      <c r="BA19" s="402">
        <v>11.46</v>
      </c>
      <c r="BB19" s="403">
        <v>-3.25</v>
      </c>
      <c r="BC19" s="404">
        <v>1</v>
      </c>
      <c r="BD19" s="403">
        <v>-8</v>
      </c>
      <c r="BE19" s="405">
        <v>2</v>
      </c>
      <c r="BF19" s="394"/>
      <c r="BG19" s="401">
        <v>-5.9</v>
      </c>
      <c r="BH19" s="404">
        <v>5.9</v>
      </c>
      <c r="BI19" s="403">
        <v>-3.25</v>
      </c>
      <c r="BJ19" s="404">
        <v>1</v>
      </c>
      <c r="BK19" s="403">
        <v>-9</v>
      </c>
      <c r="BL19" s="405">
        <v>10.25</v>
      </c>
      <c r="BM19" s="394"/>
      <c r="BN19" s="397">
        <v>-10.513447432762836</v>
      </c>
      <c r="BO19" s="534">
        <v>15.539452495974235</v>
      </c>
      <c r="BP19" s="397">
        <v>-10.513447432762836</v>
      </c>
      <c r="BQ19" s="534">
        <v>15.539452495974235</v>
      </c>
      <c r="BR19" s="403">
        <v>-9</v>
      </c>
      <c r="BS19" s="405">
        <v>10.25</v>
      </c>
      <c r="BT19" s="394"/>
      <c r="BU19" s="401"/>
      <c r="BV19" s="404"/>
      <c r="BW19" s="403"/>
      <c r="BX19" s="404"/>
      <c r="BY19" s="403"/>
      <c r="BZ19" s="405"/>
      <c r="CA19" s="394"/>
      <c r="CB19" s="401"/>
      <c r="CC19" s="404"/>
      <c r="CD19" s="403"/>
      <c r="CE19" s="404"/>
      <c r="CF19" s="403"/>
      <c r="CG19" s="405"/>
      <c r="CH19" s="394"/>
      <c r="CI19" s="401"/>
      <c r="CJ19" s="404"/>
      <c r="CK19" s="403"/>
      <c r="CL19" s="404"/>
      <c r="CM19" s="403"/>
      <c r="CN19" s="405"/>
      <c r="CO19" s="394"/>
      <c r="CP19" s="401"/>
      <c r="CQ19" s="404"/>
      <c r="CR19" s="403"/>
      <c r="CS19" s="404"/>
      <c r="CT19" s="403"/>
      <c r="CU19" s="405"/>
      <c r="CV19" s="394"/>
      <c r="CW19" s="401"/>
      <c r="CX19" s="404"/>
      <c r="CY19" s="403"/>
      <c r="CZ19" s="404"/>
      <c r="DA19" s="403"/>
      <c r="DB19" s="405"/>
      <c r="DC19" s="394"/>
      <c r="DD19" s="401"/>
      <c r="DE19" s="404"/>
      <c r="DF19" s="403"/>
      <c r="DG19" s="404"/>
      <c r="DH19" s="403"/>
      <c r="DI19" s="405"/>
      <c r="DJ19" s="394"/>
      <c r="DK19" s="401"/>
      <c r="DL19" s="404"/>
      <c r="DM19" s="403"/>
      <c r="DN19" s="404"/>
      <c r="DO19" s="403"/>
      <c r="DP19" s="405"/>
      <c r="DQ19" s="394"/>
      <c r="DR19" s="401"/>
      <c r="DS19" s="404"/>
      <c r="DT19" s="403"/>
      <c r="DU19" s="404"/>
      <c r="DV19" s="403"/>
      <c r="DW19" s="405"/>
      <c r="DX19" s="394"/>
      <c r="DY19" s="401"/>
      <c r="DZ19" s="404"/>
      <c r="EA19" s="403"/>
      <c r="EB19" s="404"/>
      <c r="EC19" s="403"/>
      <c r="ED19" s="405"/>
      <c r="EE19" s="394"/>
      <c r="EF19" s="401"/>
      <c r="EG19" s="404"/>
      <c r="EH19" s="403"/>
      <c r="EI19" s="404"/>
      <c r="EJ19" s="403"/>
      <c r="EK19" s="405"/>
      <c r="EL19" s="394"/>
    </row>
    <row r="20" spans="1:142" s="400" customFormat="1" ht="14.4" thickBot="1">
      <c r="A20" s="511" t="s">
        <v>35</v>
      </c>
      <c r="B20" s="394"/>
      <c r="C20" s="401">
        <v>-10.94</v>
      </c>
      <c r="D20" s="402">
        <v>9.15</v>
      </c>
      <c r="E20" s="403">
        <v>-3</v>
      </c>
      <c r="F20" s="404">
        <v>5.25</v>
      </c>
      <c r="G20" s="403">
        <v>-10.25</v>
      </c>
      <c r="H20" s="405">
        <v>9.9</v>
      </c>
      <c r="I20" s="394"/>
      <c r="J20" s="401">
        <v>-10.94</v>
      </c>
      <c r="K20" s="402">
        <v>9.15</v>
      </c>
      <c r="L20" s="403">
        <v>-2.5</v>
      </c>
      <c r="M20" s="404">
        <v>0.5</v>
      </c>
      <c r="N20" s="403">
        <v>-10.25</v>
      </c>
      <c r="O20" s="405">
        <v>9.9</v>
      </c>
      <c r="P20" s="394"/>
      <c r="Q20" s="403">
        <v>-8.6</v>
      </c>
      <c r="R20" s="405">
        <v>7.35</v>
      </c>
      <c r="S20" s="403">
        <v>-2.5</v>
      </c>
      <c r="T20" s="404">
        <v>0.5</v>
      </c>
      <c r="U20" s="403">
        <v>-10.25</v>
      </c>
      <c r="V20" s="405">
        <v>9.9</v>
      </c>
      <c r="W20" s="394"/>
      <c r="X20" s="401">
        <v>-3.5</v>
      </c>
      <c r="Y20" s="404">
        <v>4</v>
      </c>
      <c r="Z20" s="403">
        <v>-2.5</v>
      </c>
      <c r="AA20" s="404">
        <v>0.5</v>
      </c>
      <c r="AB20" s="403">
        <v>-10.25</v>
      </c>
      <c r="AC20" s="405">
        <v>9.9</v>
      </c>
      <c r="AD20" s="394"/>
      <c r="AE20" s="401">
        <v>-9.68</v>
      </c>
      <c r="AF20" s="404">
        <v>7.26</v>
      </c>
      <c r="AG20" s="403">
        <v>-2.5</v>
      </c>
      <c r="AH20" s="404">
        <v>0.5</v>
      </c>
      <c r="AI20" s="403">
        <v>-10.25</v>
      </c>
      <c r="AJ20" s="405">
        <v>9.9</v>
      </c>
      <c r="AK20" s="394"/>
      <c r="AL20" s="401">
        <v>-8.24</v>
      </c>
      <c r="AM20" s="404">
        <v>5.22</v>
      </c>
      <c r="AN20" s="403">
        <v>-2.5</v>
      </c>
      <c r="AO20" s="404">
        <v>0.5</v>
      </c>
      <c r="AP20" s="403">
        <v>-10.75</v>
      </c>
      <c r="AQ20" s="405">
        <v>9.9</v>
      </c>
      <c r="AR20" s="394"/>
      <c r="AS20" s="401">
        <v>0</v>
      </c>
      <c r="AT20" s="404">
        <v>0</v>
      </c>
      <c r="AU20" s="403">
        <v>-3.5</v>
      </c>
      <c r="AV20" s="404">
        <v>15</v>
      </c>
      <c r="AW20" s="403">
        <v>-14.25</v>
      </c>
      <c r="AX20" s="405">
        <v>10.15</v>
      </c>
      <c r="AY20" s="394"/>
      <c r="AZ20" s="401">
        <v>-10.94</v>
      </c>
      <c r="BA20" s="402">
        <v>9.15</v>
      </c>
      <c r="BB20" s="403">
        <v>-2.5</v>
      </c>
      <c r="BC20" s="404">
        <v>0.5</v>
      </c>
      <c r="BD20" s="403">
        <v>-5</v>
      </c>
      <c r="BE20" s="405">
        <v>9</v>
      </c>
      <c r="BF20" s="394"/>
      <c r="BG20" s="401">
        <v>-5.4</v>
      </c>
      <c r="BH20" s="404">
        <v>5.4</v>
      </c>
      <c r="BI20" s="403">
        <v>-2.5</v>
      </c>
      <c r="BJ20" s="404">
        <v>0.5</v>
      </c>
      <c r="BK20" s="403">
        <v>-10.25</v>
      </c>
      <c r="BL20" s="405">
        <v>9.9</v>
      </c>
      <c r="BM20" s="394"/>
      <c r="BN20" s="397">
        <v>-10.676446617766912</v>
      </c>
      <c r="BO20" s="534">
        <v>13.607085346215781</v>
      </c>
      <c r="BP20" s="397">
        <v>-10.676446617766912</v>
      </c>
      <c r="BQ20" s="534">
        <v>13.607085346215781</v>
      </c>
      <c r="BR20" s="403">
        <v>-10.25</v>
      </c>
      <c r="BS20" s="405">
        <v>9.9</v>
      </c>
      <c r="BT20" s="394"/>
      <c r="BU20" s="401"/>
      <c r="BV20" s="404"/>
      <c r="BW20" s="403"/>
      <c r="BX20" s="404"/>
      <c r="BY20" s="403"/>
      <c r="BZ20" s="405"/>
      <c r="CA20" s="394"/>
      <c r="CB20" s="401"/>
      <c r="CC20" s="404"/>
      <c r="CD20" s="403"/>
      <c r="CE20" s="404"/>
      <c r="CF20" s="403"/>
      <c r="CG20" s="405"/>
      <c r="CH20" s="394"/>
      <c r="CI20" s="401"/>
      <c r="CJ20" s="404"/>
      <c r="CK20" s="403"/>
      <c r="CL20" s="404"/>
      <c r="CM20" s="403"/>
      <c r="CN20" s="405"/>
      <c r="CO20" s="394"/>
      <c r="CP20" s="401"/>
      <c r="CQ20" s="404"/>
      <c r="CR20" s="403"/>
      <c r="CS20" s="404"/>
      <c r="CT20" s="403"/>
      <c r="CU20" s="405"/>
      <c r="CV20" s="394"/>
      <c r="CW20" s="401"/>
      <c r="CX20" s="404"/>
      <c r="CY20" s="403"/>
      <c r="CZ20" s="404"/>
      <c r="DA20" s="403"/>
      <c r="DB20" s="405"/>
      <c r="DC20" s="394"/>
      <c r="DD20" s="401"/>
      <c r="DE20" s="404"/>
      <c r="DF20" s="403"/>
      <c r="DG20" s="404"/>
      <c r="DH20" s="403"/>
      <c r="DI20" s="405"/>
      <c r="DJ20" s="394"/>
      <c r="DK20" s="401"/>
      <c r="DL20" s="404"/>
      <c r="DM20" s="403"/>
      <c r="DN20" s="404"/>
      <c r="DO20" s="403"/>
      <c r="DP20" s="405"/>
      <c r="DQ20" s="394"/>
      <c r="DR20" s="401"/>
      <c r="DS20" s="404"/>
      <c r="DT20" s="403"/>
      <c r="DU20" s="404"/>
      <c r="DV20" s="403"/>
      <c r="DW20" s="405"/>
      <c r="DX20" s="394"/>
      <c r="DY20" s="401"/>
      <c r="DZ20" s="404"/>
      <c r="EA20" s="403"/>
      <c r="EB20" s="404"/>
      <c r="EC20" s="403"/>
      <c r="ED20" s="405"/>
      <c r="EE20" s="394"/>
      <c r="EF20" s="401"/>
      <c r="EG20" s="404"/>
      <c r="EH20" s="403"/>
      <c r="EI20" s="404"/>
      <c r="EJ20" s="403"/>
      <c r="EK20" s="405"/>
      <c r="EL20" s="394"/>
    </row>
    <row r="21" spans="1:142" s="400" customFormat="1" ht="14.4" thickBot="1">
      <c r="A21" s="511" t="s">
        <v>36</v>
      </c>
      <c r="B21" s="394"/>
      <c r="C21" s="401">
        <v>-4.91</v>
      </c>
      <c r="D21" s="402">
        <v>5.61</v>
      </c>
      <c r="E21" s="403">
        <v>-3.5</v>
      </c>
      <c r="F21" s="404">
        <v>7.5</v>
      </c>
      <c r="G21" s="403">
        <v>-8.75</v>
      </c>
      <c r="H21" s="405">
        <v>7</v>
      </c>
      <c r="I21" s="394"/>
      <c r="J21" s="401">
        <v>-4.91</v>
      </c>
      <c r="K21" s="402">
        <v>5.61</v>
      </c>
      <c r="L21" s="403">
        <v>-13</v>
      </c>
      <c r="M21" s="404">
        <v>5.2</v>
      </c>
      <c r="N21" s="403">
        <v>-8.75</v>
      </c>
      <c r="O21" s="405">
        <v>7</v>
      </c>
      <c r="P21" s="394"/>
      <c r="Q21" s="403">
        <v>-8.6999999999999993</v>
      </c>
      <c r="R21" s="405">
        <v>6.75</v>
      </c>
      <c r="S21" s="403">
        <v>-13</v>
      </c>
      <c r="T21" s="404">
        <v>5.2</v>
      </c>
      <c r="U21" s="403">
        <v>-8.75</v>
      </c>
      <c r="V21" s="405">
        <v>7</v>
      </c>
      <c r="W21" s="394"/>
      <c r="X21" s="401">
        <v>-4.5</v>
      </c>
      <c r="Y21" s="404">
        <v>4.9000000000000004</v>
      </c>
      <c r="Z21" s="403">
        <v>-13</v>
      </c>
      <c r="AA21" s="404">
        <v>5.2</v>
      </c>
      <c r="AB21" s="403">
        <v>-8.75</v>
      </c>
      <c r="AC21" s="405">
        <v>7</v>
      </c>
      <c r="AD21" s="394"/>
      <c r="AE21" s="401">
        <v>-10.119999999999999</v>
      </c>
      <c r="AF21" s="404">
        <v>7.81</v>
      </c>
      <c r="AG21" s="403">
        <v>-13</v>
      </c>
      <c r="AH21" s="404">
        <v>5.2</v>
      </c>
      <c r="AI21" s="403">
        <v>-8.75</v>
      </c>
      <c r="AJ21" s="405">
        <v>7</v>
      </c>
      <c r="AK21" s="394"/>
      <c r="AL21" s="401">
        <v>-5.8</v>
      </c>
      <c r="AM21" s="404">
        <v>6.96</v>
      </c>
      <c r="AN21" s="403">
        <v>-9</v>
      </c>
      <c r="AO21" s="404">
        <v>7.2</v>
      </c>
      <c r="AP21" s="403">
        <v>-9.25</v>
      </c>
      <c r="AQ21" s="405">
        <v>7.5</v>
      </c>
      <c r="AR21" s="394"/>
      <c r="AS21" s="401">
        <v>0</v>
      </c>
      <c r="AT21" s="404">
        <v>1.21</v>
      </c>
      <c r="AU21" s="403">
        <v>-6</v>
      </c>
      <c r="AV21" s="404">
        <v>12</v>
      </c>
      <c r="AW21" s="403">
        <v>-10.5</v>
      </c>
      <c r="AX21" s="405">
        <v>9.4</v>
      </c>
      <c r="AY21" s="394"/>
      <c r="AZ21" s="401">
        <v>-4.91</v>
      </c>
      <c r="BA21" s="402">
        <v>5.61</v>
      </c>
      <c r="BB21" s="403">
        <v>-13</v>
      </c>
      <c r="BC21" s="404">
        <v>5.2</v>
      </c>
      <c r="BD21" s="403">
        <v>-10</v>
      </c>
      <c r="BE21" s="405">
        <v>15</v>
      </c>
      <c r="BF21" s="394"/>
      <c r="BG21" s="401">
        <v>-6.2</v>
      </c>
      <c r="BH21" s="404">
        <v>6.2</v>
      </c>
      <c r="BI21" s="403">
        <v>-13</v>
      </c>
      <c r="BJ21" s="404">
        <v>5.2</v>
      </c>
      <c r="BK21" s="403">
        <v>-8.75</v>
      </c>
      <c r="BL21" s="405">
        <v>7</v>
      </c>
      <c r="BM21" s="394"/>
      <c r="BN21" s="397">
        <v>-13.202933985330073</v>
      </c>
      <c r="BO21" s="534">
        <v>10.466988727858293</v>
      </c>
      <c r="BP21" s="397">
        <v>-13.202933985330073</v>
      </c>
      <c r="BQ21" s="534">
        <v>10.466988727858293</v>
      </c>
      <c r="BR21" s="403">
        <v>-8.75</v>
      </c>
      <c r="BS21" s="405">
        <v>7</v>
      </c>
      <c r="BT21" s="394"/>
      <c r="BU21" s="401"/>
      <c r="BV21" s="404"/>
      <c r="BW21" s="403"/>
      <c r="BX21" s="404"/>
      <c r="BY21" s="403"/>
      <c r="BZ21" s="405"/>
      <c r="CA21" s="394"/>
      <c r="CB21" s="401"/>
      <c r="CC21" s="404"/>
      <c r="CD21" s="403"/>
      <c r="CE21" s="404"/>
      <c r="CF21" s="403"/>
      <c r="CG21" s="405"/>
      <c r="CH21" s="394"/>
      <c r="CI21" s="401"/>
      <c r="CJ21" s="404"/>
      <c r="CK21" s="403"/>
      <c r="CL21" s="404"/>
      <c r="CM21" s="403"/>
      <c r="CN21" s="405"/>
      <c r="CO21" s="394"/>
      <c r="CP21" s="401"/>
      <c r="CQ21" s="404"/>
      <c r="CR21" s="403"/>
      <c r="CS21" s="404"/>
      <c r="CT21" s="403"/>
      <c r="CU21" s="405"/>
      <c r="CV21" s="394"/>
      <c r="CW21" s="401"/>
      <c r="CX21" s="404"/>
      <c r="CY21" s="403"/>
      <c r="CZ21" s="404"/>
      <c r="DA21" s="403"/>
      <c r="DB21" s="405"/>
      <c r="DC21" s="394"/>
      <c r="DD21" s="401"/>
      <c r="DE21" s="404"/>
      <c r="DF21" s="403"/>
      <c r="DG21" s="404"/>
      <c r="DH21" s="403"/>
      <c r="DI21" s="405"/>
      <c r="DJ21" s="394"/>
      <c r="DK21" s="401"/>
      <c r="DL21" s="404"/>
      <c r="DM21" s="403"/>
      <c r="DN21" s="404"/>
      <c r="DO21" s="403"/>
      <c r="DP21" s="405"/>
      <c r="DQ21" s="394"/>
      <c r="DR21" s="401"/>
      <c r="DS21" s="404"/>
      <c r="DT21" s="403"/>
      <c r="DU21" s="404"/>
      <c r="DV21" s="403"/>
      <c r="DW21" s="405"/>
      <c r="DX21" s="394"/>
      <c r="DY21" s="401"/>
      <c r="DZ21" s="404"/>
      <c r="EA21" s="403"/>
      <c r="EB21" s="404"/>
      <c r="EC21" s="403"/>
      <c r="ED21" s="405"/>
      <c r="EE21" s="394"/>
      <c r="EF21" s="401"/>
      <c r="EG21" s="404"/>
      <c r="EH21" s="403"/>
      <c r="EI21" s="404"/>
      <c r="EJ21" s="403"/>
      <c r="EK21" s="405"/>
      <c r="EL21" s="394"/>
    </row>
    <row r="22" spans="1:142" s="400" customFormat="1" ht="14.4" thickBot="1">
      <c r="A22" s="511" t="s">
        <v>37</v>
      </c>
      <c r="B22" s="394"/>
      <c r="C22" s="401">
        <v>-8.5500000000000007</v>
      </c>
      <c r="D22" s="402">
        <v>7.44</v>
      </c>
      <c r="E22" s="403">
        <v>-5.5</v>
      </c>
      <c r="F22" s="404">
        <v>7</v>
      </c>
      <c r="G22" s="403">
        <v>-7.75</v>
      </c>
      <c r="H22" s="405">
        <v>6.5</v>
      </c>
      <c r="I22" s="394"/>
      <c r="J22" s="401">
        <v>-8.5500000000000007</v>
      </c>
      <c r="K22" s="402">
        <v>7.44</v>
      </c>
      <c r="L22" s="403">
        <v>-11.75</v>
      </c>
      <c r="M22" s="404">
        <v>13.4</v>
      </c>
      <c r="N22" s="403">
        <v>-7.75</v>
      </c>
      <c r="O22" s="405">
        <v>6.5</v>
      </c>
      <c r="P22" s="394"/>
      <c r="Q22" s="403">
        <v>-5.9</v>
      </c>
      <c r="R22" s="405">
        <v>4.95</v>
      </c>
      <c r="S22" s="403">
        <v>-11.75</v>
      </c>
      <c r="T22" s="404">
        <v>13.4</v>
      </c>
      <c r="U22" s="403">
        <v>-7.75</v>
      </c>
      <c r="V22" s="405">
        <v>6.5</v>
      </c>
      <c r="W22" s="394"/>
      <c r="X22" s="401">
        <v>-3.25</v>
      </c>
      <c r="Y22" s="404">
        <v>3.5</v>
      </c>
      <c r="Z22" s="403">
        <v>-11.75</v>
      </c>
      <c r="AA22" s="404">
        <v>13.4</v>
      </c>
      <c r="AB22" s="403">
        <v>-7.75</v>
      </c>
      <c r="AC22" s="405">
        <v>6.5</v>
      </c>
      <c r="AD22" s="394"/>
      <c r="AE22" s="401">
        <v>-8.14</v>
      </c>
      <c r="AF22" s="404">
        <v>7.92</v>
      </c>
      <c r="AG22" s="403">
        <v>-11.75</v>
      </c>
      <c r="AH22" s="404">
        <v>13.4</v>
      </c>
      <c r="AI22" s="403">
        <v>-7.75</v>
      </c>
      <c r="AJ22" s="405">
        <v>6.5</v>
      </c>
      <c r="AK22" s="394"/>
      <c r="AL22" s="401">
        <v>-5.34</v>
      </c>
      <c r="AM22" s="404">
        <v>6.84</v>
      </c>
      <c r="AN22" s="403">
        <v>-8.75</v>
      </c>
      <c r="AO22" s="404">
        <v>13.4</v>
      </c>
      <c r="AP22" s="403">
        <v>-7.75</v>
      </c>
      <c r="AQ22" s="405">
        <v>7</v>
      </c>
      <c r="AR22" s="394"/>
      <c r="AS22" s="401">
        <v>0</v>
      </c>
      <c r="AT22" s="404">
        <v>2.02</v>
      </c>
      <c r="AU22" s="403">
        <v>-5</v>
      </c>
      <c r="AV22" s="404">
        <v>8</v>
      </c>
      <c r="AW22" s="403">
        <v>-8.5</v>
      </c>
      <c r="AX22" s="405">
        <v>7.5</v>
      </c>
      <c r="AY22" s="394"/>
      <c r="AZ22" s="401">
        <v>-8.5500000000000007</v>
      </c>
      <c r="BA22" s="402">
        <v>7.44</v>
      </c>
      <c r="BB22" s="403">
        <v>-11.75</v>
      </c>
      <c r="BC22" s="404">
        <v>13.4</v>
      </c>
      <c r="BD22" s="403">
        <v>-13</v>
      </c>
      <c r="BE22" s="405">
        <v>6.5</v>
      </c>
      <c r="BF22" s="394"/>
      <c r="BG22" s="401">
        <v>-5</v>
      </c>
      <c r="BH22" s="404">
        <v>5</v>
      </c>
      <c r="BI22" s="403">
        <v>-11.75</v>
      </c>
      <c r="BJ22" s="404">
        <v>13.4</v>
      </c>
      <c r="BK22" s="403">
        <v>-7.75</v>
      </c>
      <c r="BL22" s="405">
        <v>6.5</v>
      </c>
      <c r="BM22" s="394"/>
      <c r="BN22" s="397">
        <v>-11.735941320293399</v>
      </c>
      <c r="BO22" s="534">
        <v>8.454106280193237</v>
      </c>
      <c r="BP22" s="397">
        <v>-11.735941320293399</v>
      </c>
      <c r="BQ22" s="534">
        <v>8.454106280193237</v>
      </c>
      <c r="BR22" s="403">
        <v>-7.75</v>
      </c>
      <c r="BS22" s="405">
        <v>6.5</v>
      </c>
      <c r="BT22" s="394"/>
      <c r="BU22" s="401"/>
      <c r="BV22" s="404"/>
      <c r="BW22" s="403"/>
      <c r="BX22" s="404"/>
      <c r="BY22" s="403"/>
      <c r="BZ22" s="405"/>
      <c r="CA22" s="394"/>
      <c r="CB22" s="401"/>
      <c r="CC22" s="404"/>
      <c r="CD22" s="403"/>
      <c r="CE22" s="404"/>
      <c r="CF22" s="403"/>
      <c r="CG22" s="405"/>
      <c r="CH22" s="394"/>
      <c r="CI22" s="401"/>
      <c r="CJ22" s="404"/>
      <c r="CK22" s="403"/>
      <c r="CL22" s="404"/>
      <c r="CM22" s="403"/>
      <c r="CN22" s="405"/>
      <c r="CO22" s="394"/>
      <c r="CP22" s="401"/>
      <c r="CQ22" s="404"/>
      <c r="CR22" s="403"/>
      <c r="CS22" s="404"/>
      <c r="CT22" s="403"/>
      <c r="CU22" s="405"/>
      <c r="CV22" s="394"/>
      <c r="CW22" s="401"/>
      <c r="CX22" s="404"/>
      <c r="CY22" s="403"/>
      <c r="CZ22" s="404"/>
      <c r="DA22" s="403"/>
      <c r="DB22" s="405"/>
      <c r="DC22" s="394"/>
      <c r="DD22" s="401"/>
      <c r="DE22" s="404"/>
      <c r="DF22" s="403"/>
      <c r="DG22" s="404"/>
      <c r="DH22" s="403"/>
      <c r="DI22" s="405"/>
      <c r="DJ22" s="394"/>
      <c r="DK22" s="401"/>
      <c r="DL22" s="404"/>
      <c r="DM22" s="403"/>
      <c r="DN22" s="404"/>
      <c r="DO22" s="403"/>
      <c r="DP22" s="405"/>
      <c r="DQ22" s="394"/>
      <c r="DR22" s="401"/>
      <c r="DS22" s="404"/>
      <c r="DT22" s="403"/>
      <c r="DU22" s="404"/>
      <c r="DV22" s="403"/>
      <c r="DW22" s="405"/>
      <c r="DX22" s="394"/>
      <c r="DY22" s="401"/>
      <c r="DZ22" s="404"/>
      <c r="EA22" s="403"/>
      <c r="EB22" s="404"/>
      <c r="EC22" s="403"/>
      <c r="ED22" s="405"/>
      <c r="EE22" s="394"/>
      <c r="EF22" s="401"/>
      <c r="EG22" s="404"/>
      <c r="EH22" s="403"/>
      <c r="EI22" s="404"/>
      <c r="EJ22" s="403"/>
      <c r="EK22" s="405"/>
      <c r="EL22" s="394"/>
    </row>
    <row r="23" spans="1:142" s="400" customFormat="1" ht="14.4" thickBot="1">
      <c r="A23" s="511" t="s">
        <v>38</v>
      </c>
      <c r="B23" s="394"/>
      <c r="C23" s="401">
        <v>-9.31</v>
      </c>
      <c r="D23" s="402">
        <v>8.66</v>
      </c>
      <c r="E23" s="403">
        <v>-6</v>
      </c>
      <c r="F23" s="404">
        <v>4.25</v>
      </c>
      <c r="G23" s="403">
        <v>-5.6</v>
      </c>
      <c r="H23" s="405">
        <v>6</v>
      </c>
      <c r="I23" s="394"/>
      <c r="J23" s="401">
        <v>-9.31</v>
      </c>
      <c r="K23" s="402">
        <v>8.66</v>
      </c>
      <c r="L23" s="403">
        <v>-6</v>
      </c>
      <c r="M23" s="404">
        <v>5.4</v>
      </c>
      <c r="N23" s="403">
        <v>-5.6</v>
      </c>
      <c r="O23" s="405">
        <v>6</v>
      </c>
      <c r="P23" s="394"/>
      <c r="Q23" s="403">
        <v>-6</v>
      </c>
      <c r="R23" s="405">
        <v>6.05</v>
      </c>
      <c r="S23" s="403">
        <v>-6</v>
      </c>
      <c r="T23" s="404">
        <v>5.4</v>
      </c>
      <c r="U23" s="403">
        <v>-5.6</v>
      </c>
      <c r="V23" s="405">
        <v>6</v>
      </c>
      <c r="W23" s="394"/>
      <c r="X23" s="401">
        <v>-4.5</v>
      </c>
      <c r="Y23" s="404">
        <v>5</v>
      </c>
      <c r="Z23" s="403">
        <v>-6</v>
      </c>
      <c r="AA23" s="404">
        <v>5.4</v>
      </c>
      <c r="AB23" s="403">
        <v>-5.6</v>
      </c>
      <c r="AC23" s="405">
        <v>6</v>
      </c>
      <c r="AD23" s="394"/>
      <c r="AE23" s="401">
        <v>-8.25</v>
      </c>
      <c r="AF23" s="404">
        <v>8.0299999999999994</v>
      </c>
      <c r="AG23" s="403">
        <v>-6</v>
      </c>
      <c r="AH23" s="404">
        <v>5.4</v>
      </c>
      <c r="AI23" s="403">
        <v>-5.6</v>
      </c>
      <c r="AJ23" s="405">
        <v>6</v>
      </c>
      <c r="AK23" s="394"/>
      <c r="AL23" s="401">
        <v>-5.68</v>
      </c>
      <c r="AM23" s="404">
        <v>7.89</v>
      </c>
      <c r="AN23" s="403">
        <v>-6</v>
      </c>
      <c r="AO23" s="404">
        <v>8</v>
      </c>
      <c r="AP23" s="403">
        <v>-6.6</v>
      </c>
      <c r="AQ23" s="405">
        <v>6</v>
      </c>
      <c r="AR23" s="394"/>
      <c r="AS23" s="401">
        <v>0</v>
      </c>
      <c r="AT23" s="404">
        <v>3.23</v>
      </c>
      <c r="AU23" s="403">
        <v>-3</v>
      </c>
      <c r="AV23" s="404">
        <v>7.5</v>
      </c>
      <c r="AW23" s="403">
        <v>-5.6</v>
      </c>
      <c r="AX23" s="405">
        <v>6</v>
      </c>
      <c r="AY23" s="394"/>
      <c r="AZ23" s="401">
        <v>-9.31</v>
      </c>
      <c r="BA23" s="402">
        <v>8.66</v>
      </c>
      <c r="BB23" s="403">
        <v>-6</v>
      </c>
      <c r="BC23" s="404">
        <v>5.4</v>
      </c>
      <c r="BD23" s="403">
        <v>-4.5</v>
      </c>
      <c r="BE23" s="405">
        <v>0.5</v>
      </c>
      <c r="BF23" s="394"/>
      <c r="BG23" s="401">
        <v>-6</v>
      </c>
      <c r="BH23" s="404">
        <v>6</v>
      </c>
      <c r="BI23" s="403">
        <v>-6</v>
      </c>
      <c r="BJ23" s="404">
        <v>5.4</v>
      </c>
      <c r="BK23" s="403">
        <v>-5.6</v>
      </c>
      <c r="BL23" s="405">
        <v>6</v>
      </c>
      <c r="BM23" s="394"/>
      <c r="BN23" s="397">
        <v>-9.6984515077424618</v>
      </c>
      <c r="BO23" s="534">
        <v>7.8099838969404187</v>
      </c>
      <c r="BP23" s="397">
        <v>-9.6984515077424618</v>
      </c>
      <c r="BQ23" s="534">
        <v>7.8099838969404187</v>
      </c>
      <c r="BR23" s="403">
        <v>-5.6</v>
      </c>
      <c r="BS23" s="405">
        <v>6</v>
      </c>
      <c r="BT23" s="394"/>
      <c r="BU23" s="401"/>
      <c r="BV23" s="404"/>
      <c r="BW23" s="403"/>
      <c r="BX23" s="404"/>
      <c r="BY23" s="403"/>
      <c r="BZ23" s="405"/>
      <c r="CA23" s="394"/>
      <c r="CB23" s="401"/>
      <c r="CC23" s="404"/>
      <c r="CD23" s="403"/>
      <c r="CE23" s="404"/>
      <c r="CF23" s="403"/>
      <c r="CG23" s="405"/>
      <c r="CH23" s="394"/>
      <c r="CI23" s="401"/>
      <c r="CJ23" s="404"/>
      <c r="CK23" s="403"/>
      <c r="CL23" s="404"/>
      <c r="CM23" s="403"/>
      <c r="CN23" s="405"/>
      <c r="CO23" s="394"/>
      <c r="CP23" s="401"/>
      <c r="CQ23" s="404"/>
      <c r="CR23" s="403"/>
      <c r="CS23" s="404"/>
      <c r="CT23" s="403"/>
      <c r="CU23" s="405"/>
      <c r="CV23" s="394"/>
      <c r="CW23" s="401"/>
      <c r="CX23" s="404"/>
      <c r="CY23" s="403"/>
      <c r="CZ23" s="404"/>
      <c r="DA23" s="403"/>
      <c r="DB23" s="405"/>
      <c r="DC23" s="394"/>
      <c r="DD23" s="401"/>
      <c r="DE23" s="404"/>
      <c r="DF23" s="403"/>
      <c r="DG23" s="404"/>
      <c r="DH23" s="403"/>
      <c r="DI23" s="405"/>
      <c r="DJ23" s="394"/>
      <c r="DK23" s="401"/>
      <c r="DL23" s="404"/>
      <c r="DM23" s="403"/>
      <c r="DN23" s="404"/>
      <c r="DO23" s="403"/>
      <c r="DP23" s="405"/>
      <c r="DQ23" s="394"/>
      <c r="DR23" s="401"/>
      <c r="DS23" s="404"/>
      <c r="DT23" s="403"/>
      <c r="DU23" s="404"/>
      <c r="DV23" s="403"/>
      <c r="DW23" s="405"/>
      <c r="DX23" s="394"/>
      <c r="DY23" s="401"/>
      <c r="DZ23" s="404"/>
      <c r="EA23" s="403"/>
      <c r="EB23" s="404"/>
      <c r="EC23" s="403"/>
      <c r="ED23" s="405"/>
      <c r="EE23" s="394"/>
      <c r="EF23" s="401"/>
      <c r="EG23" s="404"/>
      <c r="EH23" s="403"/>
      <c r="EI23" s="404"/>
      <c r="EJ23" s="403"/>
      <c r="EK23" s="405"/>
      <c r="EL23" s="394"/>
    </row>
    <row r="24" spans="1:142" s="400" customFormat="1" ht="14.4" thickBot="1">
      <c r="A24" s="511" t="s">
        <v>39</v>
      </c>
      <c r="B24" s="394"/>
      <c r="C24" s="401">
        <v>-8.43</v>
      </c>
      <c r="D24" s="402">
        <v>8.66</v>
      </c>
      <c r="E24" s="403">
        <v>-4.75</v>
      </c>
      <c r="F24" s="404">
        <v>6.5</v>
      </c>
      <c r="G24" s="403">
        <v>-7</v>
      </c>
      <c r="H24" s="405">
        <v>7.75</v>
      </c>
      <c r="I24" s="394"/>
      <c r="J24" s="401">
        <v>-8.43</v>
      </c>
      <c r="K24" s="402">
        <v>8.66</v>
      </c>
      <c r="L24" s="403">
        <v>-7</v>
      </c>
      <c r="M24" s="404">
        <v>1.75</v>
      </c>
      <c r="N24" s="403">
        <v>-7</v>
      </c>
      <c r="O24" s="405">
        <v>7.75</v>
      </c>
      <c r="P24" s="394"/>
      <c r="Q24" s="403">
        <v>-5.9</v>
      </c>
      <c r="R24" s="405">
        <v>6.95</v>
      </c>
      <c r="S24" s="403">
        <v>-7</v>
      </c>
      <c r="T24" s="404">
        <v>1.75</v>
      </c>
      <c r="U24" s="403">
        <v>-7</v>
      </c>
      <c r="V24" s="405">
        <v>7.75</v>
      </c>
      <c r="W24" s="394"/>
      <c r="X24" s="401">
        <v>-3.4</v>
      </c>
      <c r="Y24" s="404">
        <v>5.25</v>
      </c>
      <c r="Z24" s="403">
        <v>-7</v>
      </c>
      <c r="AA24" s="404">
        <v>1.75</v>
      </c>
      <c r="AB24" s="403">
        <v>-7</v>
      </c>
      <c r="AC24" s="405">
        <v>7.75</v>
      </c>
      <c r="AD24" s="394"/>
      <c r="AE24" s="401">
        <v>-5.61</v>
      </c>
      <c r="AF24" s="404">
        <v>4.07</v>
      </c>
      <c r="AG24" s="403">
        <v>-7</v>
      </c>
      <c r="AH24" s="404">
        <v>1.75</v>
      </c>
      <c r="AI24" s="403">
        <v>-7</v>
      </c>
      <c r="AJ24" s="405">
        <v>7.75</v>
      </c>
      <c r="AK24" s="394"/>
      <c r="AL24" s="401">
        <v>-6.38</v>
      </c>
      <c r="AM24" s="404">
        <v>6.5</v>
      </c>
      <c r="AN24" s="403">
        <v>-7</v>
      </c>
      <c r="AO24" s="404">
        <v>6.5</v>
      </c>
      <c r="AP24" s="403">
        <v>-7</v>
      </c>
      <c r="AQ24" s="405">
        <v>7.75</v>
      </c>
      <c r="AR24" s="394"/>
      <c r="AS24" s="401">
        <v>-0.81</v>
      </c>
      <c r="AT24" s="404">
        <v>3.23</v>
      </c>
      <c r="AU24" s="403">
        <v>-3.5</v>
      </c>
      <c r="AV24" s="404">
        <v>7.75</v>
      </c>
      <c r="AW24" s="403">
        <v>-7</v>
      </c>
      <c r="AX24" s="405">
        <v>7.75</v>
      </c>
      <c r="AY24" s="394"/>
      <c r="AZ24" s="401">
        <v>-8.43</v>
      </c>
      <c r="BA24" s="402">
        <v>8.66</v>
      </c>
      <c r="BB24" s="403">
        <v>-7</v>
      </c>
      <c r="BC24" s="404">
        <v>1.75</v>
      </c>
      <c r="BD24" s="403">
        <v>0</v>
      </c>
      <c r="BE24" s="405">
        <v>0</v>
      </c>
      <c r="BF24" s="394"/>
      <c r="BG24" s="401">
        <v>-5.2</v>
      </c>
      <c r="BH24" s="404">
        <v>5.2</v>
      </c>
      <c r="BI24" s="403">
        <v>-7</v>
      </c>
      <c r="BJ24" s="404">
        <v>1.75</v>
      </c>
      <c r="BK24" s="403">
        <v>-7</v>
      </c>
      <c r="BL24" s="405">
        <v>7.75</v>
      </c>
      <c r="BM24" s="394"/>
      <c r="BN24" s="397">
        <v>-10.024449877750612</v>
      </c>
      <c r="BO24" s="534">
        <v>7.9710144927536222</v>
      </c>
      <c r="BP24" s="397">
        <v>-10.024449877750612</v>
      </c>
      <c r="BQ24" s="534">
        <v>7.9710144927536222</v>
      </c>
      <c r="BR24" s="403">
        <v>-7</v>
      </c>
      <c r="BS24" s="405">
        <v>7.75</v>
      </c>
      <c r="BT24" s="394"/>
      <c r="BU24" s="401"/>
      <c r="BV24" s="404"/>
      <c r="BW24" s="403"/>
      <c r="BX24" s="404"/>
      <c r="BY24" s="403"/>
      <c r="BZ24" s="405"/>
      <c r="CA24" s="394"/>
      <c r="CB24" s="401"/>
      <c r="CC24" s="404"/>
      <c r="CD24" s="403"/>
      <c r="CE24" s="404"/>
      <c r="CF24" s="403"/>
      <c r="CG24" s="405"/>
      <c r="CH24" s="394"/>
      <c r="CI24" s="401"/>
      <c r="CJ24" s="404"/>
      <c r="CK24" s="403"/>
      <c r="CL24" s="404"/>
      <c r="CM24" s="403"/>
      <c r="CN24" s="405"/>
      <c r="CO24" s="394"/>
      <c r="CP24" s="401"/>
      <c r="CQ24" s="404"/>
      <c r="CR24" s="403"/>
      <c r="CS24" s="404"/>
      <c r="CT24" s="403"/>
      <c r="CU24" s="405"/>
      <c r="CV24" s="394"/>
      <c r="CW24" s="401"/>
      <c r="CX24" s="404"/>
      <c r="CY24" s="403"/>
      <c r="CZ24" s="404"/>
      <c r="DA24" s="403"/>
      <c r="DB24" s="405"/>
      <c r="DC24" s="394"/>
      <c r="DD24" s="401"/>
      <c r="DE24" s="404"/>
      <c r="DF24" s="403"/>
      <c r="DG24" s="404"/>
      <c r="DH24" s="403"/>
      <c r="DI24" s="405"/>
      <c r="DJ24" s="394"/>
      <c r="DK24" s="401"/>
      <c r="DL24" s="404"/>
      <c r="DM24" s="403"/>
      <c r="DN24" s="404"/>
      <c r="DO24" s="403"/>
      <c r="DP24" s="405"/>
      <c r="DQ24" s="394"/>
      <c r="DR24" s="401"/>
      <c r="DS24" s="404"/>
      <c r="DT24" s="403"/>
      <c r="DU24" s="404"/>
      <c r="DV24" s="403"/>
      <c r="DW24" s="405"/>
      <c r="DX24" s="394"/>
      <c r="DY24" s="401"/>
      <c r="DZ24" s="404"/>
      <c r="EA24" s="403"/>
      <c r="EB24" s="404"/>
      <c r="EC24" s="403"/>
      <c r="ED24" s="405"/>
      <c r="EE24" s="394"/>
      <c r="EF24" s="401"/>
      <c r="EG24" s="404"/>
      <c r="EH24" s="403"/>
      <c r="EI24" s="404"/>
      <c r="EJ24" s="403"/>
      <c r="EK24" s="405"/>
      <c r="EL24" s="394"/>
    </row>
    <row r="25" spans="1:142" s="400" customFormat="1" ht="14.4" thickBot="1">
      <c r="A25" s="511" t="s">
        <v>40</v>
      </c>
      <c r="B25" s="394"/>
      <c r="C25" s="401">
        <v>-11.07</v>
      </c>
      <c r="D25" s="402">
        <v>12.32</v>
      </c>
      <c r="E25" s="403">
        <v>-6</v>
      </c>
      <c r="F25" s="404">
        <v>14</v>
      </c>
      <c r="G25" s="403">
        <v>-8.75</v>
      </c>
      <c r="H25" s="405">
        <v>6.75</v>
      </c>
      <c r="I25" s="394"/>
      <c r="J25" s="401">
        <v>-11.07</v>
      </c>
      <c r="K25" s="402">
        <v>12.32</v>
      </c>
      <c r="L25" s="403">
        <v>-11.75</v>
      </c>
      <c r="M25" s="404">
        <v>1.25</v>
      </c>
      <c r="N25" s="403">
        <v>-8.75</v>
      </c>
      <c r="O25" s="405">
        <v>6.75</v>
      </c>
      <c r="P25" s="394"/>
      <c r="Q25" s="403">
        <v>-8.4</v>
      </c>
      <c r="R25" s="405">
        <v>9.65</v>
      </c>
      <c r="S25" s="403">
        <v>-11.75</v>
      </c>
      <c r="T25" s="404">
        <v>1.25</v>
      </c>
      <c r="U25" s="403">
        <v>-8.75</v>
      </c>
      <c r="V25" s="405">
        <v>6.75</v>
      </c>
      <c r="W25" s="394"/>
      <c r="X25" s="401">
        <v>-4.75</v>
      </c>
      <c r="Y25" s="404">
        <v>6</v>
      </c>
      <c r="Z25" s="403">
        <v>-11.75</v>
      </c>
      <c r="AA25" s="404">
        <v>1.25</v>
      </c>
      <c r="AB25" s="403">
        <v>-8.75</v>
      </c>
      <c r="AC25" s="405">
        <v>6.75</v>
      </c>
      <c r="AD25" s="394"/>
      <c r="AE25" s="401">
        <v>-7.59</v>
      </c>
      <c r="AF25" s="404">
        <v>6.82</v>
      </c>
      <c r="AG25" s="403">
        <v>-11.75</v>
      </c>
      <c r="AH25" s="404">
        <v>1.25</v>
      </c>
      <c r="AI25" s="403">
        <v>-8.75</v>
      </c>
      <c r="AJ25" s="405">
        <v>6.75</v>
      </c>
      <c r="AK25" s="394"/>
      <c r="AL25" s="401">
        <v>-7.2</v>
      </c>
      <c r="AM25" s="404">
        <v>8.82</v>
      </c>
      <c r="AN25" s="403">
        <v>-11.75</v>
      </c>
      <c r="AO25" s="404">
        <v>4.8</v>
      </c>
      <c r="AP25" s="403">
        <v>-8.75</v>
      </c>
      <c r="AQ25" s="405">
        <v>6.75</v>
      </c>
      <c r="AR25" s="394"/>
      <c r="AS25" s="401">
        <v>-1.61</v>
      </c>
      <c r="AT25" s="404">
        <v>2.42</v>
      </c>
      <c r="AU25" s="403">
        <v>-5</v>
      </c>
      <c r="AV25" s="404">
        <v>9</v>
      </c>
      <c r="AW25" s="403">
        <v>-8.75</v>
      </c>
      <c r="AX25" s="405">
        <v>6.75</v>
      </c>
      <c r="AY25" s="394"/>
      <c r="AZ25" s="401">
        <v>-11.07</v>
      </c>
      <c r="BA25" s="402">
        <v>12.32</v>
      </c>
      <c r="BB25" s="403">
        <v>-11.75</v>
      </c>
      <c r="BC25" s="404">
        <v>1.25</v>
      </c>
      <c r="BD25" s="403">
        <v>0</v>
      </c>
      <c r="BE25" s="405">
        <v>0</v>
      </c>
      <c r="BF25" s="394"/>
      <c r="BG25" s="401">
        <v>-6.3</v>
      </c>
      <c r="BH25" s="404">
        <v>6.3</v>
      </c>
      <c r="BI25" s="403">
        <v>-11.75</v>
      </c>
      <c r="BJ25" s="404">
        <v>1.25</v>
      </c>
      <c r="BK25" s="403">
        <v>-9.75</v>
      </c>
      <c r="BL25" s="405">
        <v>6.75</v>
      </c>
      <c r="BM25" s="394"/>
      <c r="BN25" s="397">
        <v>-8.3129584352078236</v>
      </c>
      <c r="BO25" s="534">
        <v>6.3607085346215788</v>
      </c>
      <c r="BP25" s="397">
        <v>-8.3129584352078236</v>
      </c>
      <c r="BQ25" s="534">
        <v>6.3607085346215788</v>
      </c>
      <c r="BR25" s="403">
        <v>-8.75</v>
      </c>
      <c r="BS25" s="405">
        <v>6.75</v>
      </c>
      <c r="BT25" s="394"/>
      <c r="BU25" s="401"/>
      <c r="BV25" s="404"/>
      <c r="BW25" s="403"/>
      <c r="BX25" s="404"/>
      <c r="BY25" s="403"/>
      <c r="BZ25" s="405"/>
      <c r="CA25" s="394"/>
      <c r="CB25" s="401"/>
      <c r="CC25" s="404"/>
      <c r="CD25" s="403"/>
      <c r="CE25" s="404"/>
      <c r="CF25" s="403"/>
      <c r="CG25" s="405"/>
      <c r="CH25" s="394"/>
      <c r="CI25" s="401"/>
      <c r="CJ25" s="404"/>
      <c r="CK25" s="403"/>
      <c r="CL25" s="404"/>
      <c r="CM25" s="403"/>
      <c r="CN25" s="405"/>
      <c r="CO25" s="394"/>
      <c r="CP25" s="401"/>
      <c r="CQ25" s="404"/>
      <c r="CR25" s="403"/>
      <c r="CS25" s="404"/>
      <c r="CT25" s="403"/>
      <c r="CU25" s="405"/>
      <c r="CV25" s="394"/>
      <c r="CW25" s="401"/>
      <c r="CX25" s="404"/>
      <c r="CY25" s="403"/>
      <c r="CZ25" s="404"/>
      <c r="DA25" s="403"/>
      <c r="DB25" s="405"/>
      <c r="DC25" s="394"/>
      <c r="DD25" s="401"/>
      <c r="DE25" s="404"/>
      <c r="DF25" s="403"/>
      <c r="DG25" s="404"/>
      <c r="DH25" s="403"/>
      <c r="DI25" s="405"/>
      <c r="DJ25" s="394"/>
      <c r="DK25" s="401"/>
      <c r="DL25" s="404"/>
      <c r="DM25" s="403"/>
      <c r="DN25" s="404"/>
      <c r="DO25" s="403"/>
      <c r="DP25" s="405"/>
      <c r="DQ25" s="394"/>
      <c r="DR25" s="401"/>
      <c r="DS25" s="404"/>
      <c r="DT25" s="403"/>
      <c r="DU25" s="404"/>
      <c r="DV25" s="403"/>
      <c r="DW25" s="405"/>
      <c r="DX25" s="394"/>
      <c r="DY25" s="401"/>
      <c r="DZ25" s="404"/>
      <c r="EA25" s="403"/>
      <c r="EB25" s="404"/>
      <c r="EC25" s="403"/>
      <c r="ED25" s="405"/>
      <c r="EE25" s="394"/>
      <c r="EF25" s="401"/>
      <c r="EG25" s="404"/>
      <c r="EH25" s="403"/>
      <c r="EI25" s="404"/>
      <c r="EJ25" s="403"/>
      <c r="EK25" s="405"/>
      <c r="EL25" s="394"/>
    </row>
    <row r="26" spans="1:142" s="400" customFormat="1" ht="14.4" thickBot="1">
      <c r="A26" s="511" t="s">
        <v>41</v>
      </c>
      <c r="B26" s="394"/>
      <c r="C26" s="401">
        <v>-15.09</v>
      </c>
      <c r="D26" s="402">
        <v>13.41</v>
      </c>
      <c r="E26" s="403">
        <v>-7.5</v>
      </c>
      <c r="F26" s="404">
        <v>13.75</v>
      </c>
      <c r="G26" s="403">
        <v>-7</v>
      </c>
      <c r="H26" s="405">
        <v>5</v>
      </c>
      <c r="I26" s="394"/>
      <c r="J26" s="401">
        <v>-15.09</v>
      </c>
      <c r="K26" s="402">
        <v>13.41</v>
      </c>
      <c r="L26" s="403">
        <v>-13.75</v>
      </c>
      <c r="M26" s="404">
        <v>1</v>
      </c>
      <c r="N26" s="403">
        <v>-7</v>
      </c>
      <c r="O26" s="405">
        <v>5</v>
      </c>
      <c r="P26" s="394"/>
      <c r="Q26" s="403">
        <v>-10.6</v>
      </c>
      <c r="R26" s="405">
        <v>12</v>
      </c>
      <c r="S26" s="403">
        <v>-13.75</v>
      </c>
      <c r="T26" s="404">
        <v>1</v>
      </c>
      <c r="U26" s="403">
        <v>-7</v>
      </c>
      <c r="V26" s="405">
        <v>5</v>
      </c>
      <c r="W26" s="394"/>
      <c r="X26" s="401">
        <v>-8</v>
      </c>
      <c r="Y26" s="404">
        <v>12</v>
      </c>
      <c r="Z26" s="403">
        <v>-13.75</v>
      </c>
      <c r="AA26" s="404">
        <v>1</v>
      </c>
      <c r="AB26" s="403">
        <v>-7</v>
      </c>
      <c r="AC26" s="405">
        <v>5</v>
      </c>
      <c r="AD26" s="394"/>
      <c r="AE26" s="401">
        <v>-6.05</v>
      </c>
      <c r="AF26" s="404">
        <v>7.59</v>
      </c>
      <c r="AG26" s="403">
        <v>-13.75</v>
      </c>
      <c r="AH26" s="404">
        <v>1</v>
      </c>
      <c r="AI26" s="403">
        <v>-7</v>
      </c>
      <c r="AJ26" s="405">
        <v>5</v>
      </c>
      <c r="AK26" s="394"/>
      <c r="AL26" s="401">
        <v>-7.19</v>
      </c>
      <c r="AM26" s="404">
        <v>10.56</v>
      </c>
      <c r="AN26" s="403">
        <v>-13.75</v>
      </c>
      <c r="AO26" s="404">
        <v>2.25</v>
      </c>
      <c r="AP26" s="403">
        <v>-7</v>
      </c>
      <c r="AQ26" s="405">
        <v>5</v>
      </c>
      <c r="AR26" s="394"/>
      <c r="AS26" s="401">
        <v>-7.26</v>
      </c>
      <c r="AT26" s="404">
        <v>4.03</v>
      </c>
      <c r="AU26" s="403">
        <v>-8</v>
      </c>
      <c r="AV26" s="404">
        <v>5.25</v>
      </c>
      <c r="AW26" s="403">
        <v>-7</v>
      </c>
      <c r="AX26" s="405">
        <v>5</v>
      </c>
      <c r="AY26" s="394"/>
      <c r="AZ26" s="401">
        <v>-15.09</v>
      </c>
      <c r="BA26" s="402">
        <v>13.41</v>
      </c>
      <c r="BB26" s="403">
        <v>-13.75</v>
      </c>
      <c r="BC26" s="404">
        <v>1</v>
      </c>
      <c r="BD26" s="403">
        <v>0</v>
      </c>
      <c r="BE26" s="405">
        <v>0</v>
      </c>
      <c r="BF26" s="394"/>
      <c r="BG26" s="401">
        <v>-7.5</v>
      </c>
      <c r="BH26" s="404">
        <v>7.5</v>
      </c>
      <c r="BI26" s="403">
        <v>-13.75</v>
      </c>
      <c r="BJ26" s="404">
        <v>1</v>
      </c>
      <c r="BK26" s="403">
        <v>-7.5</v>
      </c>
      <c r="BL26" s="405">
        <v>5</v>
      </c>
      <c r="BM26" s="394"/>
      <c r="BN26" s="397">
        <v>-7.5794621026894866</v>
      </c>
      <c r="BO26" s="534">
        <v>6.6827697262479875</v>
      </c>
      <c r="BP26" s="397">
        <v>-7.5794621026894866</v>
      </c>
      <c r="BQ26" s="534">
        <v>6.6827697262479875</v>
      </c>
      <c r="BR26" s="403">
        <v>-7</v>
      </c>
      <c r="BS26" s="405">
        <v>5</v>
      </c>
      <c r="BT26" s="394"/>
      <c r="BU26" s="401"/>
      <c r="BV26" s="404"/>
      <c r="BW26" s="403"/>
      <c r="BX26" s="404"/>
      <c r="BY26" s="403"/>
      <c r="BZ26" s="405"/>
      <c r="CA26" s="394"/>
      <c r="CB26" s="401"/>
      <c r="CC26" s="404"/>
      <c r="CD26" s="403"/>
      <c r="CE26" s="404"/>
      <c r="CF26" s="403"/>
      <c r="CG26" s="405"/>
      <c r="CH26" s="394"/>
      <c r="CI26" s="401"/>
      <c r="CJ26" s="404"/>
      <c r="CK26" s="403"/>
      <c r="CL26" s="404"/>
      <c r="CM26" s="403"/>
      <c r="CN26" s="405"/>
      <c r="CO26" s="394"/>
      <c r="CP26" s="401"/>
      <c r="CQ26" s="404"/>
      <c r="CR26" s="403"/>
      <c r="CS26" s="404"/>
      <c r="CT26" s="403"/>
      <c r="CU26" s="405"/>
      <c r="CV26" s="394"/>
      <c r="CW26" s="401"/>
      <c r="CX26" s="404"/>
      <c r="CY26" s="403"/>
      <c r="CZ26" s="404"/>
      <c r="DA26" s="403"/>
      <c r="DB26" s="405"/>
      <c r="DC26" s="394"/>
      <c r="DD26" s="401"/>
      <c r="DE26" s="404"/>
      <c r="DF26" s="403"/>
      <c r="DG26" s="404"/>
      <c r="DH26" s="403"/>
      <c r="DI26" s="405"/>
      <c r="DJ26" s="394"/>
      <c r="DK26" s="401"/>
      <c r="DL26" s="404"/>
      <c r="DM26" s="403"/>
      <c r="DN26" s="404"/>
      <c r="DO26" s="403"/>
      <c r="DP26" s="405"/>
      <c r="DQ26" s="394"/>
      <c r="DR26" s="401"/>
      <c r="DS26" s="404"/>
      <c r="DT26" s="403"/>
      <c r="DU26" s="404"/>
      <c r="DV26" s="403"/>
      <c r="DW26" s="405"/>
      <c r="DX26" s="394"/>
      <c r="DY26" s="401"/>
      <c r="DZ26" s="404"/>
      <c r="EA26" s="403"/>
      <c r="EB26" s="404"/>
      <c r="EC26" s="403"/>
      <c r="ED26" s="405"/>
      <c r="EE26" s="394"/>
      <c r="EF26" s="401"/>
      <c r="EG26" s="404"/>
      <c r="EH26" s="403"/>
      <c r="EI26" s="404"/>
      <c r="EJ26" s="403"/>
      <c r="EK26" s="405"/>
      <c r="EL26" s="394"/>
    </row>
    <row r="27" spans="1:142" s="400" customFormat="1" ht="14.4" thickBot="1">
      <c r="A27" s="511" t="s">
        <v>42</v>
      </c>
      <c r="B27" s="394"/>
      <c r="C27" s="401">
        <v>-10.31</v>
      </c>
      <c r="D27" s="402">
        <v>7.8</v>
      </c>
      <c r="E27" s="403">
        <v>-4.5</v>
      </c>
      <c r="F27" s="404">
        <v>10.4</v>
      </c>
      <c r="G27" s="403">
        <v>-5.25</v>
      </c>
      <c r="H27" s="405">
        <v>3.75</v>
      </c>
      <c r="I27" s="394"/>
      <c r="J27" s="401">
        <v>-10.31</v>
      </c>
      <c r="K27" s="402">
        <v>7.8</v>
      </c>
      <c r="L27" s="403">
        <v>-7</v>
      </c>
      <c r="M27" s="404">
        <v>0.25</v>
      </c>
      <c r="N27" s="403">
        <v>-5.25</v>
      </c>
      <c r="O27" s="405">
        <v>3.75</v>
      </c>
      <c r="P27" s="394"/>
      <c r="Q27" s="403">
        <v>-13.6</v>
      </c>
      <c r="R27" s="405">
        <v>14.1</v>
      </c>
      <c r="S27" s="403">
        <v>-7</v>
      </c>
      <c r="T27" s="404">
        <v>0.25</v>
      </c>
      <c r="U27" s="403">
        <v>-5.25</v>
      </c>
      <c r="V27" s="405">
        <v>3.75</v>
      </c>
      <c r="W27" s="394"/>
      <c r="X27" s="401">
        <v>-11.5</v>
      </c>
      <c r="Y27" s="404">
        <v>15.2</v>
      </c>
      <c r="Z27" s="403">
        <v>-7</v>
      </c>
      <c r="AA27" s="404">
        <v>0.25</v>
      </c>
      <c r="AB27" s="403">
        <v>-5.25</v>
      </c>
      <c r="AC27" s="405">
        <v>3.75</v>
      </c>
      <c r="AD27" s="394"/>
      <c r="AE27" s="401">
        <v>-9.02</v>
      </c>
      <c r="AF27" s="404">
        <v>10.01</v>
      </c>
      <c r="AG27" s="403">
        <v>-7</v>
      </c>
      <c r="AH27" s="404">
        <v>0.25</v>
      </c>
      <c r="AI27" s="403">
        <v>-5.25</v>
      </c>
      <c r="AJ27" s="405">
        <v>3.75</v>
      </c>
      <c r="AK27" s="394"/>
      <c r="AL27" s="401">
        <v>-6.26</v>
      </c>
      <c r="AM27" s="404">
        <v>9.51</v>
      </c>
      <c r="AN27" s="403">
        <v>-7</v>
      </c>
      <c r="AO27" s="404">
        <v>1.25</v>
      </c>
      <c r="AP27" s="403">
        <v>-5.25</v>
      </c>
      <c r="AQ27" s="405">
        <v>3.75</v>
      </c>
      <c r="AR27" s="394"/>
      <c r="AS27" s="401">
        <v>0</v>
      </c>
      <c r="AT27" s="404">
        <v>4.84</v>
      </c>
      <c r="AU27" s="403">
        <v>-9.75</v>
      </c>
      <c r="AV27" s="404">
        <v>2</v>
      </c>
      <c r="AW27" s="403">
        <v>-5.25</v>
      </c>
      <c r="AX27" s="405">
        <v>3.75</v>
      </c>
      <c r="AY27" s="394"/>
      <c r="AZ27" s="401">
        <v>-10.31</v>
      </c>
      <c r="BA27" s="402">
        <v>7.8</v>
      </c>
      <c r="BB27" s="403">
        <v>-7</v>
      </c>
      <c r="BC27" s="404">
        <v>0.25</v>
      </c>
      <c r="BD27" s="403">
        <v>0</v>
      </c>
      <c r="BE27" s="405">
        <v>0</v>
      </c>
      <c r="BF27" s="394"/>
      <c r="BG27" s="401">
        <v>-7.3</v>
      </c>
      <c r="BH27" s="404">
        <v>7.3</v>
      </c>
      <c r="BI27" s="403">
        <v>-7</v>
      </c>
      <c r="BJ27" s="404">
        <v>0.7</v>
      </c>
      <c r="BK27" s="403">
        <v>-5.25</v>
      </c>
      <c r="BL27" s="405">
        <v>3.75</v>
      </c>
      <c r="BM27" s="394"/>
      <c r="BN27" s="397">
        <v>-7.3349633251833746</v>
      </c>
      <c r="BO27" s="534">
        <v>1.7713365539452495</v>
      </c>
      <c r="BP27" s="397">
        <v>-7.3349633251833746</v>
      </c>
      <c r="BQ27" s="534">
        <v>1.7713365539452495</v>
      </c>
      <c r="BR27" s="403">
        <v>-5.25</v>
      </c>
      <c r="BS27" s="405">
        <v>3.75</v>
      </c>
      <c r="BT27" s="394"/>
      <c r="BU27" s="401"/>
      <c r="BV27" s="404"/>
      <c r="BW27" s="403"/>
      <c r="BX27" s="404"/>
      <c r="BY27" s="403"/>
      <c r="BZ27" s="405"/>
      <c r="CA27" s="394"/>
      <c r="CB27" s="401"/>
      <c r="CC27" s="404"/>
      <c r="CD27" s="403"/>
      <c r="CE27" s="404"/>
      <c r="CF27" s="403"/>
      <c r="CG27" s="405"/>
      <c r="CH27" s="394"/>
      <c r="CI27" s="401"/>
      <c r="CJ27" s="404"/>
      <c r="CK27" s="403"/>
      <c r="CL27" s="404"/>
      <c r="CM27" s="403"/>
      <c r="CN27" s="405"/>
      <c r="CO27" s="394"/>
      <c r="CP27" s="401"/>
      <c r="CQ27" s="404"/>
      <c r="CR27" s="403"/>
      <c r="CS27" s="404"/>
      <c r="CT27" s="403"/>
      <c r="CU27" s="405"/>
      <c r="CV27" s="394"/>
      <c r="CW27" s="401"/>
      <c r="CX27" s="404"/>
      <c r="CY27" s="403"/>
      <c r="CZ27" s="404"/>
      <c r="DA27" s="403"/>
      <c r="DB27" s="405"/>
      <c r="DC27" s="394"/>
      <c r="DD27" s="401"/>
      <c r="DE27" s="404"/>
      <c r="DF27" s="403"/>
      <c r="DG27" s="404"/>
      <c r="DH27" s="403"/>
      <c r="DI27" s="405"/>
      <c r="DJ27" s="394"/>
      <c r="DK27" s="401"/>
      <c r="DL27" s="404"/>
      <c r="DM27" s="403"/>
      <c r="DN27" s="404"/>
      <c r="DO27" s="403"/>
      <c r="DP27" s="405"/>
      <c r="DQ27" s="394"/>
      <c r="DR27" s="401"/>
      <c r="DS27" s="404"/>
      <c r="DT27" s="403"/>
      <c r="DU27" s="404"/>
      <c r="DV27" s="403"/>
      <c r="DW27" s="405"/>
      <c r="DX27" s="394"/>
      <c r="DY27" s="401"/>
      <c r="DZ27" s="404"/>
      <c r="EA27" s="403"/>
      <c r="EB27" s="404"/>
      <c r="EC27" s="403"/>
      <c r="ED27" s="405"/>
      <c r="EE27" s="394"/>
      <c r="EF27" s="401"/>
      <c r="EG27" s="404"/>
      <c r="EH27" s="403"/>
      <c r="EI27" s="404"/>
      <c r="EJ27" s="403"/>
      <c r="EK27" s="405"/>
      <c r="EL27" s="394"/>
    </row>
    <row r="28" spans="1:142" s="400" customFormat="1" ht="14.4" thickBot="1">
      <c r="A28" s="511" t="s">
        <v>43</v>
      </c>
      <c r="B28" s="394"/>
      <c r="C28" s="401">
        <v>0</v>
      </c>
      <c r="D28" s="402">
        <v>0</v>
      </c>
      <c r="E28" s="403">
        <v>-4.25</v>
      </c>
      <c r="F28" s="404">
        <v>6</v>
      </c>
      <c r="G28" s="403">
        <v>-3.75</v>
      </c>
      <c r="H28" s="405">
        <v>3.25</v>
      </c>
      <c r="I28" s="394"/>
      <c r="J28" s="401">
        <v>0</v>
      </c>
      <c r="K28" s="402">
        <v>0</v>
      </c>
      <c r="L28" s="403">
        <v>-2.5</v>
      </c>
      <c r="M28" s="404">
        <v>0.4</v>
      </c>
      <c r="N28" s="403">
        <v>-3.75</v>
      </c>
      <c r="O28" s="405">
        <v>3.25</v>
      </c>
      <c r="P28" s="394"/>
      <c r="Q28" s="403">
        <v>-12.6</v>
      </c>
      <c r="R28" s="405">
        <v>7.05</v>
      </c>
      <c r="S28" s="403">
        <v>-2.5</v>
      </c>
      <c r="T28" s="404">
        <v>0.4</v>
      </c>
      <c r="U28" s="403">
        <v>-3.75</v>
      </c>
      <c r="V28" s="405">
        <v>3.25</v>
      </c>
      <c r="W28" s="394"/>
      <c r="X28" s="401">
        <v>-12.7</v>
      </c>
      <c r="Y28" s="404">
        <v>17.75</v>
      </c>
      <c r="Z28" s="403">
        <v>-2.5</v>
      </c>
      <c r="AA28" s="404">
        <v>0.4</v>
      </c>
      <c r="AB28" s="403">
        <v>-3.75</v>
      </c>
      <c r="AC28" s="405">
        <v>3.25</v>
      </c>
      <c r="AD28" s="394"/>
      <c r="AE28" s="401">
        <v>-4.4000000000000004</v>
      </c>
      <c r="AF28" s="404">
        <v>2.09</v>
      </c>
      <c r="AG28" s="403">
        <v>-2.5</v>
      </c>
      <c r="AH28" s="404">
        <v>0.4</v>
      </c>
      <c r="AI28" s="403">
        <v>-3.75</v>
      </c>
      <c r="AJ28" s="405">
        <v>3.25</v>
      </c>
      <c r="AK28" s="394"/>
      <c r="AL28" s="401">
        <v>-8.35</v>
      </c>
      <c r="AM28" s="404">
        <v>9.4</v>
      </c>
      <c r="AN28" s="403">
        <v>-3.5</v>
      </c>
      <c r="AO28" s="404">
        <v>1</v>
      </c>
      <c r="AP28" s="403">
        <v>-3.75</v>
      </c>
      <c r="AQ28" s="405">
        <v>3.25</v>
      </c>
      <c r="AR28" s="394"/>
      <c r="AS28" s="401">
        <v>-4.03</v>
      </c>
      <c r="AT28" s="404">
        <v>41.93</v>
      </c>
      <c r="AU28" s="403">
        <v>-9.25</v>
      </c>
      <c r="AV28" s="404">
        <v>1.25</v>
      </c>
      <c r="AW28" s="403">
        <v>-3.75</v>
      </c>
      <c r="AX28" s="405">
        <v>3.25</v>
      </c>
      <c r="AY28" s="394"/>
      <c r="AZ28" s="401">
        <v>0</v>
      </c>
      <c r="BA28" s="402">
        <v>0</v>
      </c>
      <c r="BB28" s="403">
        <v>-2.5</v>
      </c>
      <c r="BC28" s="404">
        <v>0.4</v>
      </c>
      <c r="BD28" s="403">
        <v>0</v>
      </c>
      <c r="BE28" s="405">
        <v>0</v>
      </c>
      <c r="BF28" s="394"/>
      <c r="BG28" s="401">
        <v>-6.6</v>
      </c>
      <c r="BH28" s="404">
        <v>6.6</v>
      </c>
      <c r="BI28" s="403">
        <v>-3</v>
      </c>
      <c r="BJ28" s="404">
        <v>0.4</v>
      </c>
      <c r="BK28" s="403">
        <v>-3.75</v>
      </c>
      <c r="BL28" s="405">
        <v>3.25</v>
      </c>
      <c r="BM28" s="394"/>
      <c r="BN28" s="397">
        <v>-4.3194784026079871</v>
      </c>
      <c r="BO28" s="534">
        <v>0.64412238325281801</v>
      </c>
      <c r="BP28" s="397">
        <v>-4.3194784026079871</v>
      </c>
      <c r="BQ28" s="534">
        <v>0.64412238325281801</v>
      </c>
      <c r="BR28" s="403">
        <v>-3.75</v>
      </c>
      <c r="BS28" s="405">
        <v>3.25</v>
      </c>
      <c r="BT28" s="394"/>
      <c r="BU28" s="401"/>
      <c r="BV28" s="404"/>
      <c r="BW28" s="403"/>
      <c r="BX28" s="404"/>
      <c r="BY28" s="403"/>
      <c r="BZ28" s="405"/>
      <c r="CA28" s="394"/>
      <c r="CB28" s="401"/>
      <c r="CC28" s="404"/>
      <c r="CD28" s="403"/>
      <c r="CE28" s="404"/>
      <c r="CF28" s="403"/>
      <c r="CG28" s="405"/>
      <c r="CH28" s="394"/>
      <c r="CI28" s="401"/>
      <c r="CJ28" s="404"/>
      <c r="CK28" s="403"/>
      <c r="CL28" s="404"/>
      <c r="CM28" s="403"/>
      <c r="CN28" s="405"/>
      <c r="CO28" s="394"/>
      <c r="CP28" s="401"/>
      <c r="CQ28" s="404"/>
      <c r="CR28" s="403"/>
      <c r="CS28" s="404"/>
      <c r="CT28" s="403"/>
      <c r="CU28" s="405"/>
      <c r="CV28" s="394"/>
      <c r="CW28" s="401"/>
      <c r="CX28" s="404"/>
      <c r="CY28" s="403"/>
      <c r="CZ28" s="404"/>
      <c r="DA28" s="403"/>
      <c r="DB28" s="405"/>
      <c r="DC28" s="394"/>
      <c r="DD28" s="401"/>
      <c r="DE28" s="404"/>
      <c r="DF28" s="403"/>
      <c r="DG28" s="404"/>
      <c r="DH28" s="403"/>
      <c r="DI28" s="405"/>
      <c r="DJ28" s="394"/>
      <c r="DK28" s="401"/>
      <c r="DL28" s="404"/>
      <c r="DM28" s="403"/>
      <c r="DN28" s="404"/>
      <c r="DO28" s="403"/>
      <c r="DP28" s="405"/>
      <c r="DQ28" s="394"/>
      <c r="DR28" s="401"/>
      <c r="DS28" s="404"/>
      <c r="DT28" s="403"/>
      <c r="DU28" s="404"/>
      <c r="DV28" s="403"/>
      <c r="DW28" s="405"/>
      <c r="DX28" s="394"/>
      <c r="DY28" s="401"/>
      <c r="DZ28" s="404"/>
      <c r="EA28" s="403"/>
      <c r="EB28" s="404"/>
      <c r="EC28" s="403"/>
      <c r="ED28" s="405"/>
      <c r="EE28" s="394"/>
      <c r="EF28" s="401"/>
      <c r="EG28" s="404"/>
      <c r="EH28" s="403"/>
      <c r="EI28" s="404"/>
      <c r="EJ28" s="403"/>
      <c r="EK28" s="405"/>
      <c r="EL28" s="394"/>
    </row>
    <row r="29" spans="1:142" s="400" customFormat="1" ht="14.4" thickBot="1">
      <c r="A29" s="511" t="s">
        <v>44</v>
      </c>
      <c r="B29" s="394"/>
      <c r="C29" s="401">
        <v>0</v>
      </c>
      <c r="D29" s="402">
        <v>0</v>
      </c>
      <c r="E29" s="403">
        <v>-2</v>
      </c>
      <c r="F29" s="404">
        <v>3.75</v>
      </c>
      <c r="G29" s="403">
        <v>-1.75</v>
      </c>
      <c r="H29" s="405">
        <v>1.45</v>
      </c>
      <c r="I29" s="394"/>
      <c r="J29" s="401">
        <v>0</v>
      </c>
      <c r="K29" s="402">
        <v>0</v>
      </c>
      <c r="L29" s="403">
        <v>-2</v>
      </c>
      <c r="M29" s="404">
        <v>0</v>
      </c>
      <c r="N29" s="403">
        <v>-1.75</v>
      </c>
      <c r="O29" s="405">
        <v>1.45</v>
      </c>
      <c r="P29" s="394"/>
      <c r="Q29" s="403">
        <v>-3.2</v>
      </c>
      <c r="R29" s="405">
        <v>0</v>
      </c>
      <c r="S29" s="403">
        <v>-2</v>
      </c>
      <c r="T29" s="404">
        <v>0</v>
      </c>
      <c r="U29" s="403">
        <v>-1.75</v>
      </c>
      <c r="V29" s="405">
        <v>1.45</v>
      </c>
      <c r="W29" s="394"/>
      <c r="X29" s="401">
        <v>-9.5</v>
      </c>
      <c r="Y29" s="404">
        <v>9.9</v>
      </c>
      <c r="Z29" s="403">
        <v>-2</v>
      </c>
      <c r="AA29" s="404">
        <v>0</v>
      </c>
      <c r="AB29" s="403">
        <v>-1.75</v>
      </c>
      <c r="AC29" s="405">
        <v>1.45</v>
      </c>
      <c r="AD29" s="394"/>
      <c r="AE29" s="401">
        <v>-13.32</v>
      </c>
      <c r="AF29" s="404">
        <v>0</v>
      </c>
      <c r="AG29" s="403">
        <v>-2</v>
      </c>
      <c r="AH29" s="404">
        <v>0</v>
      </c>
      <c r="AI29" s="403">
        <v>-1.75</v>
      </c>
      <c r="AJ29" s="405">
        <v>1.45</v>
      </c>
      <c r="AK29" s="394"/>
      <c r="AL29" s="401">
        <v>-9.2799999999999994</v>
      </c>
      <c r="AM29" s="404">
        <v>7.54</v>
      </c>
      <c r="AN29" s="403">
        <v>-6</v>
      </c>
      <c r="AO29" s="404">
        <v>0.8</v>
      </c>
      <c r="AP29" s="403">
        <v>-1.75</v>
      </c>
      <c r="AQ29" s="405">
        <v>1.45</v>
      </c>
      <c r="AR29" s="394"/>
      <c r="AS29" s="401">
        <v>-3.23</v>
      </c>
      <c r="AT29" s="404">
        <v>19.350000000000001</v>
      </c>
      <c r="AU29" s="403">
        <v>-7.25</v>
      </c>
      <c r="AV29" s="404">
        <v>0.75</v>
      </c>
      <c r="AW29" s="403">
        <v>-1.75</v>
      </c>
      <c r="AX29" s="405">
        <v>1.45</v>
      </c>
      <c r="AY29" s="394"/>
      <c r="AZ29" s="401">
        <v>0</v>
      </c>
      <c r="BA29" s="402">
        <v>0</v>
      </c>
      <c r="BB29" s="403">
        <v>-2</v>
      </c>
      <c r="BC29" s="404">
        <v>0</v>
      </c>
      <c r="BD29" s="403">
        <v>0</v>
      </c>
      <c r="BE29" s="405">
        <v>0</v>
      </c>
      <c r="BF29" s="394"/>
      <c r="BG29" s="401">
        <v>-5.2</v>
      </c>
      <c r="BH29" s="404">
        <v>5.2</v>
      </c>
      <c r="BI29" s="403">
        <v>-2</v>
      </c>
      <c r="BJ29" s="404">
        <v>0.25</v>
      </c>
      <c r="BK29" s="403">
        <v>-1.75</v>
      </c>
      <c r="BL29" s="405">
        <v>1.7</v>
      </c>
      <c r="BM29" s="394"/>
      <c r="BN29" s="397">
        <v>-1.6299918500407498</v>
      </c>
      <c r="BO29" s="534">
        <v>0</v>
      </c>
      <c r="BP29" s="397">
        <v>-1.6299918500407498</v>
      </c>
      <c r="BQ29" s="534">
        <v>0</v>
      </c>
      <c r="BR29" s="403">
        <v>-1.75</v>
      </c>
      <c r="BS29" s="405">
        <v>1.45</v>
      </c>
      <c r="BT29" s="394"/>
      <c r="BU29" s="401"/>
      <c r="BV29" s="404"/>
      <c r="BW29" s="403"/>
      <c r="BX29" s="404"/>
      <c r="BY29" s="403"/>
      <c r="BZ29" s="405"/>
      <c r="CA29" s="394"/>
      <c r="CB29" s="401"/>
      <c r="CC29" s="404"/>
      <c r="CD29" s="403"/>
      <c r="CE29" s="404"/>
      <c r="CF29" s="403"/>
      <c r="CG29" s="405"/>
      <c r="CH29" s="394"/>
      <c r="CI29" s="401"/>
      <c r="CJ29" s="404"/>
      <c r="CK29" s="403"/>
      <c r="CL29" s="404"/>
      <c r="CM29" s="403"/>
      <c r="CN29" s="405"/>
      <c r="CO29" s="394"/>
      <c r="CP29" s="401"/>
      <c r="CQ29" s="404"/>
      <c r="CR29" s="403"/>
      <c r="CS29" s="404"/>
      <c r="CT29" s="403"/>
      <c r="CU29" s="405"/>
      <c r="CV29" s="394"/>
      <c r="CW29" s="401"/>
      <c r="CX29" s="404"/>
      <c r="CY29" s="403"/>
      <c r="CZ29" s="404"/>
      <c r="DA29" s="403"/>
      <c r="DB29" s="405"/>
      <c r="DC29" s="394"/>
      <c r="DD29" s="401"/>
      <c r="DE29" s="404"/>
      <c r="DF29" s="403"/>
      <c r="DG29" s="404"/>
      <c r="DH29" s="403"/>
      <c r="DI29" s="405"/>
      <c r="DJ29" s="394"/>
      <c r="DK29" s="401"/>
      <c r="DL29" s="404"/>
      <c r="DM29" s="403"/>
      <c r="DN29" s="404"/>
      <c r="DO29" s="403"/>
      <c r="DP29" s="405"/>
      <c r="DQ29" s="394"/>
      <c r="DR29" s="401"/>
      <c r="DS29" s="404"/>
      <c r="DT29" s="403"/>
      <c r="DU29" s="404"/>
      <c r="DV29" s="403"/>
      <c r="DW29" s="405"/>
      <c r="DX29" s="394"/>
      <c r="DY29" s="401"/>
      <c r="DZ29" s="404"/>
      <c r="EA29" s="403"/>
      <c r="EB29" s="404"/>
      <c r="EC29" s="403"/>
      <c r="ED29" s="405"/>
      <c r="EE29" s="394"/>
      <c r="EF29" s="401"/>
      <c r="EG29" s="404"/>
      <c r="EH29" s="403"/>
      <c r="EI29" s="404"/>
      <c r="EJ29" s="403"/>
      <c r="EK29" s="405"/>
      <c r="EL29" s="394"/>
    </row>
    <row r="30" spans="1:142" s="400" customFormat="1" ht="14.4" thickBot="1">
      <c r="A30" s="511" t="s">
        <v>45</v>
      </c>
      <c r="B30" s="394"/>
      <c r="C30" s="401">
        <v>0</v>
      </c>
      <c r="D30" s="402">
        <v>0</v>
      </c>
      <c r="E30" s="403">
        <v>-0.5</v>
      </c>
      <c r="F30" s="404">
        <v>3.5</v>
      </c>
      <c r="G30" s="403">
        <v>-1</v>
      </c>
      <c r="H30" s="405">
        <v>0.25</v>
      </c>
      <c r="I30" s="394"/>
      <c r="J30" s="401">
        <v>0</v>
      </c>
      <c r="K30" s="402">
        <v>0</v>
      </c>
      <c r="L30" s="403">
        <v>-1.25</v>
      </c>
      <c r="M30" s="404">
        <v>0.7</v>
      </c>
      <c r="N30" s="403">
        <v>-1</v>
      </c>
      <c r="O30" s="405">
        <v>0.25</v>
      </c>
      <c r="P30" s="394"/>
      <c r="Q30" s="403">
        <v>0</v>
      </c>
      <c r="R30" s="405">
        <v>0</v>
      </c>
      <c r="S30" s="403">
        <v>-1.25</v>
      </c>
      <c r="T30" s="404">
        <v>0.7</v>
      </c>
      <c r="U30" s="403">
        <v>-1</v>
      </c>
      <c r="V30" s="405">
        <v>0.25</v>
      </c>
      <c r="W30" s="394"/>
      <c r="X30" s="401">
        <v>-8.5</v>
      </c>
      <c r="Y30" s="404">
        <v>2.25</v>
      </c>
      <c r="Z30" s="403">
        <v>-1.25</v>
      </c>
      <c r="AA30" s="404">
        <v>0.7</v>
      </c>
      <c r="AB30" s="403">
        <v>-1</v>
      </c>
      <c r="AC30" s="405">
        <v>0.25</v>
      </c>
      <c r="AD30" s="394"/>
      <c r="AE30" s="401">
        <v>0</v>
      </c>
      <c r="AF30" s="404">
        <v>0</v>
      </c>
      <c r="AG30" s="403">
        <v>-1.25</v>
      </c>
      <c r="AH30" s="404">
        <v>0.7</v>
      </c>
      <c r="AI30" s="403">
        <v>-1</v>
      </c>
      <c r="AJ30" s="405">
        <v>0.25</v>
      </c>
      <c r="AK30" s="394"/>
      <c r="AL30" s="401">
        <v>-10.09</v>
      </c>
      <c r="AM30" s="404">
        <v>2.09</v>
      </c>
      <c r="AN30" s="403">
        <v>-4</v>
      </c>
      <c r="AO30" s="404">
        <v>0.75</v>
      </c>
      <c r="AP30" s="403">
        <v>-1</v>
      </c>
      <c r="AQ30" s="405">
        <v>0.25</v>
      </c>
      <c r="AR30" s="394"/>
      <c r="AS30" s="401">
        <v>0</v>
      </c>
      <c r="AT30" s="404">
        <v>2.42</v>
      </c>
      <c r="AU30" s="403">
        <v>-10</v>
      </c>
      <c r="AV30" s="404">
        <v>0.5</v>
      </c>
      <c r="AW30" s="403">
        <v>-1</v>
      </c>
      <c r="AX30" s="405">
        <v>0.25</v>
      </c>
      <c r="AY30" s="394"/>
      <c r="AZ30" s="401">
        <v>0</v>
      </c>
      <c r="BA30" s="402">
        <v>0</v>
      </c>
      <c r="BB30" s="403">
        <v>-1.25</v>
      </c>
      <c r="BC30" s="404">
        <v>0.7</v>
      </c>
      <c r="BD30" s="403">
        <v>0</v>
      </c>
      <c r="BE30" s="405">
        <v>0</v>
      </c>
      <c r="BF30" s="394"/>
      <c r="BG30" s="401">
        <v>-3.9</v>
      </c>
      <c r="BH30" s="404">
        <v>3.9</v>
      </c>
      <c r="BI30" s="403">
        <v>-1.25</v>
      </c>
      <c r="BJ30" s="404">
        <v>0</v>
      </c>
      <c r="BK30" s="403">
        <v>-1.1499999999999999</v>
      </c>
      <c r="BL30" s="405">
        <v>0</v>
      </c>
      <c r="BM30" s="394"/>
      <c r="BN30" s="397">
        <v>-0.16299918500407498</v>
      </c>
      <c r="BO30" s="534">
        <v>0.24154589371980675</v>
      </c>
      <c r="BP30" s="397">
        <v>-0.16299918500407498</v>
      </c>
      <c r="BQ30" s="534">
        <v>0.24154589371980675</v>
      </c>
      <c r="BR30" s="403">
        <v>-1</v>
      </c>
      <c r="BS30" s="405">
        <v>0.25</v>
      </c>
      <c r="BT30" s="394"/>
      <c r="BU30" s="401"/>
      <c r="BV30" s="404"/>
      <c r="BW30" s="403"/>
      <c r="BX30" s="404"/>
      <c r="BY30" s="403"/>
      <c r="BZ30" s="405"/>
      <c r="CA30" s="394"/>
      <c r="CB30" s="401"/>
      <c r="CC30" s="404"/>
      <c r="CD30" s="403"/>
      <c r="CE30" s="404"/>
      <c r="CF30" s="403"/>
      <c r="CG30" s="405"/>
      <c r="CH30" s="394"/>
      <c r="CI30" s="401"/>
      <c r="CJ30" s="404"/>
      <c r="CK30" s="403"/>
      <c r="CL30" s="404"/>
      <c r="CM30" s="403"/>
      <c r="CN30" s="405"/>
      <c r="CO30" s="394"/>
      <c r="CP30" s="401"/>
      <c r="CQ30" s="404"/>
      <c r="CR30" s="403"/>
      <c r="CS30" s="404"/>
      <c r="CT30" s="403"/>
      <c r="CU30" s="405"/>
      <c r="CV30" s="394"/>
      <c r="CW30" s="401"/>
      <c r="CX30" s="404"/>
      <c r="CY30" s="403"/>
      <c r="CZ30" s="404"/>
      <c r="DA30" s="403"/>
      <c r="DB30" s="405"/>
      <c r="DC30" s="394"/>
      <c r="DD30" s="401"/>
      <c r="DE30" s="404"/>
      <c r="DF30" s="403"/>
      <c r="DG30" s="404"/>
      <c r="DH30" s="403"/>
      <c r="DI30" s="405"/>
      <c r="DJ30" s="394"/>
      <c r="DK30" s="401"/>
      <c r="DL30" s="404"/>
      <c r="DM30" s="403"/>
      <c r="DN30" s="404"/>
      <c r="DO30" s="403"/>
      <c r="DP30" s="405"/>
      <c r="DQ30" s="394"/>
      <c r="DR30" s="401"/>
      <c r="DS30" s="404"/>
      <c r="DT30" s="403"/>
      <c r="DU30" s="404"/>
      <c r="DV30" s="403"/>
      <c r="DW30" s="405"/>
      <c r="DX30" s="394"/>
      <c r="DY30" s="401"/>
      <c r="DZ30" s="404"/>
      <c r="EA30" s="403"/>
      <c r="EB30" s="404"/>
      <c r="EC30" s="403"/>
      <c r="ED30" s="405"/>
      <c r="EE30" s="394"/>
      <c r="EF30" s="401"/>
      <c r="EG30" s="404"/>
      <c r="EH30" s="403"/>
      <c r="EI30" s="404"/>
      <c r="EJ30" s="403"/>
      <c r="EK30" s="405"/>
      <c r="EL30" s="394"/>
    </row>
    <row r="31" spans="1:142" s="400" customFormat="1" ht="14.4" thickBot="1">
      <c r="A31" s="511" t="s">
        <v>46</v>
      </c>
      <c r="B31" s="394"/>
      <c r="C31" s="401">
        <v>0</v>
      </c>
      <c r="D31" s="402">
        <v>0</v>
      </c>
      <c r="E31" s="403">
        <v>-0.25</v>
      </c>
      <c r="F31" s="404">
        <v>3.75</v>
      </c>
      <c r="G31" s="403">
        <v>-1.25</v>
      </c>
      <c r="H31" s="405">
        <v>0.25</v>
      </c>
      <c r="I31" s="394"/>
      <c r="J31" s="401">
        <v>0</v>
      </c>
      <c r="K31" s="402">
        <v>0</v>
      </c>
      <c r="L31" s="403">
        <v>-1.5</v>
      </c>
      <c r="M31" s="404">
        <v>0</v>
      </c>
      <c r="N31" s="403">
        <v>-1.25</v>
      </c>
      <c r="O31" s="405">
        <v>0.25</v>
      </c>
      <c r="P31" s="394"/>
      <c r="Q31" s="403">
        <v>0</v>
      </c>
      <c r="R31" s="405">
        <v>0</v>
      </c>
      <c r="S31" s="403">
        <v>-1.5</v>
      </c>
      <c r="T31" s="404">
        <v>0</v>
      </c>
      <c r="U31" s="403">
        <v>-1.25</v>
      </c>
      <c r="V31" s="405">
        <v>0.25</v>
      </c>
      <c r="W31" s="394"/>
      <c r="X31" s="401">
        <v>-8</v>
      </c>
      <c r="Y31" s="404">
        <v>1.25</v>
      </c>
      <c r="Z31" s="403">
        <v>-1.5</v>
      </c>
      <c r="AA31" s="404">
        <v>0</v>
      </c>
      <c r="AB31" s="403">
        <v>-1.25</v>
      </c>
      <c r="AC31" s="405">
        <v>0.25</v>
      </c>
      <c r="AD31" s="394"/>
      <c r="AE31" s="401">
        <v>0</v>
      </c>
      <c r="AF31" s="404">
        <v>0</v>
      </c>
      <c r="AG31" s="403">
        <v>-1.5</v>
      </c>
      <c r="AH31" s="404">
        <v>0</v>
      </c>
      <c r="AI31" s="403">
        <v>-1.25</v>
      </c>
      <c r="AJ31" s="405">
        <v>0.25</v>
      </c>
      <c r="AK31" s="394"/>
      <c r="AL31" s="401">
        <v>-9.98</v>
      </c>
      <c r="AM31" s="404">
        <v>1.04</v>
      </c>
      <c r="AN31" s="403">
        <v>-3.5</v>
      </c>
      <c r="AO31" s="404">
        <v>0.5</v>
      </c>
      <c r="AP31" s="403">
        <v>-1.25</v>
      </c>
      <c r="AQ31" s="405">
        <v>0.25</v>
      </c>
      <c r="AR31" s="394"/>
      <c r="AS31" s="401">
        <v>-64.52</v>
      </c>
      <c r="AT31" s="404">
        <v>15.32</v>
      </c>
      <c r="AU31" s="403">
        <v>-15.75</v>
      </c>
      <c r="AV31" s="404">
        <v>0</v>
      </c>
      <c r="AW31" s="403">
        <v>-1.25</v>
      </c>
      <c r="AX31" s="405">
        <v>0.25</v>
      </c>
      <c r="AY31" s="394"/>
      <c r="AZ31" s="401">
        <v>0</v>
      </c>
      <c r="BA31" s="402">
        <v>0</v>
      </c>
      <c r="BB31" s="403">
        <v>-1.5</v>
      </c>
      <c r="BC31" s="404">
        <v>0</v>
      </c>
      <c r="BD31" s="403">
        <v>0</v>
      </c>
      <c r="BE31" s="405">
        <v>0</v>
      </c>
      <c r="BF31" s="394"/>
      <c r="BG31" s="401">
        <v>-3.4</v>
      </c>
      <c r="BH31" s="404">
        <v>3.4</v>
      </c>
      <c r="BI31" s="403">
        <v>-1.5</v>
      </c>
      <c r="BJ31" s="404">
        <v>0</v>
      </c>
      <c r="BK31" s="403">
        <v>0</v>
      </c>
      <c r="BL31" s="405">
        <v>0</v>
      </c>
      <c r="BM31" s="394"/>
      <c r="BN31" s="397">
        <v>0</v>
      </c>
      <c r="BO31" s="533">
        <v>0</v>
      </c>
      <c r="BP31" s="397">
        <v>0</v>
      </c>
      <c r="BQ31" s="533">
        <v>0</v>
      </c>
      <c r="BR31" s="403">
        <v>-1.25</v>
      </c>
      <c r="BS31" s="405">
        <v>0.25</v>
      </c>
      <c r="BT31" s="394"/>
      <c r="BU31" s="401"/>
      <c r="BV31" s="404"/>
      <c r="BW31" s="403"/>
      <c r="BX31" s="404"/>
      <c r="BY31" s="403"/>
      <c r="BZ31" s="405"/>
      <c r="CA31" s="394"/>
      <c r="CB31" s="401"/>
      <c r="CC31" s="404"/>
      <c r="CD31" s="403"/>
      <c r="CE31" s="404"/>
      <c r="CF31" s="403"/>
      <c r="CG31" s="405"/>
      <c r="CH31" s="394"/>
      <c r="CI31" s="401"/>
      <c r="CJ31" s="404"/>
      <c r="CK31" s="403"/>
      <c r="CL31" s="404"/>
      <c r="CM31" s="403"/>
      <c r="CN31" s="405"/>
      <c r="CO31" s="394"/>
      <c r="CP31" s="401"/>
      <c r="CQ31" s="404"/>
      <c r="CR31" s="403"/>
      <c r="CS31" s="404"/>
      <c r="CT31" s="403"/>
      <c r="CU31" s="405"/>
      <c r="CV31" s="394"/>
      <c r="CW31" s="401"/>
      <c r="CX31" s="404"/>
      <c r="CY31" s="403"/>
      <c r="CZ31" s="404"/>
      <c r="DA31" s="403"/>
      <c r="DB31" s="405"/>
      <c r="DC31" s="394"/>
      <c r="DD31" s="401"/>
      <c r="DE31" s="404"/>
      <c r="DF31" s="403"/>
      <c r="DG31" s="404"/>
      <c r="DH31" s="403"/>
      <c r="DI31" s="405"/>
      <c r="DJ31" s="394"/>
      <c r="DK31" s="401"/>
      <c r="DL31" s="404"/>
      <c r="DM31" s="403"/>
      <c r="DN31" s="404"/>
      <c r="DO31" s="403"/>
      <c r="DP31" s="405"/>
      <c r="DQ31" s="394"/>
      <c r="DR31" s="401"/>
      <c r="DS31" s="404"/>
      <c r="DT31" s="403"/>
      <c r="DU31" s="404"/>
      <c r="DV31" s="403"/>
      <c r="DW31" s="405"/>
      <c r="DX31" s="394"/>
      <c r="DY31" s="401"/>
      <c r="DZ31" s="404"/>
      <c r="EA31" s="403"/>
      <c r="EB31" s="404"/>
      <c r="EC31" s="403"/>
      <c r="ED31" s="405"/>
      <c r="EE31" s="394"/>
      <c r="EF31" s="401"/>
      <c r="EG31" s="404"/>
      <c r="EH31" s="403"/>
      <c r="EI31" s="404"/>
      <c r="EJ31" s="403"/>
      <c r="EK31" s="405"/>
      <c r="EL31" s="394"/>
    </row>
    <row r="32" spans="1:142" s="400" customFormat="1" ht="14.4" thickBot="1">
      <c r="A32" s="512" t="s">
        <v>24</v>
      </c>
      <c r="B32" s="394"/>
      <c r="C32" s="406">
        <v>0</v>
      </c>
      <c r="D32" s="407">
        <v>0</v>
      </c>
      <c r="E32" s="408">
        <v>0</v>
      </c>
      <c r="F32" s="409">
        <v>2</v>
      </c>
      <c r="G32" s="408">
        <v>-0.65</v>
      </c>
      <c r="H32" s="410">
        <v>0</v>
      </c>
      <c r="I32" s="394"/>
      <c r="J32" s="406">
        <v>0</v>
      </c>
      <c r="K32" s="407">
        <v>0</v>
      </c>
      <c r="L32" s="408">
        <v>-0.5</v>
      </c>
      <c r="M32" s="409">
        <v>0</v>
      </c>
      <c r="N32" s="408">
        <v>-0.65</v>
      </c>
      <c r="O32" s="410">
        <v>0</v>
      </c>
      <c r="P32" s="394"/>
      <c r="Q32" s="408">
        <v>0</v>
      </c>
      <c r="R32" s="410">
        <v>0</v>
      </c>
      <c r="S32" s="408">
        <v>-0.5</v>
      </c>
      <c r="T32" s="409">
        <v>0</v>
      </c>
      <c r="U32" s="408">
        <v>-0.65</v>
      </c>
      <c r="V32" s="410">
        <v>0</v>
      </c>
      <c r="W32" s="394"/>
      <c r="X32" s="406">
        <v>-5.25</v>
      </c>
      <c r="Y32" s="409">
        <v>1</v>
      </c>
      <c r="Z32" s="408">
        <v>-0.5</v>
      </c>
      <c r="AA32" s="409">
        <v>0</v>
      </c>
      <c r="AB32" s="408">
        <v>-0.65</v>
      </c>
      <c r="AC32" s="410">
        <v>0</v>
      </c>
      <c r="AD32" s="394"/>
      <c r="AE32" s="406">
        <v>0</v>
      </c>
      <c r="AF32" s="409">
        <v>0</v>
      </c>
      <c r="AG32" s="408">
        <v>-0.5</v>
      </c>
      <c r="AH32" s="409">
        <v>0</v>
      </c>
      <c r="AI32" s="408">
        <v>-0.65</v>
      </c>
      <c r="AJ32" s="410">
        <v>0</v>
      </c>
      <c r="AK32" s="394"/>
      <c r="AL32" s="406">
        <v>-5.92</v>
      </c>
      <c r="AM32" s="409">
        <v>0</v>
      </c>
      <c r="AN32" s="408">
        <v>-2</v>
      </c>
      <c r="AO32" s="409">
        <v>0</v>
      </c>
      <c r="AP32" s="408">
        <v>-0.65</v>
      </c>
      <c r="AQ32" s="410">
        <v>0</v>
      </c>
      <c r="AR32" s="394"/>
      <c r="AS32" s="406">
        <v>-11.28</v>
      </c>
      <c r="AT32" s="409">
        <v>0</v>
      </c>
      <c r="AU32" s="408">
        <v>-8</v>
      </c>
      <c r="AV32" s="409">
        <v>0</v>
      </c>
      <c r="AW32" s="408">
        <v>-0.65</v>
      </c>
      <c r="AX32" s="410">
        <v>0</v>
      </c>
      <c r="AY32" s="394"/>
      <c r="AZ32" s="406">
        <v>0</v>
      </c>
      <c r="BA32" s="407">
        <v>0</v>
      </c>
      <c r="BB32" s="408">
        <v>-0.5</v>
      </c>
      <c r="BC32" s="409">
        <v>0</v>
      </c>
      <c r="BD32" s="408">
        <v>0</v>
      </c>
      <c r="BE32" s="410">
        <v>0</v>
      </c>
      <c r="BF32" s="394"/>
      <c r="BG32" s="406">
        <v>-2</v>
      </c>
      <c r="BH32" s="409">
        <v>2</v>
      </c>
      <c r="BI32" s="408">
        <v>0</v>
      </c>
      <c r="BJ32" s="409">
        <v>0</v>
      </c>
      <c r="BK32" s="408">
        <v>0</v>
      </c>
      <c r="BL32" s="410">
        <v>0</v>
      </c>
      <c r="BM32" s="394"/>
      <c r="BN32" s="397">
        <v>0</v>
      </c>
      <c r="BO32" s="533">
        <v>0</v>
      </c>
      <c r="BP32" s="397">
        <v>0</v>
      </c>
      <c r="BQ32" s="533">
        <v>0</v>
      </c>
      <c r="BR32" s="408">
        <v>-0.65</v>
      </c>
      <c r="BS32" s="410">
        <v>0</v>
      </c>
      <c r="BT32" s="394"/>
      <c r="BU32" s="406"/>
      <c r="BV32" s="409"/>
      <c r="BW32" s="408"/>
      <c r="BX32" s="409"/>
      <c r="BY32" s="408"/>
      <c r="BZ32" s="410"/>
      <c r="CA32" s="394"/>
      <c r="CB32" s="406"/>
      <c r="CC32" s="409"/>
      <c r="CD32" s="408"/>
      <c r="CE32" s="409"/>
      <c r="CF32" s="408"/>
      <c r="CG32" s="410"/>
      <c r="CH32" s="394"/>
      <c r="CI32" s="406"/>
      <c r="CJ32" s="409"/>
      <c r="CK32" s="408"/>
      <c r="CL32" s="409"/>
      <c r="CM32" s="408"/>
      <c r="CN32" s="410"/>
      <c r="CO32" s="394"/>
      <c r="CP32" s="406"/>
      <c r="CQ32" s="409"/>
      <c r="CR32" s="408"/>
      <c r="CS32" s="409"/>
      <c r="CT32" s="408"/>
      <c r="CU32" s="410"/>
      <c r="CV32" s="394"/>
      <c r="CW32" s="406"/>
      <c r="CX32" s="409"/>
      <c r="CY32" s="408"/>
      <c r="CZ32" s="409"/>
      <c r="DA32" s="408"/>
      <c r="DB32" s="410"/>
      <c r="DC32" s="394"/>
      <c r="DD32" s="406"/>
      <c r="DE32" s="409"/>
      <c r="DF32" s="408"/>
      <c r="DG32" s="409"/>
      <c r="DH32" s="408"/>
      <c r="DI32" s="410"/>
      <c r="DJ32" s="394"/>
      <c r="DK32" s="406"/>
      <c r="DL32" s="409"/>
      <c r="DM32" s="408"/>
      <c r="DN32" s="409"/>
      <c r="DO32" s="408"/>
      <c r="DP32" s="410"/>
      <c r="DQ32" s="394"/>
      <c r="DR32" s="406"/>
      <c r="DS32" s="409"/>
      <c r="DT32" s="408"/>
      <c r="DU32" s="409"/>
      <c r="DV32" s="408"/>
      <c r="DW32" s="410"/>
      <c r="DX32" s="394"/>
      <c r="DY32" s="406"/>
      <c r="DZ32" s="409"/>
      <c r="EA32" s="408"/>
      <c r="EB32" s="409"/>
      <c r="EC32" s="408"/>
      <c r="ED32" s="410"/>
      <c r="EE32" s="394"/>
      <c r="EF32" s="406"/>
      <c r="EG32" s="409"/>
      <c r="EH32" s="408"/>
      <c r="EI32" s="409"/>
      <c r="EJ32" s="408"/>
      <c r="EK32" s="410"/>
      <c r="EL32" s="394"/>
    </row>
    <row r="33" spans="1:142" s="429" customFormat="1" ht="14.4" thickBot="1">
      <c r="A33" s="451" t="s">
        <v>204</v>
      </c>
      <c r="B33" s="450"/>
      <c r="C33" s="452">
        <f t="shared" ref="C33:H33" si="0">SUM(C9:C32)</f>
        <v>-100</v>
      </c>
      <c r="D33" s="453">
        <f t="shared" si="0"/>
        <v>99.999999999999986</v>
      </c>
      <c r="E33" s="454">
        <f t="shared" si="0"/>
        <v>-100</v>
      </c>
      <c r="F33" s="455">
        <f t="shared" si="0"/>
        <v>100</v>
      </c>
      <c r="G33" s="454">
        <f t="shared" si="0"/>
        <v>-100</v>
      </c>
      <c r="H33" s="456">
        <f t="shared" si="0"/>
        <v>100</v>
      </c>
      <c r="I33" s="450"/>
      <c r="J33" s="452">
        <f t="shared" ref="J33:O33" si="1">SUM(J9:J32)</f>
        <v>-100</v>
      </c>
      <c r="K33" s="455">
        <f t="shared" si="1"/>
        <v>99.999999999999986</v>
      </c>
      <c r="L33" s="454">
        <f t="shared" si="1"/>
        <v>-100</v>
      </c>
      <c r="M33" s="455">
        <f t="shared" si="1"/>
        <v>100.00000000000003</v>
      </c>
      <c r="N33" s="454">
        <f t="shared" si="1"/>
        <v>-100</v>
      </c>
      <c r="O33" s="456">
        <f t="shared" si="1"/>
        <v>100</v>
      </c>
      <c r="P33" s="450"/>
      <c r="Q33" s="452">
        <f t="shared" ref="Q33:V33" si="2">SUM(Q9:Q32)</f>
        <v>-99.999999999999986</v>
      </c>
      <c r="R33" s="455">
        <f t="shared" si="2"/>
        <v>100</v>
      </c>
      <c r="S33" s="454">
        <f t="shared" si="2"/>
        <v>-100</v>
      </c>
      <c r="T33" s="455">
        <f t="shared" si="2"/>
        <v>100.00000000000003</v>
      </c>
      <c r="U33" s="454">
        <f t="shared" si="2"/>
        <v>-100</v>
      </c>
      <c r="V33" s="456">
        <f t="shared" si="2"/>
        <v>100</v>
      </c>
      <c r="W33" s="450"/>
      <c r="X33" s="452">
        <f t="shared" ref="X33:AC33" si="3">SUM(X9:X32)</f>
        <v>-100</v>
      </c>
      <c r="Y33" s="455">
        <f t="shared" si="3"/>
        <v>100</v>
      </c>
      <c r="Z33" s="454">
        <f t="shared" si="3"/>
        <v>-100</v>
      </c>
      <c r="AA33" s="455">
        <f t="shared" si="3"/>
        <v>100.00000000000003</v>
      </c>
      <c r="AB33" s="454">
        <f t="shared" si="3"/>
        <v>-100</v>
      </c>
      <c r="AC33" s="456">
        <f t="shared" si="3"/>
        <v>100</v>
      </c>
      <c r="AD33" s="450"/>
      <c r="AE33" s="452">
        <f t="shared" ref="AE33:AJ33" si="4">SUM(AE9:AE32)</f>
        <v>-100</v>
      </c>
      <c r="AF33" s="455">
        <f t="shared" si="4"/>
        <v>100.00000000000001</v>
      </c>
      <c r="AG33" s="454">
        <f t="shared" si="4"/>
        <v>-100</v>
      </c>
      <c r="AH33" s="455">
        <f t="shared" si="4"/>
        <v>100.00000000000003</v>
      </c>
      <c r="AI33" s="454">
        <f t="shared" si="4"/>
        <v>-100</v>
      </c>
      <c r="AJ33" s="456">
        <f t="shared" si="4"/>
        <v>100</v>
      </c>
      <c r="AK33" s="450"/>
      <c r="AL33" s="452">
        <f t="shared" ref="AL33:AQ33" si="5">SUM(AL9:AL32)</f>
        <v>-100.00000000000001</v>
      </c>
      <c r="AM33" s="455">
        <f t="shared" si="5"/>
        <v>100.00000000000003</v>
      </c>
      <c r="AN33" s="454">
        <f t="shared" si="5"/>
        <v>-100</v>
      </c>
      <c r="AO33" s="455">
        <f t="shared" si="5"/>
        <v>100</v>
      </c>
      <c r="AP33" s="454">
        <f t="shared" si="5"/>
        <v>-100</v>
      </c>
      <c r="AQ33" s="456">
        <f t="shared" si="5"/>
        <v>100</v>
      </c>
      <c r="AR33" s="450"/>
      <c r="AS33" s="452">
        <f t="shared" ref="AS33:AX33" si="6">SUM(AS9:AS32)</f>
        <v>-100</v>
      </c>
      <c r="AT33" s="455">
        <f t="shared" si="6"/>
        <v>100</v>
      </c>
      <c r="AU33" s="454">
        <f t="shared" si="6"/>
        <v>-100</v>
      </c>
      <c r="AV33" s="455">
        <f t="shared" si="6"/>
        <v>100</v>
      </c>
      <c r="AW33" s="454">
        <f t="shared" si="6"/>
        <v>-100</v>
      </c>
      <c r="AX33" s="456">
        <f t="shared" si="6"/>
        <v>100</v>
      </c>
      <c r="AY33" s="450"/>
      <c r="AZ33" s="452">
        <f t="shared" ref="AZ33:BE33" si="7">SUM(AZ9:AZ32)</f>
        <v>-100</v>
      </c>
      <c r="BA33" s="455">
        <f t="shared" si="7"/>
        <v>99.999999999999986</v>
      </c>
      <c r="BB33" s="454">
        <f t="shared" si="7"/>
        <v>-100</v>
      </c>
      <c r="BC33" s="455">
        <f t="shared" si="7"/>
        <v>100.00000000000003</v>
      </c>
      <c r="BD33" s="454">
        <f t="shared" si="7"/>
        <v>-100</v>
      </c>
      <c r="BE33" s="456">
        <f t="shared" si="7"/>
        <v>100</v>
      </c>
      <c r="BF33" s="450"/>
      <c r="BG33" s="452">
        <f t="shared" ref="BG33:BL33" si="8">SUM(BG9:BG32)</f>
        <v>-100.00000000000001</v>
      </c>
      <c r="BH33" s="455">
        <f t="shared" si="8"/>
        <v>100.00000000000001</v>
      </c>
      <c r="BI33" s="454">
        <f t="shared" si="8"/>
        <v>-100</v>
      </c>
      <c r="BJ33" s="455">
        <f t="shared" si="8"/>
        <v>100.00000000000003</v>
      </c>
      <c r="BK33" s="454">
        <f t="shared" si="8"/>
        <v>-100</v>
      </c>
      <c r="BL33" s="456">
        <f t="shared" si="8"/>
        <v>100</v>
      </c>
      <c r="BM33" s="450"/>
      <c r="BN33" s="452">
        <f t="shared" ref="BN33:BS33" si="9">SUM(BN9:BN32)</f>
        <v>-100</v>
      </c>
      <c r="BO33" s="455">
        <f t="shared" si="9"/>
        <v>100.00000000000001</v>
      </c>
      <c r="BP33" s="454">
        <f t="shared" si="9"/>
        <v>-100</v>
      </c>
      <c r="BQ33" s="455">
        <f t="shared" si="9"/>
        <v>100.00000000000001</v>
      </c>
      <c r="BR33" s="454">
        <f t="shared" si="9"/>
        <v>-100</v>
      </c>
      <c r="BS33" s="456">
        <f t="shared" si="9"/>
        <v>100</v>
      </c>
      <c r="BT33" s="450"/>
      <c r="BU33" s="452">
        <f t="shared" ref="BU33:BZ33" si="10">SUM(BU9:BU32)</f>
        <v>0</v>
      </c>
      <c r="BV33" s="455">
        <f t="shared" si="10"/>
        <v>0</v>
      </c>
      <c r="BW33" s="454">
        <f t="shared" si="10"/>
        <v>0</v>
      </c>
      <c r="BX33" s="455">
        <f t="shared" si="10"/>
        <v>0</v>
      </c>
      <c r="BY33" s="454">
        <f t="shared" si="10"/>
        <v>0</v>
      </c>
      <c r="BZ33" s="456">
        <f t="shared" si="10"/>
        <v>0</v>
      </c>
      <c r="CA33" s="450"/>
      <c r="CB33" s="452">
        <f t="shared" ref="CB33:CG33" si="11">SUM(CB9:CB32)</f>
        <v>0</v>
      </c>
      <c r="CC33" s="455">
        <f t="shared" si="11"/>
        <v>0</v>
      </c>
      <c r="CD33" s="454">
        <f t="shared" si="11"/>
        <v>0</v>
      </c>
      <c r="CE33" s="455">
        <f t="shared" si="11"/>
        <v>0</v>
      </c>
      <c r="CF33" s="454">
        <f t="shared" si="11"/>
        <v>0</v>
      </c>
      <c r="CG33" s="456">
        <f t="shared" si="11"/>
        <v>0</v>
      </c>
      <c r="CH33" s="450"/>
      <c r="CI33" s="452">
        <f t="shared" ref="CI33:CN33" si="12">SUM(CI9:CI32)</f>
        <v>0</v>
      </c>
      <c r="CJ33" s="455">
        <f t="shared" si="12"/>
        <v>0</v>
      </c>
      <c r="CK33" s="454">
        <f t="shared" si="12"/>
        <v>0</v>
      </c>
      <c r="CL33" s="455">
        <f t="shared" si="12"/>
        <v>0</v>
      </c>
      <c r="CM33" s="454">
        <f t="shared" si="12"/>
        <v>0</v>
      </c>
      <c r="CN33" s="456">
        <f t="shared" si="12"/>
        <v>0</v>
      </c>
      <c r="CO33" s="450"/>
      <c r="CP33" s="452">
        <f t="shared" ref="CP33:CU33" si="13">SUM(CP9:CP32)</f>
        <v>0</v>
      </c>
      <c r="CQ33" s="455">
        <f t="shared" si="13"/>
        <v>0</v>
      </c>
      <c r="CR33" s="454">
        <f t="shared" si="13"/>
        <v>0</v>
      </c>
      <c r="CS33" s="455">
        <f t="shared" si="13"/>
        <v>0</v>
      </c>
      <c r="CT33" s="454">
        <f t="shared" si="13"/>
        <v>0</v>
      </c>
      <c r="CU33" s="456">
        <f t="shared" si="13"/>
        <v>0</v>
      </c>
      <c r="CV33" s="450"/>
      <c r="CW33" s="452">
        <f t="shared" ref="CW33:DB33" si="14">SUM(CW9:CW32)</f>
        <v>0</v>
      </c>
      <c r="CX33" s="455">
        <f t="shared" si="14"/>
        <v>0</v>
      </c>
      <c r="CY33" s="454">
        <f t="shared" si="14"/>
        <v>0</v>
      </c>
      <c r="CZ33" s="455">
        <f t="shared" si="14"/>
        <v>0</v>
      </c>
      <c r="DA33" s="454">
        <f t="shared" si="14"/>
        <v>0</v>
      </c>
      <c r="DB33" s="456">
        <f t="shared" si="14"/>
        <v>0</v>
      </c>
      <c r="DC33" s="450"/>
      <c r="DD33" s="452">
        <f t="shared" ref="DD33:DI33" si="15">SUM(DD9:DD32)</f>
        <v>0</v>
      </c>
      <c r="DE33" s="455">
        <f t="shared" si="15"/>
        <v>0</v>
      </c>
      <c r="DF33" s="454">
        <f t="shared" si="15"/>
        <v>0</v>
      </c>
      <c r="DG33" s="455">
        <f t="shared" si="15"/>
        <v>0</v>
      </c>
      <c r="DH33" s="454">
        <f t="shared" si="15"/>
        <v>0</v>
      </c>
      <c r="DI33" s="456">
        <f t="shared" si="15"/>
        <v>0</v>
      </c>
      <c r="DJ33" s="450"/>
      <c r="DK33" s="452">
        <f t="shared" ref="DK33:DP33" si="16">SUM(DK9:DK32)</f>
        <v>0</v>
      </c>
      <c r="DL33" s="455">
        <f t="shared" si="16"/>
        <v>0</v>
      </c>
      <c r="DM33" s="454">
        <f t="shared" si="16"/>
        <v>0</v>
      </c>
      <c r="DN33" s="455">
        <f t="shared" si="16"/>
        <v>0</v>
      </c>
      <c r="DO33" s="454">
        <f t="shared" si="16"/>
        <v>0</v>
      </c>
      <c r="DP33" s="456">
        <f t="shared" si="16"/>
        <v>0</v>
      </c>
      <c r="DQ33" s="450"/>
      <c r="DR33" s="452">
        <f t="shared" ref="DR33:DW33" si="17">SUM(DR9:DR32)</f>
        <v>0</v>
      </c>
      <c r="DS33" s="455">
        <f t="shared" si="17"/>
        <v>0</v>
      </c>
      <c r="DT33" s="454">
        <f t="shared" si="17"/>
        <v>0</v>
      </c>
      <c r="DU33" s="455">
        <f t="shared" si="17"/>
        <v>0</v>
      </c>
      <c r="DV33" s="454">
        <f t="shared" si="17"/>
        <v>0</v>
      </c>
      <c r="DW33" s="456">
        <f t="shared" si="17"/>
        <v>0</v>
      </c>
      <c r="DX33" s="450"/>
      <c r="DY33" s="452">
        <f t="shared" ref="DY33:ED33" si="18">SUM(DY9:DY32)</f>
        <v>0</v>
      </c>
      <c r="DZ33" s="455">
        <f t="shared" si="18"/>
        <v>0</v>
      </c>
      <c r="EA33" s="454">
        <f t="shared" si="18"/>
        <v>0</v>
      </c>
      <c r="EB33" s="455">
        <f t="shared" si="18"/>
        <v>0</v>
      </c>
      <c r="EC33" s="454">
        <f t="shared" si="18"/>
        <v>0</v>
      </c>
      <c r="ED33" s="456">
        <f t="shared" si="18"/>
        <v>0</v>
      </c>
      <c r="EE33" s="450"/>
      <c r="EF33" s="452">
        <f t="shared" ref="EF33:EK33" si="19">SUM(EF9:EF32)</f>
        <v>0</v>
      </c>
      <c r="EG33" s="455">
        <f t="shared" si="19"/>
        <v>0</v>
      </c>
      <c r="EH33" s="454">
        <f t="shared" si="19"/>
        <v>0</v>
      </c>
      <c r="EI33" s="455">
        <f t="shared" si="19"/>
        <v>0</v>
      </c>
      <c r="EJ33" s="454">
        <f t="shared" si="19"/>
        <v>0</v>
      </c>
      <c r="EK33" s="456">
        <f t="shared" si="19"/>
        <v>0</v>
      </c>
      <c r="EL33" s="450"/>
    </row>
    <row r="34" spans="1:142">
      <c r="C34" s="457" t="str">
        <f>IF(C33&lt;&gt;-100,"FEHLER","")</f>
        <v/>
      </c>
      <c r="D34" s="457" t="str">
        <f>IF(D33&lt;&gt;100,"FEHLER","")</f>
        <v/>
      </c>
      <c r="E34" s="458" t="str">
        <f>IF(E33&lt;&gt;-100,"FEHLER","")</f>
        <v/>
      </c>
      <c r="F34" s="457" t="str">
        <f>IF(F33&lt;&gt;100,"FEHLER","")</f>
        <v/>
      </c>
      <c r="G34" s="457" t="str">
        <f>IF(G33&lt;&gt;-100,"FEHLER","")</f>
        <v/>
      </c>
      <c r="H34" s="457" t="str">
        <f>IF(H33&lt;&gt;100,"FEHLER","")</f>
        <v/>
      </c>
      <c r="J34" s="457" t="str">
        <f>IF(J33&lt;&gt;-100,"FEHLER","")</f>
        <v/>
      </c>
      <c r="K34" s="457" t="str">
        <f>IF(K33&lt;&gt;100,"FEHLER","")</f>
        <v/>
      </c>
      <c r="L34" s="457" t="str">
        <f>IF(L33&lt;&gt;-100,"FEHLER","")</f>
        <v/>
      </c>
      <c r="M34" s="457" t="str">
        <f>IF(M33&lt;&gt;100,"FEHLER","")</f>
        <v/>
      </c>
      <c r="N34" s="457" t="str">
        <f>IF(N33&lt;&gt;-100,"FEHLER","")</f>
        <v/>
      </c>
      <c r="O34" s="457" t="str">
        <f>IF(O33&lt;&gt;100,"FEHLER","")</f>
        <v/>
      </c>
      <c r="Q34" s="457" t="str">
        <f>IF(Q33&lt;&gt;-100,"FEHLER","")</f>
        <v/>
      </c>
      <c r="R34" s="457" t="str">
        <f>IF(R33&lt;&gt;100,"FEHLER","")</f>
        <v/>
      </c>
      <c r="S34" s="457" t="str">
        <f>IF(S33&lt;&gt;-100,"FEHLER","")</f>
        <v/>
      </c>
      <c r="T34" s="457" t="str">
        <f>IF(T33&lt;&gt;100,"FEHLER","")</f>
        <v/>
      </c>
      <c r="U34" s="457" t="str">
        <f>IF(U33&lt;&gt;-100,"FEHLER","")</f>
        <v/>
      </c>
      <c r="V34" s="457" t="str">
        <f>IF(V33&lt;&gt;100,"FEHLER","")</f>
        <v/>
      </c>
      <c r="X34" s="457" t="str">
        <f>IF(X33&lt;&gt;-100,"FEHLER","")</f>
        <v/>
      </c>
      <c r="Y34" s="457" t="str">
        <f>IF(Y33&lt;&gt;100,"FEHLER","")</f>
        <v/>
      </c>
      <c r="Z34" s="457" t="str">
        <f>IF(Z33&lt;&gt;-100,"FEHLER","")</f>
        <v/>
      </c>
      <c r="AA34" s="457" t="str">
        <f>IF(AA33&lt;&gt;100,"FEHLER","")</f>
        <v/>
      </c>
      <c r="AB34" s="457" t="str">
        <f>IF(AB33&lt;&gt;-100,"FEHLER","")</f>
        <v/>
      </c>
      <c r="AC34" s="457" t="str">
        <f>IF(AC33&lt;&gt;100,"FEHLER","")</f>
        <v/>
      </c>
      <c r="AE34" s="457" t="str">
        <f>IF(AE33&lt;&gt;-100,"FEHLER","")</f>
        <v/>
      </c>
      <c r="AF34" s="457" t="str">
        <f>IF(AF33&lt;&gt;100,"FEHLER","")</f>
        <v/>
      </c>
      <c r="AG34" s="457" t="str">
        <f>IF(AG33&lt;&gt;-100,"FEHLER","")</f>
        <v/>
      </c>
      <c r="AH34" s="457" t="str">
        <f>IF(AH33&lt;&gt;100,"FEHLER","")</f>
        <v/>
      </c>
      <c r="AI34" s="457" t="str">
        <f>IF(AI33&lt;&gt;-100,"FEHLER","")</f>
        <v/>
      </c>
      <c r="AJ34" s="457" t="str">
        <f>IF(AJ33&lt;&gt;100,"FEHLER","")</f>
        <v/>
      </c>
      <c r="AL34" s="457" t="str">
        <f>IF(AL33&lt;&gt;-100,"FEHLER","")</f>
        <v/>
      </c>
      <c r="AM34" s="457" t="str">
        <f>IF(AM33&lt;&gt;100,"FEHLER","")</f>
        <v/>
      </c>
      <c r="AN34" s="457" t="str">
        <f>IF(AN33&lt;&gt;-100,"FEHLER","")</f>
        <v/>
      </c>
      <c r="AO34" s="457" t="str">
        <f>IF(AO33&lt;&gt;100,"FEHLER","")</f>
        <v/>
      </c>
      <c r="AP34" s="457" t="str">
        <f>IF(AP33&lt;&gt;-100,"FEHLER","")</f>
        <v/>
      </c>
      <c r="AQ34" s="457" t="str">
        <f>IF(AQ33&lt;&gt;100,"FEHLER","")</f>
        <v/>
      </c>
      <c r="AS34" s="457" t="str">
        <f>IF(AS33&lt;&gt;-100,"FEHLER","")</f>
        <v/>
      </c>
      <c r="AT34" s="457" t="str">
        <f>IF(AT33&lt;&gt;100,"FEHLER","")</f>
        <v/>
      </c>
      <c r="AU34" s="457" t="str">
        <f>IF(AU33&lt;&gt;-100,"FEHLER","")</f>
        <v/>
      </c>
      <c r="AV34" s="457" t="str">
        <f>IF(AV33&lt;&gt;100,"FEHLER","")</f>
        <v/>
      </c>
      <c r="AW34" s="457" t="str">
        <f>IF(AW33&lt;&gt;-100,"FEHLER","")</f>
        <v/>
      </c>
      <c r="AX34" s="457" t="str">
        <f>IF(AX33&lt;&gt;100,"FEHLER","")</f>
        <v/>
      </c>
      <c r="AZ34" s="457" t="str">
        <f>IF(AZ33&lt;&gt;-100,"FEHLER","")</f>
        <v/>
      </c>
      <c r="BA34" s="457" t="str">
        <f>IF(BA33&lt;&gt;100,"FEHLER","")</f>
        <v/>
      </c>
      <c r="BB34" s="457" t="str">
        <f>IF(BB33&lt;&gt;-100,"FEHLER","")</f>
        <v/>
      </c>
      <c r="BC34" s="457" t="str">
        <f>IF(BC33&lt;&gt;100,"FEHLER","")</f>
        <v/>
      </c>
      <c r="BD34" s="457" t="str">
        <f>IF(BD33&lt;&gt;-100,"FEHLER","")</f>
        <v/>
      </c>
      <c r="BE34" s="457" t="str">
        <f>IF(BE33&lt;&gt;100,"FEHLER","")</f>
        <v/>
      </c>
      <c r="BG34" s="457" t="str">
        <f>IF(BG33&lt;&gt;-100,"FEHLER","")</f>
        <v/>
      </c>
      <c r="BH34" s="457" t="str">
        <f>IF(BH33&lt;&gt;100,"FEHLER","")</f>
        <v/>
      </c>
      <c r="BI34" s="457" t="str">
        <f>IF(BI33&lt;&gt;-100,"FEHLER","")</f>
        <v/>
      </c>
      <c r="BJ34" s="457" t="str">
        <f>IF(BJ33&lt;&gt;100,"FEHLER","")</f>
        <v/>
      </c>
      <c r="BK34" s="457" t="str">
        <f>IF(BK33&lt;&gt;-100,"FEHLER","")</f>
        <v/>
      </c>
      <c r="BL34" s="457" t="str">
        <f>IF(BL33&lt;&gt;100,"FEHLER","")</f>
        <v/>
      </c>
      <c r="BN34" s="457" t="str">
        <f>IF(BN33&lt;&gt;-100,"FEHLER","")</f>
        <v/>
      </c>
      <c r="BO34" s="457" t="str">
        <f>IF(BO33&lt;&gt;100,"FEHLER","")</f>
        <v/>
      </c>
      <c r="BP34" s="457" t="str">
        <f>IF(BP33&lt;&gt;-100,"FEHLER","")</f>
        <v/>
      </c>
      <c r="BQ34" s="457" t="str">
        <f>IF(BQ33&lt;&gt;100,"FEHLER","")</f>
        <v/>
      </c>
      <c r="BR34" s="457" t="str">
        <f>IF(BR33&lt;&gt;-100,"FEHLER","")</f>
        <v/>
      </c>
      <c r="BS34" s="457" t="str">
        <f>IF(BS33&lt;&gt;100,"FEHLER","")</f>
        <v/>
      </c>
      <c r="BU34" s="457" t="str">
        <f>IF(BU33&lt;&gt;-100,"FEHLER","")</f>
        <v>FEHLER</v>
      </c>
      <c r="BV34" s="457" t="str">
        <f>IF(BV33&lt;&gt;100,"FEHLER","")</f>
        <v>FEHLER</v>
      </c>
      <c r="BW34" s="457" t="str">
        <f>IF(BW33&lt;&gt;-100,"FEHLER","")</f>
        <v>FEHLER</v>
      </c>
      <c r="BX34" s="457" t="str">
        <f>IF(BX33&lt;&gt;100,"FEHLER","")</f>
        <v>FEHLER</v>
      </c>
      <c r="BY34" s="457" t="str">
        <f>IF(BY33&lt;&gt;-100,"FEHLER","")</f>
        <v>FEHLER</v>
      </c>
      <c r="BZ34" s="457" t="str">
        <f>IF(BZ33&lt;&gt;100,"FEHLER","")</f>
        <v>FEHLER</v>
      </c>
      <c r="CB34" s="457" t="str">
        <f>IF(CB33&lt;&gt;-100,"FEHLER","")</f>
        <v>FEHLER</v>
      </c>
      <c r="CC34" s="457" t="str">
        <f>IF(CC33&lt;&gt;100,"FEHLER","")</f>
        <v>FEHLER</v>
      </c>
      <c r="CD34" s="457" t="str">
        <f>IF(CD33&lt;&gt;-100,"FEHLER","")</f>
        <v>FEHLER</v>
      </c>
      <c r="CE34" s="457" t="str">
        <f>IF(CE33&lt;&gt;100,"FEHLER","")</f>
        <v>FEHLER</v>
      </c>
      <c r="CF34" s="457" t="str">
        <f>IF(CF33&lt;&gt;-100,"FEHLER","")</f>
        <v>FEHLER</v>
      </c>
      <c r="CG34" s="457" t="str">
        <f>IF(CG33&lt;&gt;100,"FEHLER","")</f>
        <v>FEHLER</v>
      </c>
      <c r="CI34" s="457" t="str">
        <f>IF(CI33&lt;&gt;-100,"FEHLER","")</f>
        <v>FEHLER</v>
      </c>
      <c r="CJ34" s="457" t="str">
        <f>IF(CJ33&lt;&gt;100,"FEHLER","")</f>
        <v>FEHLER</v>
      </c>
      <c r="CK34" s="457" t="str">
        <f>IF(CK33&lt;&gt;-100,"FEHLER","")</f>
        <v>FEHLER</v>
      </c>
      <c r="CL34" s="457" t="str">
        <f>IF(CL33&lt;&gt;100,"FEHLER","")</f>
        <v>FEHLER</v>
      </c>
      <c r="CM34" s="457" t="str">
        <f>IF(CM33&lt;&gt;-100,"FEHLER","")</f>
        <v>FEHLER</v>
      </c>
      <c r="CN34" s="457" t="str">
        <f>IF(CN33&lt;&gt;100,"FEHLER","")</f>
        <v>FEHLER</v>
      </c>
      <c r="CP34" s="457" t="str">
        <f>IF(CP33&lt;&gt;-100,"FEHLER","")</f>
        <v>FEHLER</v>
      </c>
      <c r="CQ34" s="457" t="str">
        <f>IF(CQ33&lt;&gt;100,"FEHLER","")</f>
        <v>FEHLER</v>
      </c>
      <c r="CR34" s="457" t="str">
        <f>IF(CR33&lt;&gt;-100,"FEHLER","")</f>
        <v>FEHLER</v>
      </c>
      <c r="CS34" s="457" t="str">
        <f>IF(CS33&lt;&gt;100,"FEHLER","")</f>
        <v>FEHLER</v>
      </c>
      <c r="CT34" s="457" t="str">
        <f>IF(CT33&lt;&gt;-100,"FEHLER","")</f>
        <v>FEHLER</v>
      </c>
      <c r="CU34" s="457" t="str">
        <f>IF(CU33&lt;&gt;100,"FEHLER","")</f>
        <v>FEHLER</v>
      </c>
      <c r="CW34" s="457" t="str">
        <f>IF(CW33&lt;&gt;-100,"FEHLER","")</f>
        <v>FEHLER</v>
      </c>
      <c r="CX34" s="457" t="str">
        <f>IF(CX33&lt;&gt;100,"FEHLER","")</f>
        <v>FEHLER</v>
      </c>
      <c r="CY34" s="457" t="str">
        <f>IF(CY33&lt;&gt;-100,"FEHLER","")</f>
        <v>FEHLER</v>
      </c>
      <c r="CZ34" s="457" t="str">
        <f>IF(CZ33&lt;&gt;100,"FEHLER","")</f>
        <v>FEHLER</v>
      </c>
      <c r="DA34" s="457" t="str">
        <f>IF(DA33&lt;&gt;-100,"FEHLER","")</f>
        <v>FEHLER</v>
      </c>
      <c r="DB34" s="457" t="str">
        <f>IF(DB33&lt;&gt;100,"FEHLER","")</f>
        <v>FEHLER</v>
      </c>
      <c r="DD34" s="457" t="str">
        <f>IF(DD33&lt;&gt;-100,"FEHLER","")</f>
        <v>FEHLER</v>
      </c>
      <c r="DE34" s="457" t="str">
        <f>IF(DE33&lt;&gt;100,"FEHLER","")</f>
        <v>FEHLER</v>
      </c>
      <c r="DF34" s="457" t="str">
        <f>IF(DF33&lt;&gt;-100,"FEHLER","")</f>
        <v>FEHLER</v>
      </c>
      <c r="DG34" s="457" t="str">
        <f>IF(DG33&lt;&gt;100,"FEHLER","")</f>
        <v>FEHLER</v>
      </c>
      <c r="DH34" s="457" t="str">
        <f>IF(DH33&lt;&gt;-100,"FEHLER","")</f>
        <v>FEHLER</v>
      </c>
      <c r="DI34" s="457" t="str">
        <f>IF(DI33&lt;&gt;100,"FEHLER","")</f>
        <v>FEHLER</v>
      </c>
      <c r="DK34" s="457" t="str">
        <f>IF(DK33&lt;&gt;-100,"FEHLER","")</f>
        <v>FEHLER</v>
      </c>
      <c r="DL34" s="457" t="str">
        <f>IF(DL33&lt;&gt;100,"FEHLER","")</f>
        <v>FEHLER</v>
      </c>
      <c r="DM34" s="457" t="str">
        <f>IF(DM33&lt;&gt;-100,"FEHLER","")</f>
        <v>FEHLER</v>
      </c>
      <c r="DN34" s="457" t="str">
        <f>IF(DN33&lt;&gt;100,"FEHLER","")</f>
        <v>FEHLER</v>
      </c>
      <c r="DO34" s="457" t="str">
        <f>IF(DO33&lt;&gt;-100,"FEHLER","")</f>
        <v>FEHLER</v>
      </c>
      <c r="DP34" s="457" t="str">
        <f>IF(DP33&lt;&gt;100,"FEHLER","")</f>
        <v>FEHLER</v>
      </c>
      <c r="DR34" s="457" t="str">
        <f>IF(DR33&lt;&gt;-100,"FEHLER","")</f>
        <v>FEHLER</v>
      </c>
      <c r="DS34" s="457" t="str">
        <f>IF(DS33&lt;&gt;100,"FEHLER","")</f>
        <v>FEHLER</v>
      </c>
      <c r="DT34" s="457" t="str">
        <f>IF(DT33&lt;&gt;-100,"FEHLER","")</f>
        <v>FEHLER</v>
      </c>
      <c r="DU34" s="457" t="str">
        <f>IF(DU33&lt;&gt;100,"FEHLER","")</f>
        <v>FEHLER</v>
      </c>
      <c r="DV34" s="457" t="str">
        <f>IF(DV33&lt;&gt;-100,"FEHLER","")</f>
        <v>FEHLER</v>
      </c>
      <c r="DW34" s="457" t="str">
        <f>IF(DW33&lt;&gt;100,"FEHLER","")</f>
        <v>FEHLER</v>
      </c>
      <c r="DY34" s="457" t="str">
        <f>IF(DY33&lt;&gt;-100,"FEHLER","")</f>
        <v>FEHLER</v>
      </c>
      <c r="DZ34" s="457" t="str">
        <f>IF(DZ33&lt;&gt;100,"FEHLER","")</f>
        <v>FEHLER</v>
      </c>
      <c r="EA34" s="457" t="str">
        <f>IF(EA33&lt;&gt;-100,"FEHLER","")</f>
        <v>FEHLER</v>
      </c>
      <c r="EB34" s="457" t="str">
        <f>IF(EB33&lt;&gt;100,"FEHLER","")</f>
        <v>FEHLER</v>
      </c>
      <c r="EC34" s="457" t="str">
        <f>IF(EC33&lt;&gt;-100,"FEHLER","")</f>
        <v>FEHLER</v>
      </c>
      <c r="ED34" s="457" t="str">
        <f>IF(ED33&lt;&gt;100,"FEHLER","")</f>
        <v>FEHLER</v>
      </c>
      <c r="EF34" s="457" t="str">
        <f>IF(EF33&lt;&gt;-100,"FEHLER","")</f>
        <v>FEHLER</v>
      </c>
      <c r="EG34" s="457" t="str">
        <f>IF(EG33&lt;&gt;100,"FEHLER","")</f>
        <v>FEHLER</v>
      </c>
      <c r="EH34" s="457" t="str">
        <f>IF(EH33&lt;&gt;-100,"FEHLER","")</f>
        <v>FEHLER</v>
      </c>
      <c r="EI34" s="457" t="str">
        <f>IF(EI33&lt;&gt;100,"FEHLER","")</f>
        <v>FEHLER</v>
      </c>
      <c r="EJ34" s="457" t="str">
        <f>IF(EJ33&lt;&gt;-100,"FEHLER","")</f>
        <v>FEHLER</v>
      </c>
      <c r="EK34" s="457" t="str">
        <f>IF(EK33&lt;&gt;100,"FEHLER","")</f>
        <v>FEHLER</v>
      </c>
    </row>
    <row r="36" spans="1:142" ht="15.6">
      <c r="A36" s="459" t="s">
        <v>205</v>
      </c>
    </row>
    <row r="37" spans="1:142">
      <c r="A37" s="794" t="s">
        <v>206</v>
      </c>
    </row>
    <row r="38" spans="1:142">
      <c r="A38" s="794"/>
    </row>
    <row r="39" spans="1:142">
      <c r="A39" s="794"/>
    </row>
    <row r="40" spans="1:142">
      <c r="A40" s="794"/>
    </row>
    <row r="41" spans="1:142">
      <c r="A41" s="794"/>
    </row>
    <row r="42" spans="1:142">
      <c r="A42" s="794"/>
    </row>
    <row r="43" spans="1:142">
      <c r="A43" s="794"/>
    </row>
    <row r="44" spans="1:142">
      <c r="A44" s="794"/>
    </row>
    <row r="45" spans="1:142">
      <c r="A45" s="794"/>
    </row>
    <row r="46" spans="1:142">
      <c r="A46" s="794"/>
    </row>
    <row r="47" spans="1:142">
      <c r="A47" s="794"/>
    </row>
    <row r="48" spans="1:142">
      <c r="A48" s="794"/>
    </row>
    <row r="49" spans="1:1">
      <c r="A49" s="794"/>
    </row>
    <row r="50" spans="1:1">
      <c r="A50" s="794"/>
    </row>
    <row r="51" spans="1:1">
      <c r="A51" s="794"/>
    </row>
    <row r="52" spans="1:1" ht="15.6">
      <c r="A52" s="459"/>
    </row>
    <row r="53" spans="1:1">
      <c r="A53" s="794" t="s">
        <v>207</v>
      </c>
    </row>
    <row r="54" spans="1:1">
      <c r="A54" s="794"/>
    </row>
    <row r="55" spans="1:1">
      <c r="A55" s="794"/>
    </row>
    <row r="56" spans="1:1">
      <c r="A56" s="794"/>
    </row>
    <row r="57" spans="1:1">
      <c r="A57" s="794"/>
    </row>
    <row r="58" spans="1:1">
      <c r="A58" s="794"/>
    </row>
    <row r="59" spans="1:1">
      <c r="A59" s="794"/>
    </row>
    <row r="60" spans="1:1">
      <c r="A60" s="794"/>
    </row>
    <row r="61" spans="1:1">
      <c r="A61" s="794"/>
    </row>
    <row r="62" spans="1:1">
      <c r="A62" s="794"/>
    </row>
    <row r="63" spans="1:1">
      <c r="A63" s="794"/>
    </row>
    <row r="64" spans="1:1">
      <c r="A64" s="794"/>
    </row>
    <row r="65" spans="1:1">
      <c r="A65" s="794"/>
    </row>
    <row r="66" spans="1:1">
      <c r="A66" s="794"/>
    </row>
    <row r="67" spans="1:1">
      <c r="A67" s="794"/>
    </row>
    <row r="68" spans="1:1" ht="15.6">
      <c r="A68" s="459"/>
    </row>
    <row r="69" spans="1:1">
      <c r="A69" s="794" t="s">
        <v>195</v>
      </c>
    </row>
    <row r="70" spans="1:1">
      <c r="A70" s="794"/>
    </row>
    <row r="71" spans="1:1">
      <c r="A71" s="794"/>
    </row>
    <row r="72" spans="1:1">
      <c r="A72" s="794"/>
    </row>
    <row r="73" spans="1:1">
      <c r="A73" s="794"/>
    </row>
    <row r="74" spans="1:1">
      <c r="A74" s="794"/>
    </row>
    <row r="75" spans="1:1">
      <c r="A75" s="794"/>
    </row>
    <row r="76" spans="1:1">
      <c r="A76" s="794"/>
    </row>
    <row r="77" spans="1:1">
      <c r="A77" s="794"/>
    </row>
    <row r="78" spans="1:1">
      <c r="A78" s="794"/>
    </row>
    <row r="79" spans="1:1">
      <c r="A79" s="794"/>
    </row>
    <row r="80" spans="1:1">
      <c r="A80" s="794"/>
    </row>
    <row r="81" spans="1:4">
      <c r="A81" s="794"/>
    </row>
    <row r="82" spans="1:4">
      <c r="A82" s="794"/>
    </row>
    <row r="83" spans="1:4">
      <c r="A83" s="794"/>
    </row>
    <row r="86" spans="1:4">
      <c r="C86" s="4" t="s">
        <v>208</v>
      </c>
      <c r="D86" s="4"/>
    </row>
    <row r="87" spans="1:4">
      <c r="C87" s="52">
        <f>1</f>
        <v>1</v>
      </c>
      <c r="D87" s="52" t="str">
        <f>C2</f>
        <v>Wohnnutzung 
(Hinweise zur Schätzung des Verkehrsaufkommens von Gebietstypen)</v>
      </c>
    </row>
    <row r="88" spans="1:4">
      <c r="C88" s="52">
        <f t="shared" ref="C88:C106" si="20">C87+1</f>
        <v>2</v>
      </c>
      <c r="D88" s="52" t="str">
        <f ca="1">INDIRECT(ADDRESS(ROW($C$2),COLUMN($C$2)+(C87*7)))</f>
        <v>kleinflächige gewerbliche Nutzung 
(Hinweise zur Schätzung des Verkehrsaufkommens von Gebietstypen)</v>
      </c>
    </row>
    <row r="89" spans="1:4">
      <c r="C89" s="52">
        <f t="shared" si="20"/>
        <v>3</v>
      </c>
      <c r="D89" s="52" t="str">
        <f t="shared" ref="D89:D106" ca="1" si="21">INDIRECT(ADDRESS(ROW($C$2),COLUMN($C$2)+(C88*7)))</f>
        <v>großflächige gewerbliche Nutzung 
(Hinweise zur Schätzung des Verkehrsaufkommens von Gebietstypen)</v>
      </c>
    </row>
    <row r="90" spans="1:4">
      <c r="C90" s="52">
        <f t="shared" si="20"/>
        <v>4</v>
      </c>
      <c r="D90" s="52" t="str">
        <f t="shared" ca="1" si="21"/>
        <v>Freizeiteinrichtung allgemein
(Hinweise zur Schätzung des Verkehrsaufkommens von Gebietstypen)</v>
      </c>
    </row>
    <row r="91" spans="1:4">
      <c r="C91" s="52">
        <f t="shared" si="20"/>
        <v>5</v>
      </c>
      <c r="D91" s="52" t="str">
        <f t="shared" ca="1" si="21"/>
        <v>Kur- und Heilbad 
(Hinweise zur Schätzung des Verkehrsaufkommens von Gebietstypen)</v>
      </c>
    </row>
    <row r="92" spans="1:4">
      <c r="C92" s="52">
        <f t="shared" si="20"/>
        <v>6</v>
      </c>
      <c r="D92" s="52" t="str">
        <f t="shared" ca="1" si="21"/>
        <v>Spaß- und Erlebnisbad 
(Hinweise zur Schätzung des Verkehrsaufkommens von Gebietstypen)</v>
      </c>
    </row>
    <row r="93" spans="1:4">
      <c r="C93" s="52">
        <f t="shared" si="20"/>
        <v>7</v>
      </c>
      <c r="D93" s="52" t="str">
        <f t="shared" ca="1" si="21"/>
        <v>Großkino
(Hinweise zur Schätzung des Verkehrsaufkommens von Gebietstypen)</v>
      </c>
    </row>
    <row r="94" spans="1:4">
      <c r="C94" s="52">
        <f t="shared" si="20"/>
        <v>8</v>
      </c>
      <c r="D94" s="52" t="str">
        <f t="shared" ca="1" si="21"/>
        <v>Discounter (Eigenkreation)</v>
      </c>
    </row>
    <row r="95" spans="1:4">
      <c r="C95" s="52">
        <f t="shared" si="20"/>
        <v>9</v>
      </c>
      <c r="D95" s="52" t="str">
        <f t="shared" ca="1" si="21"/>
        <v>Tankstellen</v>
      </c>
    </row>
    <row r="96" spans="1:4">
      <c r="C96" s="52">
        <f t="shared" si="20"/>
        <v>10</v>
      </c>
      <c r="D96" s="52" t="str">
        <f t="shared" ca="1" si="21"/>
        <v>Tegel-Center</v>
      </c>
    </row>
    <row r="97" spans="3:4">
      <c r="C97" s="52">
        <f t="shared" si="20"/>
        <v>11</v>
      </c>
      <c r="D97" s="52" t="str">
        <f t="shared" ca="1" si="21"/>
        <v>leere Ganglinie | kann noch individuell mit Werten gefüllt werden</v>
      </c>
    </row>
    <row r="98" spans="3:4">
      <c r="C98" s="52">
        <f t="shared" si="20"/>
        <v>12</v>
      </c>
      <c r="D98" s="52" t="str">
        <f t="shared" ca="1" si="21"/>
        <v>leere Ganglinie | kann noch individuell mit Werten gefüllt werden</v>
      </c>
    </row>
    <row r="99" spans="3:4">
      <c r="C99" s="52">
        <f t="shared" si="20"/>
        <v>13</v>
      </c>
      <c r="D99" s="52" t="str">
        <f t="shared" ca="1" si="21"/>
        <v>leere Ganglinie | kann noch individuell mit Werten gefüllt werden</v>
      </c>
    </row>
    <row r="100" spans="3:4">
      <c r="C100" s="52">
        <f t="shared" si="20"/>
        <v>14</v>
      </c>
      <c r="D100" s="52" t="str">
        <f t="shared" ca="1" si="21"/>
        <v>leere Ganglinie | kann noch individuell mit Werten gefüllt werden</v>
      </c>
    </row>
    <row r="101" spans="3:4">
      <c r="C101" s="52">
        <f t="shared" si="20"/>
        <v>15</v>
      </c>
      <c r="D101" s="52" t="str">
        <f t="shared" ca="1" si="21"/>
        <v>leere Ganglinie | kann noch individuell mit Werten gefüllt werden</v>
      </c>
    </row>
    <row r="102" spans="3:4">
      <c r="C102" s="52">
        <f t="shared" si="20"/>
        <v>16</v>
      </c>
      <c r="D102" s="52" t="str">
        <f t="shared" ca="1" si="21"/>
        <v>leere Ganglinie | kann noch individuell mit Werten gefüllt werden</v>
      </c>
    </row>
    <row r="103" spans="3:4">
      <c r="C103" s="52">
        <f t="shared" si="20"/>
        <v>17</v>
      </c>
      <c r="D103" s="52" t="str">
        <f t="shared" ca="1" si="21"/>
        <v>leere Ganglinie | kann noch individuell mit Werten gefüllt werden</v>
      </c>
    </row>
    <row r="104" spans="3:4">
      <c r="C104" s="52">
        <f t="shared" si="20"/>
        <v>18</v>
      </c>
      <c r="D104" s="52" t="str">
        <f t="shared" ca="1" si="21"/>
        <v>leere Ganglinie | kann noch individuell mit Werten gefüllt werden</v>
      </c>
    </row>
    <row r="105" spans="3:4">
      <c r="C105" s="52">
        <f t="shared" si="20"/>
        <v>19</v>
      </c>
      <c r="D105" s="52" t="str">
        <f t="shared" ca="1" si="21"/>
        <v>leere Ganglinie | kann noch individuell mit Werten gefüllt werden</v>
      </c>
    </row>
    <row r="106" spans="3:4">
      <c r="C106" s="52">
        <f t="shared" si="20"/>
        <v>20</v>
      </c>
      <c r="D106" s="52" t="str">
        <f t="shared" ca="1" si="21"/>
        <v>leere Ganglinie | kann noch individuell mit Werten gefüllt werden</v>
      </c>
    </row>
  </sheetData>
  <sheetProtection selectLockedCells="1"/>
  <mergeCells count="103">
    <mergeCell ref="A69:A83"/>
    <mergeCell ref="AS6:AT6"/>
    <mergeCell ref="AU6:AV6"/>
    <mergeCell ref="AE6:AF6"/>
    <mergeCell ref="AG6:AH6"/>
    <mergeCell ref="E6:F6"/>
    <mergeCell ref="G6:H6"/>
    <mergeCell ref="J6:K6"/>
    <mergeCell ref="L6:M6"/>
    <mergeCell ref="A37:A51"/>
    <mergeCell ref="A53:A67"/>
    <mergeCell ref="AN6:AO6"/>
    <mergeCell ref="AP6:AQ6"/>
    <mergeCell ref="Q6:R6"/>
    <mergeCell ref="S6:T6"/>
    <mergeCell ref="U6:V6"/>
    <mergeCell ref="C6:D6"/>
    <mergeCell ref="X6:Y6"/>
    <mergeCell ref="AB6:AC6"/>
    <mergeCell ref="N6:O6"/>
    <mergeCell ref="AL4:AQ4"/>
    <mergeCell ref="AI6:AJ6"/>
    <mergeCell ref="AL6:AM6"/>
    <mergeCell ref="Z6:AA6"/>
    <mergeCell ref="AE4:AJ4"/>
    <mergeCell ref="C4:H4"/>
    <mergeCell ref="J4:O4"/>
    <mergeCell ref="Q4:V4"/>
    <mergeCell ref="X4:AC4"/>
    <mergeCell ref="AW6:AX6"/>
    <mergeCell ref="AS4:AX4"/>
    <mergeCell ref="EF2:EK2"/>
    <mergeCell ref="EF4:EK4"/>
    <mergeCell ref="EF6:EG6"/>
    <mergeCell ref="EH6:EI6"/>
    <mergeCell ref="EJ6:EK6"/>
    <mergeCell ref="DY2:ED2"/>
    <mergeCell ref="DY4:ED4"/>
    <mergeCell ref="DY6:DZ6"/>
    <mergeCell ref="EA6:EB6"/>
    <mergeCell ref="EC6:ED6"/>
    <mergeCell ref="DR2:DW2"/>
    <mergeCell ref="DR4:DW4"/>
    <mergeCell ref="DR6:DS6"/>
    <mergeCell ref="DT6:DU6"/>
    <mergeCell ref="DV6:DW6"/>
    <mergeCell ref="DD2:DI2"/>
    <mergeCell ref="DD4:DI4"/>
    <mergeCell ref="DD6:DE6"/>
    <mergeCell ref="DF6:DG6"/>
    <mergeCell ref="DH6:DI6"/>
    <mergeCell ref="DK2:DP2"/>
    <mergeCell ref="DK4:DP4"/>
    <mergeCell ref="DK6:DL6"/>
    <mergeCell ref="DM6:DN6"/>
    <mergeCell ref="DO6:DP6"/>
    <mergeCell ref="CP2:CU2"/>
    <mergeCell ref="CP4:CU4"/>
    <mergeCell ref="CP6:CQ6"/>
    <mergeCell ref="CR6:CS6"/>
    <mergeCell ref="CT6:CU6"/>
    <mergeCell ref="CW2:DB2"/>
    <mergeCell ref="CW4:DB4"/>
    <mergeCell ref="CW6:CX6"/>
    <mergeCell ref="CY6:CZ6"/>
    <mergeCell ref="DA6:DB6"/>
    <mergeCell ref="CB4:CG4"/>
    <mergeCell ref="CB6:CC6"/>
    <mergeCell ref="CD6:CE6"/>
    <mergeCell ref="CF6:CG6"/>
    <mergeCell ref="CI2:CN2"/>
    <mergeCell ref="CI4:CN4"/>
    <mergeCell ref="CI6:CJ6"/>
    <mergeCell ref="CK6:CL6"/>
    <mergeCell ref="CM6:CN6"/>
    <mergeCell ref="AS2:AX2"/>
    <mergeCell ref="CB2:CG2"/>
    <mergeCell ref="BU2:BZ2"/>
    <mergeCell ref="AZ2:BE2"/>
    <mergeCell ref="BN2:BS2"/>
    <mergeCell ref="BG2:BL2"/>
    <mergeCell ref="C2:H2"/>
    <mergeCell ref="J2:O2"/>
    <mergeCell ref="Q2:V2"/>
    <mergeCell ref="X2:AC2"/>
    <mergeCell ref="AE2:AJ2"/>
    <mergeCell ref="AL2:AQ2"/>
    <mergeCell ref="AZ4:BE4"/>
    <mergeCell ref="AZ6:BA6"/>
    <mergeCell ref="BB6:BC6"/>
    <mergeCell ref="BD6:BE6"/>
    <mergeCell ref="BU4:BZ4"/>
    <mergeCell ref="BU6:BV6"/>
    <mergeCell ref="BW6:BX6"/>
    <mergeCell ref="BY6:BZ6"/>
    <mergeCell ref="BG4:BL4"/>
    <mergeCell ref="BG6:BH6"/>
    <mergeCell ref="BI6:BJ6"/>
    <mergeCell ref="BK6:BL6"/>
    <mergeCell ref="BN4:BS4"/>
    <mergeCell ref="BN6:BO6"/>
    <mergeCell ref="BP6:BQ6"/>
    <mergeCell ref="BR6:BS6"/>
  </mergeCells>
  <phoneticPr fontId="2" type="noConversion"/>
  <conditionalFormatting sqref="AL2:AQ2 AE2:AJ2 X2:AC2 Q2:V2 J2:O2 C2:H2 AS2:AT2 AZ2:BA2 BG2:BH2 BN2:BO2 BU2:BV2 CB2:CC2 CI2:CJ2 CP2:CQ2 CW2:CX2 DD2:DE2 DK2:DL2 DR2:DS2 DY2:DZ2 EF2:EG2">
    <cfRule type="expression" dxfId="13" priority="1" stopIfTrue="1">
      <formula>OR(C$34="FEHLER",D$34="FEHLER",E$34="FEHLER",F$34="FEHLER",G$34="FEHLER",H$34="FEHLER")=TRUE</formula>
    </cfRule>
  </conditionalFormatting>
  <conditionalFormatting sqref="AX2 BE2 BL2 BS2 BZ2 CG2 CN2 CU2 DB2 DI2 DP2 DW2 ED2 EK2">
    <cfRule type="expression" dxfId="12" priority="2" stopIfTrue="1">
      <formula>OR(AX$34="FEHLER",AY$34="FEHLER",#REF!="FEHLER",#REF!="FEHLER",#REF!="FEHLER",#REF!="FEHLER")=TRUE</formula>
    </cfRule>
  </conditionalFormatting>
  <conditionalFormatting sqref="AW2 BD2 BK2 BR2 BY2 CF2 CM2 CT2 DA2 DH2 DO2 DV2 EC2 EJ2">
    <cfRule type="expression" dxfId="11" priority="3" stopIfTrue="1">
      <formula>OR(AW$34="FEHLER",AX$34="FEHLER",AY$34="FEHLER",#REF!="FEHLER",#REF!="FEHLER",#REF!="FEHLER")=TRUE</formula>
    </cfRule>
  </conditionalFormatting>
  <conditionalFormatting sqref="AV2 BC2 BJ2 BQ2 BX2 CE2 CL2 CS2 CZ2 DG2 DN2 DU2 EB2 EI2">
    <cfRule type="expression" dxfId="10" priority="4" stopIfTrue="1">
      <formula>OR(AV$34="FEHLER",AW$34="FEHLER",AX$34="FEHLER",AY$34="FEHLER",#REF!="FEHLER",#REF!="FEHLER")=TRUE</formula>
    </cfRule>
  </conditionalFormatting>
  <conditionalFormatting sqref="AU2 BB2 BI2 BP2 BW2 CD2 CK2 CR2 CY2 DF2 DM2 DT2 EA2 EH2">
    <cfRule type="expression" dxfId="9" priority="5" stopIfTrue="1">
      <formula>OR(AU$34="FEHLER",AV$34="FEHLER",AW$34="FEHLER",AX$34="FEHLER",AY$34="FEHLER",#REF!="FEHLER")=TRUE</formula>
    </cfRule>
  </conditionalFormatting>
  <pageMargins left="0.78740157499999996" right="0.78740157499999996" top="0.984251969" bottom="0.984251969" header="0.5" footer="0.5"/>
  <pageSetup paperSize="9" orientation="portrait" horizontalDpi="4294967292" verticalDpi="4294967292" r:id="rId1"/>
  <headerFooter alignWithMargins="0"/>
  <ignoredErrors>
    <ignoredError sqref="D34 F34 K34 M34 R34 T34 Y34 AA34"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3">
    <tabColor rgb="FFFFC000"/>
  </sheetPr>
  <dimension ref="A1:DF63"/>
  <sheetViews>
    <sheetView zoomScaleNormal="100" workbookViewId="0">
      <pane xSplit="1" ySplit="3" topLeftCell="B4" activePane="bottomRight" state="frozen"/>
      <selection pane="topRight" activeCell="B1" sqref="B1"/>
      <selection pane="bottomLeft" activeCell="A4" sqref="A4"/>
      <selection pane="bottomRight" activeCell="DF9" sqref="DF9"/>
    </sheetView>
  </sheetViews>
  <sheetFormatPr defaultColWidth="10.88671875" defaultRowHeight="13.8"/>
  <cols>
    <col min="1" max="1" width="10.88671875" style="1"/>
    <col min="2" max="2" width="26" style="1" customWidth="1"/>
    <col min="3" max="3" width="23.6640625" style="1" customWidth="1"/>
    <col min="4" max="5" width="6.6640625" style="7" customWidth="1"/>
    <col min="6" max="6" width="2.33203125" style="1" customWidth="1"/>
    <col min="7" max="7" width="26" style="1" customWidth="1"/>
    <col min="8" max="8" width="23.6640625" style="1" customWidth="1"/>
    <col min="9" max="10" width="6.6640625" style="7" customWidth="1"/>
    <col min="11" max="11" width="2.33203125" style="1" customWidth="1"/>
    <col min="12" max="12" width="26" style="1" customWidth="1"/>
    <col min="13" max="13" width="23.6640625" style="1" customWidth="1"/>
    <col min="14" max="15" width="6.6640625" style="7" customWidth="1"/>
    <col min="16" max="16" width="2.33203125" style="1" customWidth="1"/>
    <col min="17" max="17" width="26" style="1" customWidth="1"/>
    <col min="18" max="18" width="23.6640625" style="1" customWidth="1"/>
    <col min="19" max="20" width="6.6640625" style="7" customWidth="1"/>
    <col min="21" max="21" width="2.33203125" style="1" customWidth="1"/>
    <col min="22" max="22" width="26" style="1" customWidth="1"/>
    <col min="23" max="23" width="23.6640625" style="1" customWidth="1"/>
    <col min="24" max="25" width="6.6640625" style="7" customWidth="1"/>
    <col min="26" max="26" width="2.33203125" style="1" customWidth="1"/>
    <col min="27" max="27" width="26" style="1" customWidth="1"/>
    <col min="28" max="28" width="23.6640625" style="1" customWidth="1"/>
    <col min="29" max="30" width="6.6640625" style="7" customWidth="1"/>
    <col min="31" max="31" width="2.33203125" style="1" customWidth="1"/>
    <col min="32" max="32" width="26" style="1" customWidth="1"/>
    <col min="33" max="33" width="23.6640625" style="1" customWidth="1"/>
    <col min="34" max="35" width="6.6640625" style="7" customWidth="1"/>
    <col min="36" max="36" width="2.33203125" style="1" customWidth="1"/>
    <col min="37" max="37" width="26" style="1" customWidth="1"/>
    <col min="38" max="38" width="23.6640625" style="1" customWidth="1"/>
    <col min="39" max="40" width="6.6640625" style="7" customWidth="1"/>
    <col min="41" max="41" width="2.33203125" style="1" customWidth="1"/>
    <col min="42" max="42" width="26" style="1" customWidth="1"/>
    <col min="43" max="43" width="23.6640625" style="1" customWidth="1"/>
    <col min="44" max="45" width="6.6640625" style="7" customWidth="1"/>
    <col min="46" max="46" width="2.33203125" style="1" customWidth="1"/>
    <col min="47" max="47" width="26" style="1" customWidth="1"/>
    <col min="48" max="48" width="23.6640625" style="1" customWidth="1"/>
    <col min="49" max="50" width="6.6640625" style="7" customWidth="1"/>
    <col min="51" max="51" width="2.33203125" style="1" customWidth="1"/>
    <col min="52" max="52" width="26" style="1" customWidth="1"/>
    <col min="53" max="53" width="23.6640625" style="1" customWidth="1"/>
    <col min="54" max="55" width="6.6640625" style="7" customWidth="1"/>
    <col min="56" max="56" width="2.33203125" style="1" customWidth="1"/>
    <col min="57" max="57" width="26" style="1" customWidth="1"/>
    <col min="58" max="58" width="23.6640625" style="1" customWidth="1"/>
    <col min="59" max="60" width="6.6640625" style="7" customWidth="1"/>
    <col min="61" max="61" width="2.33203125" style="1" customWidth="1"/>
    <col min="62" max="62" width="26" style="1" customWidth="1"/>
    <col min="63" max="63" width="23.6640625" style="1" customWidth="1"/>
    <col min="64" max="65" width="6.6640625" style="7" customWidth="1"/>
    <col min="66" max="66" width="2.33203125" style="1" customWidth="1"/>
    <col min="67" max="67" width="26" style="1" customWidth="1"/>
    <col min="68" max="68" width="23.6640625" style="1" customWidth="1"/>
    <col min="69" max="70" width="6.6640625" style="7" customWidth="1"/>
    <col min="71" max="71" width="2.33203125" style="1" customWidth="1"/>
    <col min="72" max="72" width="26" style="1" customWidth="1"/>
    <col min="73" max="73" width="23.6640625" style="1" customWidth="1"/>
    <col min="74" max="75" width="6.6640625" style="7" customWidth="1"/>
    <col min="76" max="76" width="2.33203125" style="1" customWidth="1"/>
    <col min="77" max="77" width="26" style="1" customWidth="1"/>
    <col min="78" max="78" width="23.6640625" style="1" customWidth="1"/>
    <col min="79" max="80" width="6.6640625" style="7" customWidth="1"/>
    <col min="81" max="81" width="2.33203125" style="1" customWidth="1"/>
    <col min="82" max="82" width="26" style="1" customWidth="1"/>
    <col min="83" max="83" width="23.6640625" style="1" customWidth="1"/>
    <col min="84" max="85" width="6.6640625" style="7" customWidth="1"/>
    <col min="86" max="86" width="2.33203125" style="1" customWidth="1"/>
    <col min="87" max="87" width="26" style="1" customWidth="1"/>
    <col min="88" max="88" width="23.6640625" style="1" customWidth="1"/>
    <col min="89" max="90" width="6.6640625" style="7" customWidth="1"/>
    <col min="91" max="91" width="2.33203125" style="1" customWidth="1"/>
    <col min="92" max="92" width="26" style="1" customWidth="1"/>
    <col min="93" max="93" width="23.6640625" style="1" customWidth="1"/>
    <col min="94" max="95" width="6.6640625" style="7" customWidth="1"/>
    <col min="96" max="96" width="2.33203125" style="1" customWidth="1"/>
    <col min="97" max="97" width="26" style="1" customWidth="1"/>
    <col min="98" max="98" width="23.6640625" style="1" customWidth="1"/>
    <col min="99" max="100" width="6.6640625" style="7" customWidth="1"/>
    <col min="101" max="101" width="2.33203125" style="1" customWidth="1"/>
    <col min="102" max="102" width="26" style="1" customWidth="1"/>
    <col min="103" max="103" width="23.6640625" style="1" customWidth="1"/>
    <col min="104" max="105" width="6.6640625" style="7" customWidth="1"/>
    <col min="106" max="106" width="2.33203125" style="1" customWidth="1"/>
    <col min="107" max="107" width="26" style="1" customWidth="1"/>
    <col min="108" max="108" width="23.6640625" style="1" customWidth="1"/>
    <col min="109" max="110" width="6.6640625" style="7" customWidth="1"/>
    <col min="111" max="16384" width="10.88671875" style="1"/>
  </cols>
  <sheetData>
    <row r="1" spans="1:110" s="418" customFormat="1" ht="69.900000000000006" customHeight="1">
      <c r="A1" s="419" t="s">
        <v>209</v>
      </c>
      <c r="B1" s="795" t="s">
        <v>210</v>
      </c>
      <c r="C1" s="795"/>
      <c r="D1" s="795"/>
      <c r="E1" s="795"/>
      <c r="F1" s="417"/>
      <c r="G1" s="795" t="s">
        <v>210</v>
      </c>
      <c r="H1" s="795"/>
      <c r="I1" s="795"/>
      <c r="J1" s="795"/>
      <c r="K1" s="417"/>
      <c r="L1" s="795" t="s">
        <v>210</v>
      </c>
      <c r="M1" s="795"/>
      <c r="N1" s="795"/>
      <c r="O1" s="795"/>
      <c r="Q1" s="795" t="s">
        <v>210</v>
      </c>
      <c r="R1" s="795"/>
      <c r="S1" s="795"/>
      <c r="T1" s="795"/>
      <c r="V1" s="795" t="s">
        <v>210</v>
      </c>
      <c r="W1" s="795"/>
      <c r="X1" s="795"/>
      <c r="Y1" s="795"/>
      <c r="AA1" s="795" t="s">
        <v>210</v>
      </c>
      <c r="AB1" s="795"/>
      <c r="AC1" s="795"/>
      <c r="AD1" s="795"/>
      <c r="AE1" s="417"/>
      <c r="AF1" s="795" t="s">
        <v>210</v>
      </c>
      <c r="AG1" s="795"/>
      <c r="AH1" s="795"/>
      <c r="AI1" s="795"/>
      <c r="AJ1" s="417"/>
      <c r="AK1" s="795" t="s">
        <v>210</v>
      </c>
      <c r="AL1" s="795"/>
      <c r="AM1" s="795"/>
      <c r="AN1" s="795"/>
      <c r="AO1" s="417"/>
      <c r="AP1" s="795" t="s">
        <v>210</v>
      </c>
      <c r="AQ1" s="795"/>
      <c r="AR1" s="795"/>
      <c r="AS1" s="795"/>
      <c r="AT1" s="417"/>
      <c r="AU1" s="795" t="s">
        <v>210</v>
      </c>
      <c r="AV1" s="795"/>
      <c r="AW1" s="795"/>
      <c r="AX1" s="795"/>
      <c r="AZ1" s="795" t="s">
        <v>210</v>
      </c>
      <c r="BA1" s="795"/>
      <c r="BB1" s="795"/>
      <c r="BC1" s="795"/>
      <c r="BD1" s="417"/>
      <c r="BE1" s="795" t="s">
        <v>210</v>
      </c>
      <c r="BF1" s="795"/>
      <c r="BG1" s="795"/>
      <c r="BH1" s="795"/>
      <c r="BI1" s="417"/>
      <c r="BJ1" s="795" t="s">
        <v>210</v>
      </c>
      <c r="BK1" s="795"/>
      <c r="BL1" s="795"/>
      <c r="BM1" s="795"/>
      <c r="BN1" s="417"/>
      <c r="BO1" s="795" t="s">
        <v>210</v>
      </c>
      <c r="BP1" s="795"/>
      <c r="BQ1" s="795"/>
      <c r="BR1" s="795"/>
      <c r="BS1" s="417"/>
      <c r="BT1" s="795" t="s">
        <v>210</v>
      </c>
      <c r="BU1" s="795"/>
      <c r="BV1" s="795"/>
      <c r="BW1" s="795"/>
      <c r="BX1" s="417"/>
      <c r="BY1" s="795" t="s">
        <v>210</v>
      </c>
      <c r="BZ1" s="795"/>
      <c r="CA1" s="795"/>
      <c r="CB1" s="795"/>
      <c r="CC1" s="417"/>
      <c r="CD1" s="795" t="s">
        <v>210</v>
      </c>
      <c r="CE1" s="795"/>
      <c r="CF1" s="795"/>
      <c r="CG1" s="795"/>
      <c r="CH1" s="417"/>
      <c r="CI1" s="795" t="s">
        <v>210</v>
      </c>
      <c r="CJ1" s="795"/>
      <c r="CK1" s="795"/>
      <c r="CL1" s="795"/>
      <c r="CM1" s="417"/>
      <c r="CN1" s="795" t="s">
        <v>210</v>
      </c>
      <c r="CO1" s="795"/>
      <c r="CP1" s="795"/>
      <c r="CQ1" s="795"/>
      <c r="CS1" s="795" t="s">
        <v>210</v>
      </c>
      <c r="CT1" s="795"/>
      <c r="CU1" s="795"/>
      <c r="CV1" s="795"/>
      <c r="CX1" s="795" t="s">
        <v>210</v>
      </c>
      <c r="CY1" s="795"/>
      <c r="CZ1" s="795"/>
      <c r="DA1" s="795"/>
      <c r="DC1" s="795" t="s">
        <v>210</v>
      </c>
      <c r="DD1" s="795"/>
      <c r="DE1" s="795"/>
      <c r="DF1" s="795"/>
    </row>
    <row r="3" spans="1:110" s="21" customFormat="1">
      <c r="B3" s="19" t="s">
        <v>211</v>
      </c>
      <c r="C3" s="20" t="s">
        <v>212</v>
      </c>
      <c r="D3" s="796" t="s">
        <v>213</v>
      </c>
      <c r="E3" s="797"/>
      <c r="G3" s="19" t="s">
        <v>211</v>
      </c>
      <c r="H3" s="20" t="s">
        <v>214</v>
      </c>
      <c r="I3" s="796" t="s">
        <v>213</v>
      </c>
      <c r="J3" s="797"/>
      <c r="L3" s="19" t="s">
        <v>211</v>
      </c>
      <c r="M3" s="20" t="s">
        <v>215</v>
      </c>
      <c r="N3" s="796" t="s">
        <v>213</v>
      </c>
      <c r="O3" s="797"/>
      <c r="Q3" s="19" t="s">
        <v>211</v>
      </c>
      <c r="R3" s="20" t="s">
        <v>216</v>
      </c>
      <c r="S3" s="796" t="s">
        <v>213</v>
      </c>
      <c r="T3" s="797"/>
      <c r="V3" s="19" t="s">
        <v>211</v>
      </c>
      <c r="W3" s="20" t="s">
        <v>86</v>
      </c>
      <c r="X3" s="796" t="s">
        <v>213</v>
      </c>
      <c r="Y3" s="797"/>
      <c r="AA3" s="19" t="s">
        <v>211</v>
      </c>
      <c r="AB3" s="20" t="s">
        <v>217</v>
      </c>
      <c r="AC3" s="796" t="s">
        <v>213</v>
      </c>
      <c r="AD3" s="797"/>
      <c r="AF3" s="19" t="s">
        <v>211</v>
      </c>
      <c r="AG3" s="20" t="s">
        <v>218</v>
      </c>
      <c r="AH3" s="796" t="s">
        <v>213</v>
      </c>
      <c r="AI3" s="797"/>
      <c r="AK3" s="19" t="s">
        <v>211</v>
      </c>
      <c r="AL3" s="20" t="s">
        <v>164</v>
      </c>
      <c r="AM3" s="796" t="s">
        <v>213</v>
      </c>
      <c r="AN3" s="797"/>
      <c r="AP3" s="19" t="s">
        <v>211</v>
      </c>
      <c r="AQ3" s="20" t="s">
        <v>219</v>
      </c>
      <c r="AR3" s="796" t="s">
        <v>213</v>
      </c>
      <c r="AS3" s="797"/>
      <c r="AU3" s="19" t="s">
        <v>211</v>
      </c>
      <c r="AV3" s="20" t="s">
        <v>220</v>
      </c>
      <c r="AW3" s="796" t="s">
        <v>213</v>
      </c>
      <c r="AX3" s="797"/>
      <c r="AZ3" s="19" t="s">
        <v>211</v>
      </c>
      <c r="BA3" s="20" t="s">
        <v>221</v>
      </c>
      <c r="BB3" s="796" t="s">
        <v>213</v>
      </c>
      <c r="BC3" s="797"/>
      <c r="BE3" s="19" t="s">
        <v>211</v>
      </c>
      <c r="BF3" s="20" t="s">
        <v>222</v>
      </c>
      <c r="BG3" s="796" t="s">
        <v>213</v>
      </c>
      <c r="BH3" s="797"/>
      <c r="BJ3" s="19" t="s">
        <v>211</v>
      </c>
      <c r="BK3" s="20" t="s">
        <v>223</v>
      </c>
      <c r="BL3" s="796" t="s">
        <v>213</v>
      </c>
      <c r="BM3" s="797"/>
      <c r="BO3" s="19" t="s">
        <v>211</v>
      </c>
      <c r="BP3" s="20" t="s">
        <v>224</v>
      </c>
      <c r="BQ3" s="796" t="s">
        <v>213</v>
      </c>
      <c r="BR3" s="797"/>
      <c r="BT3" s="19" t="s">
        <v>211</v>
      </c>
      <c r="BU3" s="20" t="s">
        <v>225</v>
      </c>
      <c r="BV3" s="796" t="s">
        <v>213</v>
      </c>
      <c r="BW3" s="797"/>
      <c r="BY3" s="19" t="s">
        <v>211</v>
      </c>
      <c r="BZ3" s="20" t="s">
        <v>226</v>
      </c>
      <c r="CA3" s="796" t="s">
        <v>213</v>
      </c>
      <c r="CB3" s="797"/>
      <c r="CD3" s="19" t="s">
        <v>211</v>
      </c>
      <c r="CE3" s="20" t="s">
        <v>227</v>
      </c>
      <c r="CF3" s="796" t="s">
        <v>213</v>
      </c>
      <c r="CG3" s="797"/>
      <c r="CI3" s="19" t="s">
        <v>211</v>
      </c>
      <c r="CJ3" s="20" t="s">
        <v>228</v>
      </c>
      <c r="CK3" s="796" t="s">
        <v>213</v>
      </c>
      <c r="CL3" s="797"/>
      <c r="CN3" s="19" t="s">
        <v>211</v>
      </c>
      <c r="CO3" s="20" t="s">
        <v>169</v>
      </c>
      <c r="CP3" s="796" t="s">
        <v>213</v>
      </c>
      <c r="CQ3" s="797"/>
      <c r="CS3" s="19" t="s">
        <v>211</v>
      </c>
      <c r="CT3" s="20" t="s">
        <v>229</v>
      </c>
      <c r="CU3" s="796" t="s">
        <v>213</v>
      </c>
      <c r="CV3" s="797"/>
      <c r="CX3" s="19" t="s">
        <v>211</v>
      </c>
      <c r="CY3" s="20" t="s">
        <v>60</v>
      </c>
      <c r="CZ3" s="796" t="s">
        <v>213</v>
      </c>
      <c r="DA3" s="797"/>
      <c r="DC3" s="19" t="s">
        <v>211</v>
      </c>
      <c r="DD3" s="20" t="s">
        <v>230</v>
      </c>
      <c r="DE3" s="796" t="s">
        <v>213</v>
      </c>
      <c r="DF3" s="797"/>
    </row>
    <row r="4" spans="1:110" s="18" customFormat="1" ht="18" customHeight="1">
      <c r="A4" s="798" t="s">
        <v>231</v>
      </c>
      <c r="B4" s="16"/>
      <c r="C4" s="13" t="s">
        <v>107</v>
      </c>
      <c r="D4" s="17" t="s">
        <v>111</v>
      </c>
      <c r="E4" s="17" t="s">
        <v>112</v>
      </c>
      <c r="G4" s="16"/>
      <c r="H4" s="13" t="s">
        <v>107</v>
      </c>
      <c r="I4" s="17" t="s">
        <v>111</v>
      </c>
      <c r="J4" s="17" t="s">
        <v>112</v>
      </c>
      <c r="L4" s="16"/>
      <c r="M4" s="13" t="s">
        <v>107</v>
      </c>
      <c r="N4" s="17" t="s">
        <v>111</v>
      </c>
      <c r="O4" s="17" t="s">
        <v>112</v>
      </c>
      <c r="Q4" s="16"/>
      <c r="R4" s="13" t="s">
        <v>107</v>
      </c>
      <c r="S4" s="17" t="s">
        <v>111</v>
      </c>
      <c r="T4" s="17" t="s">
        <v>112</v>
      </c>
      <c r="V4" s="16"/>
      <c r="W4" s="13" t="s">
        <v>107</v>
      </c>
      <c r="X4" s="17" t="s">
        <v>111</v>
      </c>
      <c r="Y4" s="17" t="s">
        <v>112</v>
      </c>
      <c r="AA4" s="16"/>
      <c r="AB4" s="13" t="s">
        <v>107</v>
      </c>
      <c r="AC4" s="17" t="s">
        <v>111</v>
      </c>
      <c r="AD4" s="17" t="s">
        <v>112</v>
      </c>
      <c r="AF4" s="16"/>
      <c r="AG4" s="13" t="s">
        <v>107</v>
      </c>
      <c r="AH4" s="17" t="s">
        <v>111</v>
      </c>
      <c r="AI4" s="17" t="s">
        <v>112</v>
      </c>
      <c r="AK4" s="16"/>
      <c r="AL4" s="13" t="s">
        <v>107</v>
      </c>
      <c r="AM4" s="17" t="s">
        <v>111</v>
      </c>
      <c r="AN4" s="17" t="s">
        <v>112</v>
      </c>
      <c r="AP4" s="16"/>
      <c r="AQ4" s="13" t="s">
        <v>107</v>
      </c>
      <c r="AR4" s="17" t="s">
        <v>111</v>
      </c>
      <c r="AS4" s="17" t="s">
        <v>112</v>
      </c>
      <c r="AU4" s="16"/>
      <c r="AV4" s="13" t="s">
        <v>107</v>
      </c>
      <c r="AW4" s="17" t="s">
        <v>111</v>
      </c>
      <c r="AX4" s="17" t="s">
        <v>112</v>
      </c>
      <c r="AZ4" s="16"/>
      <c r="BA4" s="13" t="s">
        <v>107</v>
      </c>
      <c r="BB4" s="17" t="s">
        <v>111</v>
      </c>
      <c r="BC4" s="17" t="s">
        <v>112</v>
      </c>
      <c r="BE4" s="16"/>
      <c r="BF4" s="13" t="s">
        <v>107</v>
      </c>
      <c r="BG4" s="17" t="s">
        <v>111</v>
      </c>
      <c r="BH4" s="17" t="s">
        <v>112</v>
      </c>
      <c r="BJ4" s="16"/>
      <c r="BK4" s="13" t="s">
        <v>107</v>
      </c>
      <c r="BL4" s="17" t="s">
        <v>111</v>
      </c>
      <c r="BM4" s="17" t="s">
        <v>112</v>
      </c>
      <c r="BO4" s="16"/>
      <c r="BP4" s="13" t="s">
        <v>107</v>
      </c>
      <c r="BQ4" s="17" t="s">
        <v>111</v>
      </c>
      <c r="BR4" s="17" t="s">
        <v>112</v>
      </c>
      <c r="BT4" s="16"/>
      <c r="BU4" s="13" t="s">
        <v>107</v>
      </c>
      <c r="BV4" s="17" t="s">
        <v>111</v>
      </c>
      <c r="BW4" s="17" t="s">
        <v>112</v>
      </c>
      <c r="BY4" s="16"/>
      <c r="BZ4" s="13" t="s">
        <v>107</v>
      </c>
      <c r="CA4" s="17" t="s">
        <v>111</v>
      </c>
      <c r="CB4" s="17" t="s">
        <v>112</v>
      </c>
      <c r="CD4" s="16"/>
      <c r="CE4" s="13" t="s">
        <v>107</v>
      </c>
      <c r="CF4" s="17" t="s">
        <v>111</v>
      </c>
      <c r="CG4" s="17" t="s">
        <v>112</v>
      </c>
      <c r="CI4" s="16"/>
      <c r="CJ4" s="13" t="s">
        <v>107</v>
      </c>
      <c r="CK4" s="17" t="s">
        <v>111</v>
      </c>
      <c r="CL4" s="17" t="s">
        <v>112</v>
      </c>
      <c r="CN4" s="16"/>
      <c r="CO4" s="13" t="s">
        <v>107</v>
      </c>
      <c r="CP4" s="17" t="s">
        <v>111</v>
      </c>
      <c r="CQ4" s="17" t="s">
        <v>112</v>
      </c>
      <c r="CS4" s="16"/>
      <c r="CT4" s="13" t="s">
        <v>107</v>
      </c>
      <c r="CU4" s="17" t="s">
        <v>111</v>
      </c>
      <c r="CV4" s="17" t="s">
        <v>112</v>
      </c>
      <c r="CX4" s="16"/>
      <c r="CY4" s="13" t="s">
        <v>107</v>
      </c>
      <c r="CZ4" s="17" t="s">
        <v>111</v>
      </c>
      <c r="DA4" s="17" t="s">
        <v>112</v>
      </c>
      <c r="DC4" s="16"/>
      <c r="DD4" s="13" t="s">
        <v>107</v>
      </c>
      <c r="DE4" s="17" t="s">
        <v>111</v>
      </c>
      <c r="DF4" s="17" t="s">
        <v>112</v>
      </c>
    </row>
    <row r="5" spans="1:110" s="18" customFormat="1" ht="18" customHeight="1">
      <c r="A5" s="798"/>
      <c r="B5" s="15" t="s">
        <v>232</v>
      </c>
      <c r="C5" s="14" t="s">
        <v>233</v>
      </c>
      <c r="D5" s="14"/>
      <c r="E5" s="14"/>
      <c r="G5" s="15" t="s">
        <v>232</v>
      </c>
      <c r="H5" s="13" t="s">
        <v>233</v>
      </c>
      <c r="I5" s="14"/>
      <c r="J5" s="14"/>
      <c r="L5" s="15" t="s">
        <v>232</v>
      </c>
      <c r="M5" s="13" t="s">
        <v>233</v>
      </c>
      <c r="N5" s="14"/>
      <c r="O5" s="14"/>
      <c r="Q5" s="15" t="s">
        <v>232</v>
      </c>
      <c r="R5" s="13" t="s">
        <v>233</v>
      </c>
      <c r="S5" s="14"/>
      <c r="T5" s="14"/>
      <c r="V5" s="15" t="s">
        <v>232</v>
      </c>
      <c r="W5" s="14" t="s">
        <v>233</v>
      </c>
      <c r="X5" s="14"/>
      <c r="Y5" s="14"/>
      <c r="AA5" s="15" t="s">
        <v>232</v>
      </c>
      <c r="AB5" s="14" t="s">
        <v>233</v>
      </c>
      <c r="AC5" s="14"/>
      <c r="AD5" s="14"/>
      <c r="AF5" s="15" t="s">
        <v>232</v>
      </c>
      <c r="AG5" s="14" t="s">
        <v>233</v>
      </c>
      <c r="AH5" s="14"/>
      <c r="AI5" s="14"/>
      <c r="AK5" s="15" t="s">
        <v>232</v>
      </c>
      <c r="AL5" s="14" t="s">
        <v>233</v>
      </c>
      <c r="AM5" s="14"/>
      <c r="AN5" s="14"/>
      <c r="AP5" s="15" t="s">
        <v>232</v>
      </c>
      <c r="AQ5" s="14" t="s">
        <v>233</v>
      </c>
      <c r="AR5" s="14"/>
      <c r="AS5" s="14"/>
      <c r="AU5" s="15" t="s">
        <v>232</v>
      </c>
      <c r="AV5" s="14" t="s">
        <v>233</v>
      </c>
      <c r="AW5" s="14"/>
      <c r="AX5" s="14"/>
      <c r="AZ5" s="15" t="s">
        <v>232</v>
      </c>
      <c r="BA5" s="14" t="s">
        <v>233</v>
      </c>
      <c r="BB5" s="14"/>
      <c r="BC5" s="14"/>
      <c r="BE5" s="15" t="s">
        <v>232</v>
      </c>
      <c r="BF5" s="14" t="s">
        <v>233</v>
      </c>
      <c r="BG5" s="14"/>
      <c r="BH5" s="14"/>
      <c r="BJ5" s="15" t="s">
        <v>232</v>
      </c>
      <c r="BK5" s="14" t="s">
        <v>233</v>
      </c>
      <c r="BL5" s="14"/>
      <c r="BM5" s="14"/>
      <c r="BO5" s="15" t="s">
        <v>232</v>
      </c>
      <c r="BP5" s="14" t="s">
        <v>233</v>
      </c>
      <c r="BQ5" s="14"/>
      <c r="BR5" s="14"/>
      <c r="BT5" s="15" t="s">
        <v>232</v>
      </c>
      <c r="BU5" s="14" t="s">
        <v>233</v>
      </c>
      <c r="BV5" s="14"/>
      <c r="BW5" s="14"/>
      <c r="BY5" s="15" t="s">
        <v>232</v>
      </c>
      <c r="BZ5" s="14" t="s">
        <v>233</v>
      </c>
      <c r="CA5" s="14"/>
      <c r="CB5" s="14"/>
      <c r="CD5" s="15" t="s">
        <v>232</v>
      </c>
      <c r="CE5" s="14" t="s">
        <v>233</v>
      </c>
      <c r="CF5" s="14"/>
      <c r="CG5" s="14"/>
      <c r="CI5" s="15" t="s">
        <v>232</v>
      </c>
      <c r="CJ5" s="14" t="s">
        <v>233</v>
      </c>
      <c r="CK5" s="14"/>
      <c r="CL5" s="14"/>
      <c r="CN5" s="15" t="s">
        <v>232</v>
      </c>
      <c r="CO5" s="14" t="s">
        <v>233</v>
      </c>
      <c r="CP5" s="14"/>
      <c r="CQ5" s="14"/>
      <c r="CS5" s="15" t="s">
        <v>121</v>
      </c>
      <c r="CT5" s="14" t="s">
        <v>121</v>
      </c>
      <c r="CU5" s="14"/>
      <c r="CV5" s="14"/>
      <c r="CX5" s="15" t="s">
        <v>232</v>
      </c>
      <c r="CY5" s="14" t="s">
        <v>233</v>
      </c>
      <c r="CZ5" s="14"/>
      <c r="DA5" s="14"/>
      <c r="DC5" s="15" t="s">
        <v>234</v>
      </c>
      <c r="DD5" s="14" t="s">
        <v>235</v>
      </c>
      <c r="DE5" s="14"/>
      <c r="DF5" s="14"/>
    </row>
    <row r="6" spans="1:110" s="18" customFormat="1" ht="18" customHeight="1">
      <c r="A6" s="798"/>
      <c r="B6" s="15" t="s">
        <v>236</v>
      </c>
      <c r="C6" s="14" t="str">
        <f>IF(AND(D6=E6,OR(D6&lt;&gt;"-",E6&lt;&gt;"-")=TRUE)=TRUE,"1 Beschäftigter / "&amp;D6&amp;"  m² GF",IF(AND(D6&lt;&gt;E6,D6&lt;&gt;"-",E6&lt;&gt;"-")=TRUE,"1 Beschäftigter / "&amp;D6&amp;" - "&amp;E6&amp;"  m² GF","-"))</f>
        <v>1 Beschäftigter / 20 - 40  m² GF</v>
      </c>
      <c r="D6" s="411">
        <v>20</v>
      </c>
      <c r="E6" s="411">
        <v>40</v>
      </c>
      <c r="G6" s="15" t="s">
        <v>237</v>
      </c>
      <c r="H6" s="14" t="str">
        <f>IF(AND(I6=J6,OR(I6&lt;&gt;"-",J6&lt;&gt;"-")=TRUE)=TRUE,"1 Beschäftigter / "&amp;I6&amp;"  m² GF",IF(AND(I6&lt;&gt;J6,I6&lt;&gt;"-",J6&lt;&gt;"-")=TRUE,"1 Beschäftigter / "&amp;I6&amp;" - "&amp;J6&amp;"  m² GF","-"))</f>
        <v>1 Beschäftigter / 20 - 50  m² GF</v>
      </c>
      <c r="I6" s="411">
        <v>20</v>
      </c>
      <c r="J6" s="411">
        <v>50</v>
      </c>
      <c r="L6" s="15" t="s">
        <v>237</v>
      </c>
      <c r="M6" s="14" t="str">
        <f>IF(AND(N6=O6,OR(N6&lt;&gt;"-",O6&lt;&gt;"-")=TRUE)=TRUE,"1 Beschäftigter / "&amp;N6&amp;"  m² GF",IF(AND(N6&lt;&gt;O6,N6&lt;&gt;"-",O6&lt;&gt;"-")=TRUE,"1 Beschäftigter / "&amp;N6&amp;" - "&amp;O6&amp;"  m² GF","-"))</f>
        <v>1 Beschäftigter / 20 - 50  m² GF</v>
      </c>
      <c r="N6" s="411">
        <v>20</v>
      </c>
      <c r="O6" s="411">
        <v>50</v>
      </c>
      <c r="Q6" s="15" t="s">
        <v>237</v>
      </c>
      <c r="R6" s="14" t="str">
        <f>IF(AND(S6=T6,OR(S6&lt;&gt;"-",T6&lt;&gt;"-")=TRUE)=TRUE,"1 Beschäftigter / "&amp;S6&amp;"  m² GF",IF(AND(S6&lt;&gt;T6,S6&lt;&gt;"-",T6&lt;&gt;"-")=TRUE,"1 Beschäftigter / "&amp;S6&amp;" - "&amp;T6&amp;"  m² GF","-"))</f>
        <v>1 Beschäftigter / 25 - 45  m² GF</v>
      </c>
      <c r="S6" s="411">
        <v>25</v>
      </c>
      <c r="T6" s="411">
        <v>45</v>
      </c>
      <c r="V6" s="15" t="s">
        <v>237</v>
      </c>
      <c r="W6" s="14" t="str">
        <f>IF(AND(X6=Y6,OR(X6&lt;&gt;"-",Y6&lt;&gt;"-")=TRUE)=TRUE,"1 Beschäftigter / "&amp;X6&amp;"  m² GF",IF(AND(X6&lt;&gt;Y6,X6&lt;&gt;"-",Y6&lt;&gt;"-")=TRUE,"1 Beschäftigter / "&amp;X6&amp;" - "&amp;Y6&amp;"  m² GF","-"))</f>
        <v>1 Beschäftigter / 55 - 100  m² GF</v>
      </c>
      <c r="X6" s="411">
        <v>55</v>
      </c>
      <c r="Y6" s="411">
        <v>100</v>
      </c>
      <c r="AA6" s="15" t="s">
        <v>237</v>
      </c>
      <c r="AB6" s="14" t="str">
        <f>IF(AND(AC6=AD6,OR(AC6&lt;&gt;"-",AD6&lt;&gt;"-")=TRUE)=TRUE,"1 Beschäftigter / "&amp;AC6&amp;"  m² GF",IF(AND(AC6&lt;&gt;AD6,AC6&lt;&gt;"-",AD6&lt;&gt;"-")=TRUE,"1 Beschäftigter / "&amp;AC6&amp;" - "&amp;AD6&amp;"  m² GF","-"))</f>
        <v>1 Beschäftigter / 70 - 80  m² GF</v>
      </c>
      <c r="AC6" s="411">
        <v>70</v>
      </c>
      <c r="AD6" s="411">
        <v>80</v>
      </c>
      <c r="AF6" s="15" t="s">
        <v>237</v>
      </c>
      <c r="AG6" s="14" t="str">
        <f>IF(AND(AH6=AI6,OR(AH6&lt;&gt;"-",AI6&lt;&gt;"-")=TRUE)=TRUE,"1 Beschäftigter / "&amp;AH6&amp;"  m² GF",IF(AND(AH6&lt;&gt;AI6,AH6&lt;&gt;"-",AI6&lt;&gt;"-")=TRUE,"1 Beschäftigter / "&amp;AH6&amp;" - "&amp;AI6&amp;"  m² GF","-"))</f>
        <v>1 Beschäftigter / 140 - 200  m² GF</v>
      </c>
      <c r="AH6" s="411">
        <v>140</v>
      </c>
      <c r="AI6" s="411">
        <v>200</v>
      </c>
      <c r="AK6" s="15" t="s">
        <v>237</v>
      </c>
      <c r="AL6" s="14" t="str">
        <f>IF(AND(AM6=AN6,OR(AM6&lt;&gt;"-",AN6&lt;&gt;"-")=TRUE)=TRUE,"1 Beschäftigter / "&amp;AM6&amp;"  m² GF",IF(AND(AM6&lt;&gt;AN6,AM6&lt;&gt;"-",AN6&lt;&gt;"-")=TRUE,"1 Beschäftigter / "&amp;AM6&amp;" - "&amp;AN6&amp;"  m² GF","-"))</f>
        <v>1 Beschäftigter / 150 - 200  m² GF</v>
      </c>
      <c r="AM6" s="411">
        <v>150</v>
      </c>
      <c r="AN6" s="411">
        <v>200</v>
      </c>
      <c r="AP6" s="15" t="s">
        <v>237</v>
      </c>
      <c r="AQ6" s="14" t="str">
        <f>IF(AND(AR6=AS6,OR(AR6&lt;&gt;"-",AS6&lt;&gt;"-")=TRUE)=TRUE,"1 Beschäftigter / "&amp;AR6&amp;"  m² GF",IF(AND(AR6&lt;&gt;AS6,AR6&lt;&gt;"-",AS6&lt;&gt;"-")=TRUE,"1 Beschäftigter / "&amp;AR6&amp;" - "&amp;AS6&amp;"  m² GF","-"))</f>
        <v>1 Beschäftigter / 125 - 150  m² GF</v>
      </c>
      <c r="AR6" s="411">
        <v>125</v>
      </c>
      <c r="AS6" s="411">
        <v>150</v>
      </c>
      <c r="AU6" s="15" t="s">
        <v>237</v>
      </c>
      <c r="AV6" s="14" t="str">
        <f>IF(AND(AW6=AX6,OR(AW6&lt;&gt;"-",AX6&lt;&gt;"-")=TRUE)=TRUE,"1 Beschäftigter / "&amp;AW6&amp;"  m² GF",IF(AND(AW6&lt;&gt;AX6,AW6&lt;&gt;"-",AX6&lt;&gt;"-")=TRUE,"1 Beschäftigter / "&amp;AW6&amp;" - "&amp;AX6&amp;"  m² GF","-"))</f>
        <v>1 Beschäftigter / 40 - 80  m² GF</v>
      </c>
      <c r="AW6" s="411">
        <v>40</v>
      </c>
      <c r="AX6" s="411">
        <v>80</v>
      </c>
      <c r="AZ6" s="15" t="s">
        <v>237</v>
      </c>
      <c r="BA6" s="14" t="str">
        <f>IF(AND(BB6=BC6,OR(BB6&lt;&gt;"-",BC6&lt;&gt;"-")=TRUE)=TRUE,"1 Beschäftigter / "&amp;BB6&amp;"  m² GF",IF(AND(BB6&lt;&gt;BC6,BB6&lt;&gt;"-",BC6&lt;&gt;"-")=TRUE,"1 Beschäftigter / "&amp;BB6&amp;" - "&amp;BC6&amp;"  m² GF","-"))</f>
        <v>1 Beschäftigter / 150  m² GF</v>
      </c>
      <c r="BB6" s="411">
        <v>150</v>
      </c>
      <c r="BC6" s="411">
        <v>150</v>
      </c>
      <c r="BE6" s="15" t="s">
        <v>237</v>
      </c>
      <c r="BF6" s="14" t="str">
        <f>IF(AND(BG6=BH6,OR(BG6&lt;&gt;"-",BH6&lt;&gt;"-")=TRUE)=TRUE,"1 Beschäftigter / "&amp;BG6&amp;"  m² GF",IF(AND(BG6&lt;&gt;BH6,BG6&lt;&gt;"-",BH6&lt;&gt;"-")=TRUE,"1 Beschäftigter / "&amp;BG6&amp;" - "&amp;BH6&amp;"  m² GF","-"))</f>
        <v>1 Beschäftigter / 50 - 150  m² GF</v>
      </c>
      <c r="BG6" s="411">
        <v>50</v>
      </c>
      <c r="BH6" s="411">
        <v>150</v>
      </c>
      <c r="BJ6" s="15" t="s">
        <v>237</v>
      </c>
      <c r="BK6" s="14" t="str">
        <f>IF(AND(BL6=BM6,OR(BL6&lt;&gt;"-",BM6&lt;&gt;"-")=TRUE)=TRUE,"1 Beschäftigter / "&amp;BL6&amp;"  m² GF",IF(AND(BL6&lt;&gt;BM6,BL6&lt;&gt;"-",BM6&lt;&gt;"-")=TRUE,"1 Beschäftigter / "&amp;BL6&amp;" - "&amp;BM6&amp;"  m² GF","-"))</f>
        <v>1 Beschäftigter / 100 - 150  m² GF</v>
      </c>
      <c r="BL6" s="411">
        <v>100</v>
      </c>
      <c r="BM6" s="411">
        <v>150</v>
      </c>
      <c r="BO6" s="15" t="s">
        <v>237</v>
      </c>
      <c r="BP6" s="14" t="str">
        <f>IF(AND(BQ6=BR6,OR(BQ6&lt;&gt;"-",BR6&lt;&gt;"-")=TRUE)=TRUE,"1 Beschäftigter / "&amp;BQ6&amp;"  m² GF",IF(AND(BQ6&lt;&gt;BR6,BQ6&lt;&gt;"-",BR6&lt;&gt;"-")=TRUE,"1 Beschäftigter / "&amp;BQ6&amp;" - "&amp;BR6&amp;"  m² GF","-"))</f>
        <v>1 Beschäftigter / 20 - 60  m² GF</v>
      </c>
      <c r="BQ6" s="411">
        <v>20</v>
      </c>
      <c r="BR6" s="411">
        <v>60</v>
      </c>
      <c r="BT6" s="15" t="s">
        <v>237</v>
      </c>
      <c r="BU6" s="14" t="str">
        <f>IF(AND(BV6=BW6,OR(BV6&lt;&gt;"-",BW6&lt;&gt;"-")=TRUE)=TRUE,"1 Beschäftigter / "&amp;BV6&amp;"  m² GF",IF(AND(BV6&lt;&gt;BW6,BV6&lt;&gt;"-",BW6&lt;&gt;"-")=TRUE,"1 Beschäftigter / "&amp;BV6&amp;" - "&amp;BW6&amp;"  m² GF","-"))</f>
        <v>1 Beschäftigter / 125  m² GF</v>
      </c>
      <c r="BV6" s="411">
        <v>125</v>
      </c>
      <c r="BW6" s="411">
        <v>125</v>
      </c>
      <c r="BY6" s="15" t="s">
        <v>237</v>
      </c>
      <c r="BZ6" s="14" t="str">
        <f>IF(AND(CA6=CB6,OR(CA6&lt;&gt;"-",CB6&lt;&gt;"-")=TRUE)=TRUE,"1 Beschäftigter / "&amp;CA6&amp;"  m² GF",IF(AND(CA6&lt;&gt;CB6,CA6&lt;&gt;"-",CB6&lt;&gt;"-")=TRUE,"1 Beschäftigter / "&amp;CA6&amp;" - "&amp;CB6&amp;"  m² GF","-"))</f>
        <v>1 Beschäftigter / 20 - 70  m² GF</v>
      </c>
      <c r="CA6" s="411">
        <v>20</v>
      </c>
      <c r="CB6" s="411">
        <v>70</v>
      </c>
      <c r="CD6" s="15" t="s">
        <v>237</v>
      </c>
      <c r="CE6" s="14" t="str">
        <f>IF(AND(CF6=CG6,OR(CF6&lt;&gt;"-",CG6&lt;&gt;"-")=TRUE)=TRUE,"1 Beschäftigter / "&amp;CF6&amp;"  m² GF",IF(AND(CF6&lt;&gt;CG6,CF6&lt;&gt;"-",CG6&lt;&gt;"-")=TRUE,"1 Beschäftigter / "&amp;CF6&amp;" - "&amp;CG6&amp;"  m² GF","-"))</f>
        <v>1 Beschäftigter / 40 - 80  m² GF</v>
      </c>
      <c r="CF6" s="411">
        <v>40</v>
      </c>
      <c r="CG6" s="411">
        <v>80</v>
      </c>
      <c r="CI6" s="15" t="s">
        <v>237</v>
      </c>
      <c r="CJ6" s="14" t="str">
        <f>IF(AND(CK6=CL6,OR(CK6&lt;&gt;"-",CL6&lt;&gt;"-")=TRUE)=TRUE,"1 Beschäftigter / "&amp;CK6&amp;"  m² GF",IF(AND(CK6&lt;&gt;CL6,CK6&lt;&gt;"-",CL6&lt;&gt;"-")=TRUE,"1 Beschäftigter / "&amp;CK6&amp;" - "&amp;CL6&amp;"  m² GF","-"))</f>
        <v>1 Beschäftigter / 40 - 80  m² GF</v>
      </c>
      <c r="CK6" s="411">
        <v>40</v>
      </c>
      <c r="CL6" s="411">
        <v>80</v>
      </c>
      <c r="CN6" s="15" t="s">
        <v>237</v>
      </c>
      <c r="CO6" s="14" t="str">
        <f>IF(AND(CP6=CQ6,OR(CP6&lt;&gt;"-",CQ6&lt;&gt;"-")=TRUE)=TRUE,"1 Beschäftigter / "&amp;CP6&amp;"  m² GF",IF(AND(CP6&lt;&gt;CQ6,CP6&lt;&gt;"-",CQ6&lt;&gt;"-")=TRUE,"1 Beschäftigter / "&amp;CP6&amp;" - "&amp;CQ6&amp;"  m² GF","-"))</f>
        <v>1 Beschäftigter / 50 - 150  m² GF</v>
      </c>
      <c r="CP6" s="411">
        <v>50</v>
      </c>
      <c r="CQ6" s="411">
        <v>150</v>
      </c>
      <c r="CS6" s="15" t="s">
        <v>238</v>
      </c>
      <c r="CT6" s="14" t="str">
        <f>IF(AND(CU6=CV6,OR(CU6&lt;&gt;"-",CV6&lt;&gt;"-")=TRUE)=TRUE,CU6&amp;" Beschäftigte(r) / Schicht",IF(AND(CU6&lt;&gt;CV6,CU6&lt;&gt;"-",CV6&lt;&gt;"-")=TRUE,CU6&amp;" - "&amp;CV6&amp;"  Beschäftigte / Schicht","-"))</f>
        <v>3 Beschäftigte(r) / Schicht</v>
      </c>
      <c r="CU6" s="411">
        <v>3</v>
      </c>
      <c r="CV6" s="411">
        <v>3</v>
      </c>
      <c r="CX6" s="15" t="s">
        <v>239</v>
      </c>
      <c r="CY6" s="14" t="str">
        <f>IF(AND(CZ6=DA6,OR(CZ6&lt;&gt;"-",DA6&lt;&gt;"-")=TRUE)=TRUE,"1 Bewohner / "&amp;CZ6&amp;"  m² GF",IF(AND(CZ6&lt;&gt;DA6,CZ6&lt;&gt;"-",DA6&lt;&gt;"-")=TRUE,"1 Bewohner / "&amp;CZ6&amp;" - "&amp;DA6&amp;"  m² GF","-"))</f>
        <v>1 Bewohner / 47,5 - 52,5  m² GF</v>
      </c>
      <c r="CZ6" s="411">
        <v>47.5</v>
      </c>
      <c r="DA6" s="411">
        <v>52.5</v>
      </c>
      <c r="DC6" s="15" t="s">
        <v>240</v>
      </c>
      <c r="DD6" s="14" t="str">
        <f>IF(AND(DE6=DF6,OR(DE6&lt;&gt;"-",DF6&lt;&gt;"-")=TRUE)=TRUE,"1 Bewohner / "&amp;DE6&amp;"  ha",IF(AND(DE6&lt;&gt;DF6,DE6&lt;&gt;"-",DF6&lt;&gt;"-")=TRUE,"1 Bewohner / "&amp;DE6&amp;" - "&amp;DF6&amp;"  ha","-"))</f>
        <v>1 Bewohner / 0,0025 - 0,005  ha</v>
      </c>
      <c r="DE6" s="411">
        <v>2.5000000000000001E-3</v>
      </c>
      <c r="DF6" s="411">
        <v>5.0000000000000001E-3</v>
      </c>
    </row>
    <row r="7" spans="1:110" s="18" customFormat="1" ht="18" customHeight="1">
      <c r="A7" s="798"/>
      <c r="B7" s="15" t="s">
        <v>241</v>
      </c>
      <c r="C7" s="14" t="str">
        <f>IF(AND(D7=E7,OR(D7&lt;&gt;"-",E7&lt;&gt;"-")=TRUE)=TRUE,D7&amp;"  Kunden / 1 m² GF",IF(AND(D7&lt;&gt;E7,D7&lt;&gt;"-",E7&lt;&gt;"-")=TRUE,D7&amp;" - "&amp;E7&amp;"  Kunden / 1 m² GF","-"))</f>
        <v>-</v>
      </c>
      <c r="D7" s="412" t="s">
        <v>121</v>
      </c>
      <c r="E7" s="412" t="s">
        <v>121</v>
      </c>
      <c r="G7" s="15" t="s">
        <v>242</v>
      </c>
      <c r="H7" s="14" t="str">
        <f>IF(AND(I7=J7,OR(I7&lt;&gt;"-",J7&lt;&gt;"-")=TRUE)=TRUE,I7&amp;"  Kunden / 1 m² GF",IF(AND(I7&lt;&gt;J7,I7&lt;&gt;"-",J7&lt;&gt;"-")=TRUE,I7&amp;" - "&amp;J7&amp;"  Kunden / 1 m² GF","-"))</f>
        <v>0,9 - 1,9  Kunden / 1 m² GF</v>
      </c>
      <c r="I7" s="412">
        <v>0.9</v>
      </c>
      <c r="J7" s="412">
        <v>1.9</v>
      </c>
      <c r="L7" s="15" t="s">
        <v>242</v>
      </c>
      <c r="M7" s="14" t="str">
        <f>IF(AND(N7=O7,OR(N7&lt;&gt;"-",O7&lt;&gt;"-")=TRUE)=TRUE,N7&amp;"  Kunden / 1 m² GF",IF(AND(N7&lt;&gt;O7,N7&lt;&gt;"-",O7&lt;&gt;"-")=TRUE,N7&amp;" - "&amp;O7&amp;"  Kunden / 1 m² GF","-"))</f>
        <v>0,9 - 1,25  Kunden / 1 m² GF</v>
      </c>
      <c r="N7" s="412">
        <v>0.9</v>
      </c>
      <c r="O7" s="412">
        <v>1.25</v>
      </c>
      <c r="Q7" s="15" t="s">
        <v>242</v>
      </c>
      <c r="R7" s="14" t="str">
        <f>IF(AND(S7=T7,OR(S7&lt;&gt;"-",T7&lt;&gt;"-")=TRUE)=TRUE,S7&amp;"  Kunden / 1 m² GF",IF(AND(S7&lt;&gt;T7,S7&lt;&gt;"-",T7&lt;&gt;"-")=TRUE,S7&amp;" - "&amp;T7&amp;"  Kunden / 1 m² GF","-"))</f>
        <v>0,25 - 0,55  Kunden / 1 m² GF</v>
      </c>
      <c r="S7" s="412">
        <v>0.25</v>
      </c>
      <c r="T7" s="412">
        <v>0.55000000000000004</v>
      </c>
      <c r="V7" s="15" t="s">
        <v>242</v>
      </c>
      <c r="W7" s="14" t="str">
        <f>IF(AND(X7=Y7,OR(X7&lt;&gt;"-",Y7&lt;&gt;"-")=TRUE)=TRUE,X7&amp;"  Kunden / 1 m² GF",IF(AND(X7&lt;&gt;Y7,X7&lt;&gt;"-",Y7&lt;&gt;"-")=TRUE,X7&amp;" - "&amp;Y7&amp;"  Kunden / 1 m² GF","-"))</f>
        <v>0,3 - 0,45  Kunden / 1 m² GF</v>
      </c>
      <c r="X7" s="412">
        <v>0.3</v>
      </c>
      <c r="Y7" s="412">
        <v>0.45</v>
      </c>
      <c r="AA7" s="15" t="s">
        <v>242</v>
      </c>
      <c r="AB7" s="14" t="str">
        <f>IF(AND(AC7=AD7,OR(AC7&lt;&gt;"-",AD7&lt;&gt;"-")=TRUE)=TRUE,AC7&amp;"  Kunden / 1 m² GF",IF(AND(AC7&lt;&gt;AD7,AC7&lt;&gt;"-",AD7&lt;&gt;"-")=TRUE,AC7&amp;" - "&amp;AD7&amp;"  Kunden / 1 m² GF","-"))</f>
        <v>0,55 - 0,65  Kunden / 1 m² GF</v>
      </c>
      <c r="AC7" s="412">
        <v>0.55000000000000004</v>
      </c>
      <c r="AD7" s="412">
        <v>0.65</v>
      </c>
      <c r="AF7" s="15" t="s">
        <v>242</v>
      </c>
      <c r="AG7" s="14" t="str">
        <f>IF(AND(AH7=AI7,OR(AH7&lt;&gt;"-",AI7&lt;&gt;"-")=TRUE)=TRUE,AH7&amp;"  Kunden / 1 m² GF",IF(AND(AH7&lt;&gt;AI7,AH7&lt;&gt;"-",AI7&lt;&gt;"-")=TRUE,AH7&amp;" - "&amp;AI7&amp;"  Kunden / 1 m² GF","-"))</f>
        <v>0,05 - 0,1  Kunden / 1 m² GF</v>
      </c>
      <c r="AH7" s="411">
        <v>0.05</v>
      </c>
      <c r="AI7" s="411">
        <v>0.1</v>
      </c>
      <c r="AK7" s="15" t="s">
        <v>242</v>
      </c>
      <c r="AL7" s="14" t="str">
        <f>IF(AND(AM7=AN7,OR(AM7&lt;&gt;"-",AN7&lt;&gt;"-")=TRUE)=TRUE,AM7&amp;"  Kunden / 1 m² GF",IF(AND(AM7&lt;&gt;AN7,AM7&lt;&gt;"-",AN7&lt;&gt;"-")=TRUE,AM7&amp;" - "&amp;AN7&amp;"  Kunden / 1 m² GF","-"))</f>
        <v>-</v>
      </c>
      <c r="AM7" s="411" t="s">
        <v>121</v>
      </c>
      <c r="AN7" s="411" t="s">
        <v>121</v>
      </c>
      <c r="AP7" s="15" t="s">
        <v>242</v>
      </c>
      <c r="AQ7" s="14" t="str">
        <f>IF(AND(AR7=AS7,OR(AR7&lt;&gt;"-",AS7&lt;&gt;"-")=TRUE)=TRUE,AR7&amp;"  Kunden / 1 m² GF",IF(AND(AR7&lt;&gt;AS7,AR7&lt;&gt;"-",AS7&lt;&gt;"-")=TRUE,AR7&amp;" - "&amp;AS7&amp;"  Kunden / 1 m² GF","-"))</f>
        <v>0,1 - 0,4  Kunden / 1 m² GF</v>
      </c>
      <c r="AR7" s="411">
        <v>0.1</v>
      </c>
      <c r="AS7" s="411">
        <v>0.4</v>
      </c>
      <c r="AU7" s="15" t="s">
        <v>242</v>
      </c>
      <c r="AV7" s="14" t="str">
        <f>IF(AND(AW7=AX7,OR(AW7&lt;&gt;"-",AX7&lt;&gt;"-")=TRUE)=TRUE,AW7&amp;"  Kunden / 1 m² GF",IF(AND(AW7&lt;&gt;AX7,AW7&lt;&gt;"-",AX7&lt;&gt;"-")=TRUE,AW7&amp;" - "&amp;AX7&amp;"  Kunden / 1 m² GF","-"))</f>
        <v>-</v>
      </c>
      <c r="AW7" s="411" t="s">
        <v>121</v>
      </c>
      <c r="AX7" s="411" t="s">
        <v>121</v>
      </c>
      <c r="AZ7" s="15" t="s">
        <v>242</v>
      </c>
      <c r="BA7" s="14" t="str">
        <f>IF(AND(BB7=BC7,OR(BB7&lt;&gt;"-",BC7&lt;&gt;"-")=TRUE)=TRUE,BB7&amp;"  Kunden / 1 m² GF",IF(AND(BB7&lt;&gt;BC7,BB7&lt;&gt;"-",BC7&lt;&gt;"-")=TRUE,BB7&amp;" - "&amp;BC7&amp;"  Kunden / 1 m² GF","-"))</f>
        <v>-</v>
      </c>
      <c r="BB7" s="411" t="s">
        <v>121</v>
      </c>
      <c r="BC7" s="411" t="s">
        <v>121</v>
      </c>
      <c r="BE7" s="15" t="s">
        <v>242</v>
      </c>
      <c r="BF7" s="14" t="str">
        <f>IF(AND(BG7=BH7,OR(BG7&lt;&gt;"-",BH7&lt;&gt;"-")=TRUE)=TRUE,BG7&amp;"  Kunden / 1 m² GF",IF(AND(BG7&lt;&gt;BH7,BG7&lt;&gt;"-",BH7&lt;&gt;"-")=TRUE,BG7&amp;" - "&amp;BH7&amp;"  Kunden / 1 m² GF","-"))</f>
        <v>-</v>
      </c>
      <c r="BG7" s="411" t="s">
        <v>121</v>
      </c>
      <c r="BH7" s="411" t="s">
        <v>121</v>
      </c>
      <c r="BJ7" s="15" t="s">
        <v>242</v>
      </c>
      <c r="BK7" s="14" t="str">
        <f>IF(AND(BL7=BM7,OR(BL7&lt;&gt;"-",BM7&lt;&gt;"-")=TRUE)=TRUE,BL7&amp;"  Kunden / 1 m² GF",IF(AND(BL7&lt;&gt;BM7,BL7&lt;&gt;"-",BM7&lt;&gt;"-")=TRUE,BL7&amp;" - "&amp;BM7&amp;"  Kunden / 1 m² GF","-"))</f>
        <v>-</v>
      </c>
      <c r="BL7" s="411" t="s">
        <v>121</v>
      </c>
      <c r="BM7" s="411" t="s">
        <v>121</v>
      </c>
      <c r="BO7" s="15" t="s">
        <v>242</v>
      </c>
      <c r="BP7" s="14" t="str">
        <f>IF(AND(BQ7=BR7,OR(BQ7&lt;&gt;"-",BR7&lt;&gt;"-")=TRUE)=TRUE,BQ7&amp;"  Kunden / 1 m² GF",IF(AND(BQ7&lt;&gt;BR7,BQ7&lt;&gt;"-",BR7&lt;&gt;"-")=TRUE,BQ7&amp;" - "&amp;BR7&amp;"  Kunden / 1 m² GF","-"))</f>
        <v>-</v>
      </c>
      <c r="BQ7" s="411" t="s">
        <v>121</v>
      </c>
      <c r="BR7" s="411" t="s">
        <v>121</v>
      </c>
      <c r="BT7" s="15" t="s">
        <v>242</v>
      </c>
      <c r="BU7" s="14" t="str">
        <f>IF(AND(BV7=BW7,OR(BV7&lt;&gt;"-",BW7&lt;&gt;"-")=TRUE)=TRUE,BV7&amp;"  Kunden / 1 m² GF",IF(AND(BV7&lt;&gt;BW7,BV7&lt;&gt;"-",BW7&lt;&gt;"-")=TRUE,BV7&amp;" - "&amp;BW7&amp;"  Kunden / 1 m² GF","-"))</f>
        <v>0,15 - 0,3  Kunden / 1 m² GF</v>
      </c>
      <c r="BV7" s="411">
        <v>0.15</v>
      </c>
      <c r="BW7" s="411">
        <v>0.3</v>
      </c>
      <c r="BY7" s="15" t="s">
        <v>242</v>
      </c>
      <c r="BZ7" s="14" t="str">
        <f>IF(AND(CA7=CB7,OR(CA7&lt;&gt;"-",CB7&lt;&gt;"-")=TRUE)=TRUE,CA7&amp;"  Kunden / 1 m² GF",IF(AND(CA7&lt;&gt;CB7,CA7&lt;&gt;"-",CB7&lt;&gt;"-")=TRUE,CA7&amp;" - "&amp;CB7&amp;"  Kunden / 1 m² GF","-"))</f>
        <v>0,02 - 0,1  Kunden / 1 m² GF</v>
      </c>
      <c r="CA7" s="411">
        <v>0.02</v>
      </c>
      <c r="CB7" s="411">
        <v>0.1</v>
      </c>
      <c r="CD7" s="15" t="s">
        <v>242</v>
      </c>
      <c r="CE7" s="14" t="str">
        <f>IF(AND(CF7=CG7,OR(CF7&lt;&gt;"-",CG7&lt;&gt;"-")=TRUE)=TRUE,CF7&amp;"  Kunden / 1 m² GF",IF(AND(CF7&lt;&gt;CG7,CF7&lt;&gt;"-",CG7&lt;&gt;"-")=TRUE,CF7&amp;" - "&amp;CG7&amp;"  Kunden / 1 m² GF","-"))</f>
        <v>-</v>
      </c>
      <c r="CF7" s="411" t="s">
        <v>121</v>
      </c>
      <c r="CG7" s="411" t="s">
        <v>121</v>
      </c>
      <c r="CI7" s="15" t="s">
        <v>242</v>
      </c>
      <c r="CJ7" s="14" t="str">
        <f>IF(AND(CK7=CL7,OR(CK7&lt;&gt;"-",CL7&lt;&gt;"-")=TRUE)=TRUE,CK7&amp;"  Kunden / 1 m² GF",IF(AND(CK7&lt;&gt;CL7,CK7&lt;&gt;"-",CL7&lt;&gt;"-")=TRUE,CK7&amp;" - "&amp;CL7&amp;"  Kunden / 1 m² GF","-"))</f>
        <v>-</v>
      </c>
      <c r="CK7" s="411" t="s">
        <v>121</v>
      </c>
      <c r="CL7" s="411" t="s">
        <v>121</v>
      </c>
      <c r="CN7" s="15" t="s">
        <v>242</v>
      </c>
      <c r="CO7" s="14" t="str">
        <f>IF(AND(CP7=CQ7,OR(CP7&lt;&gt;"-",CQ7&lt;&gt;"-")=TRUE)=TRUE,CP7&amp;"  Kunden / 1 m² GF",IF(AND(CP7&lt;&gt;CQ7,CP7&lt;&gt;"-",CQ7&lt;&gt;"-")=TRUE,CP7&amp;" - "&amp;CQ7&amp;"  Kunden / 1 m² GF","-"))</f>
        <v>-</v>
      </c>
      <c r="CP7" s="411" t="s">
        <v>121</v>
      </c>
      <c r="CQ7" s="411" t="s">
        <v>121</v>
      </c>
      <c r="CS7" s="15" t="s">
        <v>243</v>
      </c>
      <c r="CT7" s="14" t="str">
        <f>IF(AND(CU7=CV7,OR(CU7&lt;&gt;"-",CV7&lt;&gt;"-")=TRUE)=TRUE,CU7&amp;"  Kunden / Beschäftigter",IF(AND(CU7&lt;&gt;CV7,CU7&lt;&gt;"-",CV7&lt;&gt;"-")=TRUE,CU7&amp;" - "&amp;CV7&amp;"  Kunden / Beschäftigter","-"))</f>
        <v>70 - 100  Kunden / Beschäftigter</v>
      </c>
      <c r="CU7" s="411">
        <v>70</v>
      </c>
      <c r="CV7" s="411">
        <v>100</v>
      </c>
      <c r="CX7" s="15" t="s">
        <v>244</v>
      </c>
      <c r="CY7" s="14" t="str">
        <f>IF(AND(CZ7=DA7,OR(CZ7&lt;&gt;"-",DA7&lt;&gt;"-")=TRUE)=TRUE,CZ7&amp;"  Besucher / Bewohner",IF(AND(CZ7&lt;&gt;DA7,CZ7&lt;&gt;"-",DA7&lt;&gt;"-")=TRUE,CZ7&amp;" - "&amp;DA7&amp;"  Besucher / Bewohner","-"))</f>
        <v>0,1  Besucher / Bewohner</v>
      </c>
      <c r="CZ7" s="411">
        <v>0.1</v>
      </c>
      <c r="DA7" s="411">
        <v>0.1</v>
      </c>
      <c r="DC7" s="15" t="s">
        <v>244</v>
      </c>
      <c r="DD7" s="14" t="str">
        <f>IF(AND(DE7=DF7,OR(DE7&lt;&gt;"-",DF7&lt;&gt;"-")=TRUE)=TRUE,DE7&amp;"  Besucher / Bewohner",IF(AND(DE7&lt;&gt;DF7,DE7&lt;&gt;"-",DF7&lt;&gt;"-")=TRUE,DE7&amp;" - "&amp;DF7&amp;"  Besucher / Bewohner","-"))</f>
        <v>0,1  Besucher / Bewohner</v>
      </c>
      <c r="DE7" s="411">
        <v>0.1</v>
      </c>
      <c r="DF7" s="411">
        <v>0.1</v>
      </c>
    </row>
    <row r="8" spans="1:110" s="18" customFormat="1" ht="18" customHeight="1">
      <c r="A8" s="798"/>
      <c r="B8" s="15" t="s">
        <v>245</v>
      </c>
      <c r="C8" s="14" t="str">
        <f>IF(AND(D8=E8,OR(D8&lt;&gt;"-",E8&lt;&gt;"-")=TRUE)=TRUE,D8&amp;" Wege / Beschäftigter",IF(AND(D8&lt;&gt;E8,D8&lt;&gt;"-",E8&lt;&gt;"-")=TRUE,D8&amp;" - "&amp;E8&amp;" Wege / Beschäftigter","-"))</f>
        <v>2 - 3 Wege / Beschäftigter</v>
      </c>
      <c r="D8" s="411">
        <v>2</v>
      </c>
      <c r="E8" s="411">
        <v>3</v>
      </c>
      <c r="G8" s="15" t="s">
        <v>246</v>
      </c>
      <c r="H8" s="14" t="str">
        <f>IF(AND(I8=J8,OR(I8&lt;&gt;"-",J8&lt;&gt;"-")=TRUE)=TRUE,I8&amp;" Wege / Beschäftigter",IF(AND(I8&lt;&gt;J8,I8&lt;&gt;"-",J8&lt;&gt;"-")=TRUE,I8&amp;" - "&amp;J8&amp;" Wege / Beschäftigter","-"))</f>
        <v>2 - 3 Wege / Beschäftigter</v>
      </c>
      <c r="I8" s="411">
        <v>2</v>
      </c>
      <c r="J8" s="411">
        <v>3</v>
      </c>
      <c r="L8" s="15" t="s">
        <v>246</v>
      </c>
      <c r="M8" s="14" t="str">
        <f>IF(AND(N8=O8,OR(N8&lt;&gt;"-",O8&lt;&gt;"-")=TRUE)=TRUE,N8&amp;" Wege / Beschäftigter",IF(AND(N8&lt;&gt;O8,N8&lt;&gt;"-",O8&lt;&gt;"-")=TRUE,N8&amp;" - "&amp;O8&amp;" Wege / Beschäftigter","-"))</f>
        <v>2 - 3 Wege / Beschäftigter</v>
      </c>
      <c r="N8" s="411">
        <v>2</v>
      </c>
      <c r="O8" s="411">
        <v>3</v>
      </c>
      <c r="Q8" s="15" t="s">
        <v>246</v>
      </c>
      <c r="R8" s="14" t="str">
        <f>IF(AND(S8=T8,OR(S8&lt;&gt;"-",T8&lt;&gt;"-")=TRUE)=TRUE,S8&amp;" Wege / Beschäftigter",IF(AND(S8&lt;&gt;T8,S8&lt;&gt;"-",T8&lt;&gt;"-")=TRUE,S8&amp;" - "&amp;T8&amp;" Wege / Beschäftigter","-"))</f>
        <v>2 - 3 Wege / Beschäftigter</v>
      </c>
      <c r="S8" s="411">
        <v>2</v>
      </c>
      <c r="T8" s="411">
        <v>3</v>
      </c>
      <c r="V8" s="15" t="s">
        <v>246</v>
      </c>
      <c r="W8" s="14" t="str">
        <f>IF(AND(X8=Y8,OR(X8&lt;&gt;"-",Y8&lt;&gt;"-")=TRUE)=TRUE,X8&amp;" Wege / Beschäftigter",IF(AND(X8&lt;&gt;Y8,X8&lt;&gt;"-",Y8&lt;&gt;"-")=TRUE,X8&amp;" - "&amp;Y8&amp;" Wege / Beschäftigter","-"))</f>
        <v>2 - 3 Wege / Beschäftigter</v>
      </c>
      <c r="X8" s="411">
        <v>2</v>
      </c>
      <c r="Y8" s="411">
        <v>3</v>
      </c>
      <c r="AA8" s="15" t="s">
        <v>246</v>
      </c>
      <c r="AB8" s="14" t="str">
        <f>IF(AND(AC8=AD8,OR(AC8&lt;&gt;"-",AD8&lt;&gt;"-")=TRUE)=TRUE,AC8&amp;" Wege / Beschäftigter",IF(AND(AC8&lt;&gt;AD8,AC8&lt;&gt;"-",AD8&lt;&gt;"-")=TRUE,AC8&amp;" - "&amp;AD8&amp;" Wege / Beschäftigter","-"))</f>
        <v>2 - 3 Wege / Beschäftigter</v>
      </c>
      <c r="AC8" s="411">
        <v>2</v>
      </c>
      <c r="AD8" s="411">
        <v>3</v>
      </c>
      <c r="AF8" s="15" t="s">
        <v>246</v>
      </c>
      <c r="AG8" s="14" t="str">
        <f>IF(AND(AH8=AI8,OR(AH8&lt;&gt;"-",AI8&lt;&gt;"-")=TRUE)=TRUE,AH8&amp;" Wege / Beschäftigter",IF(AND(AH8&lt;&gt;AI8,AH8&lt;&gt;"-",AI8&lt;&gt;"-")=TRUE,AH8&amp;" - "&amp;AI8&amp;" Wege / Beschäftigter","-"))</f>
        <v>2 - 3 Wege / Beschäftigter</v>
      </c>
      <c r="AH8" s="411">
        <v>2</v>
      </c>
      <c r="AI8" s="411">
        <v>3</v>
      </c>
      <c r="AK8" s="15" t="s">
        <v>246</v>
      </c>
      <c r="AL8" s="14" t="str">
        <f>IF(AND(AM8=AN8,OR(AM8&lt;&gt;"-",AN8&lt;&gt;"-")=TRUE)=TRUE,AM8&amp;" Wege / Beschäftigter",IF(AND(AM8&lt;&gt;AN8,AM8&lt;&gt;"-",AN8&lt;&gt;"-")=TRUE,AM8&amp;" - "&amp;AN8&amp;" Wege / Beschäftigter","-"))</f>
        <v>2 - 3 Wege / Beschäftigter</v>
      </c>
      <c r="AM8" s="411">
        <v>2</v>
      </c>
      <c r="AN8" s="411">
        <v>3</v>
      </c>
      <c r="AP8" s="15" t="s">
        <v>246</v>
      </c>
      <c r="AQ8" s="14" t="str">
        <f>IF(AND(AR8=AS8,OR(AR8&lt;&gt;"-",AS8&lt;&gt;"-")=TRUE)=TRUE,AR8&amp;" Wege / Beschäftigter",IF(AND(AR8&lt;&gt;AS8,AR8&lt;&gt;"-",AS8&lt;&gt;"-")=TRUE,AR8&amp;" - "&amp;AS8&amp;" Wege / Beschäftigter","-"))</f>
        <v>2 - 3 Wege / Beschäftigter</v>
      </c>
      <c r="AR8" s="411">
        <v>2</v>
      </c>
      <c r="AS8" s="411">
        <v>3</v>
      </c>
      <c r="AU8" s="15" t="s">
        <v>246</v>
      </c>
      <c r="AV8" s="14" t="str">
        <f>IF(AND(AW8=AX8,OR(AW8&lt;&gt;"-",AX8&lt;&gt;"-")=TRUE)=TRUE,AW8&amp;" Wege / Beschäftigter",IF(AND(AW8&lt;&gt;AX8,AW8&lt;&gt;"-",AX8&lt;&gt;"-")=TRUE,AW8&amp;" - "&amp;AX8&amp;" Wege / Beschäftigter","-"))</f>
        <v>2 - 3 Wege / Beschäftigter</v>
      </c>
      <c r="AW8" s="411">
        <v>2</v>
      </c>
      <c r="AX8" s="411">
        <v>3</v>
      </c>
      <c r="AZ8" s="15" t="s">
        <v>246</v>
      </c>
      <c r="BA8" s="14" t="str">
        <f>IF(AND(BB8=BC8,OR(BB8&lt;&gt;"-",BC8&lt;&gt;"-")=TRUE)=TRUE,BB8&amp;" Wege / Beschäftigter",IF(AND(BB8&lt;&gt;BC8,BB8&lt;&gt;"-",BC8&lt;&gt;"-")=TRUE,BB8&amp;" - "&amp;BC8&amp;" Wege / Beschäftigter","-"))</f>
        <v>2 - 3 Wege / Beschäftigter</v>
      </c>
      <c r="BB8" s="411">
        <v>2</v>
      </c>
      <c r="BC8" s="411">
        <v>3</v>
      </c>
      <c r="BE8" s="15" t="s">
        <v>246</v>
      </c>
      <c r="BF8" s="14" t="str">
        <f>IF(AND(BG8=BH8,OR(BG8&lt;&gt;"-",BH8&lt;&gt;"-")=TRUE)=TRUE,BG8&amp;" Wege / Beschäftigter",IF(AND(BG8&lt;&gt;BH8,BG8&lt;&gt;"-",BH8&lt;&gt;"-")=TRUE,BG8&amp;" - "&amp;BH8&amp;" Wege / Beschäftigter","-"))</f>
        <v>2 - 3 Wege / Beschäftigter</v>
      </c>
      <c r="BG8" s="411">
        <v>2</v>
      </c>
      <c r="BH8" s="411">
        <v>3</v>
      </c>
      <c r="BJ8" s="15" t="s">
        <v>246</v>
      </c>
      <c r="BK8" s="14" t="str">
        <f>IF(AND(BL8=BM8,OR(BL8&lt;&gt;"-",BM8&lt;&gt;"-")=TRUE)=TRUE,BL8&amp;" Wege / Beschäftigter",IF(AND(BL8&lt;&gt;BM8,BL8&lt;&gt;"-",BM8&lt;&gt;"-")=TRUE,BL8&amp;" - "&amp;BM8&amp;" Wege / Beschäftigter","-"))</f>
        <v>2 - 3 Wege / Beschäftigter</v>
      </c>
      <c r="BL8" s="411">
        <v>2</v>
      </c>
      <c r="BM8" s="411">
        <v>3</v>
      </c>
      <c r="BO8" s="15" t="s">
        <v>246</v>
      </c>
      <c r="BP8" s="14" t="str">
        <f>IF(AND(BQ8=BR8,OR(BQ8&lt;&gt;"-",BR8&lt;&gt;"-")=TRUE)=TRUE,BQ8&amp;" Wege / Beschäftigter",IF(AND(BQ8&lt;&gt;BR8,BQ8&lt;&gt;"-",BR8&lt;&gt;"-")=TRUE,BQ8&amp;" - "&amp;BR8&amp;" Wege / Beschäftigter","-"))</f>
        <v>2 - 3 Wege / Beschäftigter</v>
      </c>
      <c r="BQ8" s="411">
        <v>2</v>
      </c>
      <c r="BR8" s="411">
        <v>3</v>
      </c>
      <c r="BT8" s="15" t="s">
        <v>246</v>
      </c>
      <c r="BU8" s="14" t="str">
        <f>IF(AND(BV8=BW8,OR(BV8&lt;&gt;"-",BW8&lt;&gt;"-")=TRUE)=TRUE,BV8&amp;" Wege / Beschäftigter",IF(AND(BV8&lt;&gt;BW8,BV8&lt;&gt;"-",BW8&lt;&gt;"-")=TRUE,BV8&amp;" - "&amp;BW8&amp;" Wege / Beschäftigter","-"))</f>
        <v>2 - 3 Wege / Beschäftigter</v>
      </c>
      <c r="BV8" s="411">
        <v>2</v>
      </c>
      <c r="BW8" s="411">
        <v>3</v>
      </c>
      <c r="BY8" s="15" t="s">
        <v>246</v>
      </c>
      <c r="BZ8" s="14" t="str">
        <f>IF(AND(CA8=CB8,OR(CA8&lt;&gt;"-",CB8&lt;&gt;"-")=TRUE)=TRUE,CA8&amp;" Wege / Beschäftigter",IF(AND(CA8&lt;&gt;CB8,CA8&lt;&gt;"-",CB8&lt;&gt;"-")=TRUE,CA8&amp;" - "&amp;CB8&amp;" Wege / Beschäftigter","-"))</f>
        <v>2 - 3 Wege / Beschäftigter</v>
      </c>
      <c r="CA8" s="411">
        <v>2</v>
      </c>
      <c r="CB8" s="411">
        <v>3</v>
      </c>
      <c r="CD8" s="15" t="s">
        <v>246</v>
      </c>
      <c r="CE8" s="14" t="str">
        <f>IF(AND(CF8=CG8,OR(CF8&lt;&gt;"-",CG8&lt;&gt;"-")=TRUE)=TRUE,CF8&amp;" Wege / Beschäftigter",IF(AND(CF8&lt;&gt;CG8,CF8&lt;&gt;"-",CG8&lt;&gt;"-")=TRUE,CF8&amp;" - "&amp;CG8&amp;" Wege / Beschäftigter","-"))</f>
        <v>2 - 3 Wege / Beschäftigter</v>
      </c>
      <c r="CF8" s="411">
        <v>2</v>
      </c>
      <c r="CG8" s="411">
        <v>3</v>
      </c>
      <c r="CI8" s="15" t="s">
        <v>246</v>
      </c>
      <c r="CJ8" s="14" t="str">
        <f>IF(AND(CK8=CL8,OR(CK8&lt;&gt;"-",CL8&lt;&gt;"-")=TRUE)=TRUE,CK8&amp;" Wege / Beschäftigter",IF(AND(CK8&lt;&gt;CL8,CK8&lt;&gt;"-",CL8&lt;&gt;"-")=TRUE,CK8&amp;" - "&amp;CL8&amp;" Wege / Beschäftigter","-"))</f>
        <v>2 - 3 Wege / Beschäftigter</v>
      </c>
      <c r="CK8" s="411">
        <v>2</v>
      </c>
      <c r="CL8" s="411">
        <v>3</v>
      </c>
      <c r="CN8" s="15" t="s">
        <v>246</v>
      </c>
      <c r="CO8" s="14" t="str">
        <f>IF(AND(CP8=CQ8,OR(CP8&lt;&gt;"-",CQ8&lt;&gt;"-")=TRUE)=TRUE,CP8&amp;" Wege / Beschäftigter",IF(AND(CP8&lt;&gt;CQ8,CP8&lt;&gt;"-",CQ8&lt;&gt;"-")=TRUE,CP8&amp;" - "&amp;CQ8&amp;" Wege / Beschäftigter","-"))</f>
        <v>2 - 3 Wege / Beschäftigter</v>
      </c>
      <c r="CP8" s="411">
        <v>2</v>
      </c>
      <c r="CQ8" s="411">
        <v>3</v>
      </c>
      <c r="CS8" s="15" t="s">
        <v>246</v>
      </c>
      <c r="CT8" s="14" t="str">
        <f>IF(AND(CU8=CV8,OR(CU8&lt;&gt;"-",CV8&lt;&gt;"-")=TRUE)=TRUE,CU8&amp;" Wege / Beschäftigter",IF(AND(CU8&lt;&gt;CV8,CU8&lt;&gt;"-",CV8&lt;&gt;"-")=TRUE,CU8&amp;" - "&amp;CV8&amp;" Wege / Beschäftigter","-"))</f>
        <v>2 - 3 Wege / Beschäftigter</v>
      </c>
      <c r="CU8" s="411">
        <v>2</v>
      </c>
      <c r="CV8" s="411">
        <v>3</v>
      </c>
      <c r="CX8" s="15" t="s">
        <v>247</v>
      </c>
      <c r="CY8" s="14" t="str">
        <f>IF(AND(CZ8=DA8,OR(CZ8&lt;&gt;"-",DA8&lt;&gt;"-")=TRUE)=TRUE,CZ8&amp;" Wege / Bewohner",IF(AND(CZ8&lt;&gt;DA8,CZ8&lt;&gt;"-",DA8&lt;&gt;"-")=TRUE,CZ8&amp;" - "&amp;DA8&amp;" Wege / Bewohner","-"))</f>
        <v>3 - 3,5 Wege / Bewohner</v>
      </c>
      <c r="CZ8" s="411">
        <v>3</v>
      </c>
      <c r="DA8" s="411">
        <v>3.5</v>
      </c>
      <c r="DC8" s="15" t="s">
        <v>247</v>
      </c>
      <c r="DD8" s="14" t="str">
        <f>IF(AND(DE8=DF8,OR(DE8&lt;&gt;"-",DF8&lt;&gt;"-")=TRUE)=TRUE,DE8&amp;" Wege / Bewohner",IF(AND(DE8&lt;&gt;DF8,DE8&lt;&gt;"-",DF8&lt;&gt;"-")=TRUE,DE8&amp;" - "&amp;DF8&amp;" Wege / Bewohner","-"))</f>
        <v>3 - 3,5 Wege / Bewohner</v>
      </c>
      <c r="DE8" s="411">
        <v>3</v>
      </c>
      <c r="DF8" s="411">
        <v>3.5</v>
      </c>
    </row>
    <row r="9" spans="1:110" s="18" customFormat="1" ht="18" customHeight="1">
      <c r="A9" s="798"/>
      <c r="B9" s="15" t="s">
        <v>248</v>
      </c>
      <c r="C9" s="14" t="str">
        <f>IF(AND(D9=E9,OR(D9&lt;&gt;"-",E9&lt;&gt;"-")=TRUE)=TRUE,D9&amp;" Wege / Beschäftigter",IF(AND(D9&lt;&gt;E9,D9&lt;&gt;"-",E9&lt;&gt;"-")=TRUE,D9&amp;" - "&amp;E9&amp;" Wege / Beschäftigter","-"))</f>
        <v>0,5 - 1 Wege / Beschäftigter</v>
      </c>
      <c r="D9" s="411">
        <v>0.5</v>
      </c>
      <c r="E9" s="411">
        <v>1</v>
      </c>
      <c r="G9" s="15" t="s">
        <v>248</v>
      </c>
      <c r="H9" s="14" t="str">
        <f>IF(AND(I9=J9,OR(I9&lt;&gt;"-",J9&lt;&gt;"-")=TRUE)=TRUE,I9&amp;" Wege / Kunde",IF(AND(I9&lt;&gt;J9,I9&lt;&gt;"-",J9&lt;&gt;"-")=TRUE,I9&amp;" - "&amp;J9&amp;" Wege / Kunde","-"))</f>
        <v>2 Wege / Kunde</v>
      </c>
      <c r="I9" s="411">
        <v>2</v>
      </c>
      <c r="J9" s="411">
        <v>2</v>
      </c>
      <c r="L9" s="15" t="s">
        <v>248</v>
      </c>
      <c r="M9" s="14" t="str">
        <f>IF(AND(N9=O9,OR(N9&lt;&gt;"-",O9&lt;&gt;"-")=TRUE)=TRUE,N9&amp;" Wege / Kunde",IF(AND(N9&lt;&gt;O9,N9&lt;&gt;"-",O9&lt;&gt;"-")=TRUE,N9&amp;" - "&amp;O9&amp;" Wege / Kunde","-"))</f>
        <v>2 Wege / Kunde</v>
      </c>
      <c r="N9" s="411">
        <v>2</v>
      </c>
      <c r="O9" s="411">
        <v>2</v>
      </c>
      <c r="Q9" s="15" t="s">
        <v>248</v>
      </c>
      <c r="R9" s="14" t="str">
        <f>IF(AND(S9=T9,OR(S9&lt;&gt;"-",T9&lt;&gt;"-")=TRUE)=TRUE,S9&amp;" Wege / Kunde",IF(AND(S9&lt;&gt;T9,S9&lt;&gt;"-",T9&lt;&gt;"-")=TRUE,S9&amp;" - "&amp;T9&amp;" Wege / Kunde","-"))</f>
        <v>2 Wege / Kunde</v>
      </c>
      <c r="S9" s="411">
        <v>2</v>
      </c>
      <c r="T9" s="411">
        <v>2</v>
      </c>
      <c r="V9" s="15" t="s">
        <v>248</v>
      </c>
      <c r="W9" s="14" t="str">
        <f>IF(AND(X9=Y9,OR(X9&lt;&gt;"-",Y9&lt;&gt;"-")=TRUE)=TRUE,X9&amp;" Wege / Kunde",IF(AND(X9&lt;&gt;Y9,X9&lt;&gt;"-",Y9&lt;&gt;"-")=TRUE,X9&amp;" - "&amp;Y9&amp;" Wege / Kunde","-"))</f>
        <v>2 Wege / Kunde</v>
      </c>
      <c r="X9" s="411">
        <v>2</v>
      </c>
      <c r="Y9" s="411">
        <v>2</v>
      </c>
      <c r="AA9" s="15" t="s">
        <v>248</v>
      </c>
      <c r="AB9" s="14" t="str">
        <f>IF(AND(AC9=AD9,OR(AC9&lt;&gt;"-",AD9&lt;&gt;"-")=TRUE)=TRUE,AC9&amp;" Wege / Kunde",IF(AND(AC9&lt;&gt;AD9,AC9&lt;&gt;"-",AD9&lt;&gt;"-")=TRUE,AC9&amp;" - "&amp;AD9&amp;" Wege / Kunde","-"))</f>
        <v>2 Wege / Kunde</v>
      </c>
      <c r="AC9" s="411">
        <v>2</v>
      </c>
      <c r="AD9" s="411">
        <v>2</v>
      </c>
      <c r="AF9" s="15" t="s">
        <v>248</v>
      </c>
      <c r="AG9" s="14" t="str">
        <f>IF(AND(AH9=AI9,OR(AH9&lt;&gt;"-",AI9&lt;&gt;"-")=TRUE)=TRUE,AH9&amp;" Wege / Kunde",IF(AND(AH9&lt;&gt;AI9,AH9&lt;&gt;"-",AI9&lt;&gt;"-")=TRUE,AH9&amp;" - "&amp;AI9&amp;" Wege / Kunde","-"))</f>
        <v>2 Wege / Kunde</v>
      </c>
      <c r="AH9" s="411">
        <v>2</v>
      </c>
      <c r="AI9" s="411">
        <v>2</v>
      </c>
      <c r="AK9" s="15" t="s">
        <v>248</v>
      </c>
      <c r="AL9" s="14" t="str">
        <f>IF(AND(AM9=AN9,OR(AM9&lt;&gt;"-",AN9&lt;&gt;"-")=TRUE)=TRUE,AM9&amp;" Wege / Beschäftigter",IF(AND(AM9&lt;&gt;AN9,AM9&lt;&gt;"-",AN9&lt;&gt;"-")=TRUE,AM9&amp;" - "&amp;AN9&amp;" Wege / Beschäftigter","-"))</f>
        <v>0,5 Wege / Beschäftigter</v>
      </c>
      <c r="AM9" s="411">
        <v>0.5</v>
      </c>
      <c r="AN9" s="411">
        <v>0.5</v>
      </c>
      <c r="AP9" s="15" t="s">
        <v>248</v>
      </c>
      <c r="AQ9" s="14" t="str">
        <f>IF(AND(AR9=AS9,OR(AR9&lt;&gt;"-",AS9&lt;&gt;"-")=TRUE)=TRUE,AR9&amp;" Wege / Kunde",IF(AND(AR9&lt;&gt;AS9,AR9&lt;&gt;"-",AS9&lt;&gt;"-")=TRUE,AR9&amp;" - "&amp;AS9&amp;" Wege / Kunde","-"))</f>
        <v>2 Wege / Kunde</v>
      </c>
      <c r="AR9" s="411">
        <v>2</v>
      </c>
      <c r="AS9" s="411">
        <v>2</v>
      </c>
      <c r="AU9" s="15" t="s">
        <v>248</v>
      </c>
      <c r="AV9" s="14" t="str">
        <f>IF(AND(AW9=AX9,OR(AW9&lt;&gt;"-",AX9&lt;&gt;"-")=TRUE)=TRUE,AW9&amp;" Wege / Beschäftigter",IF(AND(AW9&lt;&gt;AX9,AW9&lt;&gt;"-",AX9&lt;&gt;"-")=TRUE,AW9&amp;" - "&amp;AX9&amp;" Wege / Beschäftigter","-"))</f>
        <v>0,5 Wege / Beschäftigter</v>
      </c>
      <c r="AW9" s="411">
        <v>0.5</v>
      </c>
      <c r="AX9" s="411">
        <v>0.5</v>
      </c>
      <c r="AZ9" s="15" t="s">
        <v>248</v>
      </c>
      <c r="BA9" s="14" t="str">
        <f>IF(AND(BB9=BC9,OR(BB9&lt;&gt;"-",BC9&lt;&gt;"-")=TRUE)=TRUE,BB9&amp;" Wege / Beschäftigter",IF(AND(BB9&lt;&gt;BC9,BB9&lt;&gt;"-",BC9&lt;&gt;"-")=TRUE,BB9&amp;" - "&amp;BC9&amp;" Wege / Beschäftigter","-"))</f>
        <v>0,4 - 0,5 Wege / Beschäftigter</v>
      </c>
      <c r="BB9" s="411">
        <v>0.4</v>
      </c>
      <c r="BC9" s="411">
        <v>0.5</v>
      </c>
      <c r="BE9" s="15" t="s">
        <v>248</v>
      </c>
      <c r="BF9" s="14" t="str">
        <f>IF(AND(BG9=BH9,OR(BG9&lt;&gt;"-",BH9&lt;&gt;"-")=TRUE)=TRUE,BG9&amp;" Wege / Beschäftigter",IF(AND(BG9&lt;&gt;BH9,BG9&lt;&gt;"-",BH9&lt;&gt;"-")=TRUE,BG9&amp;" - "&amp;BH9&amp;" Wege / Beschäftigter","-"))</f>
        <v>0,2 - 0,4 Wege / Beschäftigter</v>
      </c>
      <c r="BG9" s="411">
        <v>0.2</v>
      </c>
      <c r="BH9" s="411">
        <v>0.4</v>
      </c>
      <c r="BJ9" s="15" t="s">
        <v>248</v>
      </c>
      <c r="BK9" s="14" t="str">
        <f>IF(AND(BL9=BM9,OR(BL9&lt;&gt;"-",BM9&lt;&gt;"-")=TRUE)=TRUE,BL9&amp;" Wege / Beschäftigter",IF(AND(BL9&lt;&gt;BM9,BL9&lt;&gt;"-",BM9&lt;&gt;"-")=TRUE,BL9&amp;" - "&amp;BM9&amp;" Wege / Beschäftigter","-"))</f>
        <v>0,1 Wege / Beschäftigter</v>
      </c>
      <c r="BL9" s="411">
        <v>0.1</v>
      </c>
      <c r="BM9" s="411">
        <v>0.1</v>
      </c>
      <c r="BO9" s="15" t="s">
        <v>248</v>
      </c>
      <c r="BP9" s="14" t="str">
        <f>IF(AND(BQ9=BR9,OR(BQ9&lt;&gt;"-",BR9&lt;&gt;"-")=TRUE)=TRUE,BQ9&amp;" Wege / Beschäftigter",IF(AND(BQ9&lt;&gt;BR9,BQ9&lt;&gt;"-",BR9&lt;&gt;"-")=TRUE,BQ9&amp;" - "&amp;BR9&amp;" Wege / Beschäftigter","-"))</f>
        <v>0,5 - 1 Wege / Beschäftigter</v>
      </c>
      <c r="BQ9" s="411">
        <v>0.5</v>
      </c>
      <c r="BR9" s="411">
        <v>1</v>
      </c>
      <c r="BT9" s="15" t="s">
        <v>248</v>
      </c>
      <c r="BU9" s="14" t="str">
        <f>IF(AND(BV9=BW9,OR(BV9&lt;&gt;"-",BW9&lt;&gt;"-")=TRUE)=TRUE,BV9&amp;" Wege / Kunde",IF(AND(BV9&lt;&gt;BW9,BV9&lt;&gt;"-",BW9&lt;&gt;"-")=TRUE,BV9&amp;" - "&amp;BW9&amp;" Wege / Kunde","-"))</f>
        <v>2 - 4 Wege / Kunde</v>
      </c>
      <c r="BV9" s="411">
        <v>2</v>
      </c>
      <c r="BW9" s="411">
        <v>4</v>
      </c>
      <c r="BY9" s="15" t="s">
        <v>248</v>
      </c>
      <c r="BZ9" s="14" t="str">
        <f>IF(AND(CA9=CB9,OR(CA9&lt;&gt;"-",CB9&lt;&gt;"-")=TRUE)=TRUE,CA9&amp;" Wege / Kunde",IF(AND(CA9&lt;&gt;CB9,CA9&lt;&gt;"-",CB9&lt;&gt;"-")=TRUE,CA9&amp;" - "&amp;CB9&amp;" Wege / Kunde","-"))</f>
        <v>2 - 4 Wege / Kunde</v>
      </c>
      <c r="CA9" s="411">
        <v>2</v>
      </c>
      <c r="CB9" s="411">
        <v>4</v>
      </c>
      <c r="CD9" s="15" t="s">
        <v>248</v>
      </c>
      <c r="CE9" s="14" t="str">
        <f>IF(AND(CF9=CG9,OR(CF9&lt;&gt;"-",CG9&lt;&gt;"-")=TRUE)=TRUE,CF9&amp;" Wege / Beschäftigter",IF(AND(CF9&lt;&gt;CG9,CF9&lt;&gt;"-",CG9&lt;&gt;"-")=TRUE,CF9&amp;" - "&amp;CG9&amp;" Wege / Beschäftigter","-"))</f>
        <v>150 Wege / Beschäftigter</v>
      </c>
      <c r="CF9" s="411">
        <v>150</v>
      </c>
      <c r="CG9" s="411">
        <v>150</v>
      </c>
      <c r="CI9" s="15" t="s">
        <v>248</v>
      </c>
      <c r="CJ9" s="14" t="str">
        <f>IF(AND(CK9=CL9,OR(CK9&lt;&gt;"-",CL9&lt;&gt;"-")=TRUE)=TRUE,CK9&amp;" Wege / Beschäftigter",IF(AND(CK9&lt;&gt;CL9,CK9&lt;&gt;"-",CL9&lt;&gt;"-")=TRUE,CK9&amp;" - "&amp;CL9&amp;" Wege / Beschäftigter","-"))</f>
        <v>30 - 60 Wege / Beschäftigter</v>
      </c>
      <c r="CK9" s="411">
        <v>30</v>
      </c>
      <c r="CL9" s="411">
        <v>60</v>
      </c>
      <c r="CN9" s="15" t="s">
        <v>248</v>
      </c>
      <c r="CO9" s="14" t="str">
        <f>IF(AND(CP9=CQ9,OR(CP9&lt;&gt;"-",CQ9&lt;&gt;"-")=TRUE)=TRUE,CP9&amp;" Wege / Beschäftigter",IF(AND(CP9&lt;&gt;CQ9,CP9&lt;&gt;"-",CQ9&lt;&gt;"-")=TRUE,CP9&amp;" - "&amp;CQ9&amp;" Wege / Beschäftigter","-"))</f>
        <v>3 - 15 Wege / Beschäftigter</v>
      </c>
      <c r="CP9" s="411">
        <v>3</v>
      </c>
      <c r="CQ9" s="411">
        <v>15</v>
      </c>
      <c r="CS9" s="15" t="s">
        <v>248</v>
      </c>
      <c r="CT9" s="14" t="str">
        <f>IF(AND(CU9=CV9,OR(CU9&lt;&gt;"-",CV9&lt;&gt;"-")=TRUE)=TRUE,CU9&amp;" Wege / Kunde",IF(AND(CU9&lt;&gt;CV9,CU9&lt;&gt;"-",CV9&lt;&gt;"-")=TRUE,CU9&amp;" - "&amp;CV9&amp;" Wege / Kunde","-"))</f>
        <v>2 Wege / Kunde</v>
      </c>
      <c r="CU9" s="411">
        <v>2</v>
      </c>
      <c r="CV9" s="411">
        <v>2</v>
      </c>
      <c r="CX9" s="15" t="s">
        <v>249</v>
      </c>
      <c r="CY9" s="14" t="str">
        <f>IF(AND(CZ9=DA9,OR(CZ9&lt;&gt;"-",DA9&lt;&gt;"-")=TRUE)=TRUE,CZ9&amp;" Wege / Besucher",IF(AND(CZ9&lt;&gt;DA9,CZ9&lt;&gt;"-",DA9&lt;&gt;"-")=TRUE,CZ9&amp;" - "&amp;DA9&amp;" Wege / Besucher","-"))</f>
        <v>2 Wege / Besucher</v>
      </c>
      <c r="CZ9" s="411">
        <v>2</v>
      </c>
      <c r="DA9" s="411">
        <v>2</v>
      </c>
      <c r="DC9" s="15" t="s">
        <v>249</v>
      </c>
      <c r="DD9" s="14" t="str">
        <f>IF(AND(DE9=DF9,OR(DE9&lt;&gt;"-",DF9&lt;&gt;"-")=TRUE)=TRUE,DE9&amp;" Wege / Besucher",IF(AND(DE9&lt;&gt;DF9,DE9&lt;&gt;"-",DF9&lt;&gt;"-")=TRUE,DE9&amp;" - "&amp;DF9&amp;" Wege / Besucher","-"))</f>
        <v>2 Wege / Besucher</v>
      </c>
      <c r="DE9" s="411">
        <v>2</v>
      </c>
      <c r="DF9" s="411">
        <v>2</v>
      </c>
    </row>
    <row r="10" spans="1:110" s="18" customFormat="1" ht="18" customHeight="1">
      <c r="A10" s="798"/>
      <c r="B10" s="15" t="s">
        <v>250</v>
      </c>
      <c r="C10" s="14" t="str">
        <f>IF(AND(D10=E10,OR(D10&lt;&gt;"-",E10&lt;&gt;"-")=TRUE)=TRUE,D10&amp;" MIV-Nutzer / Beschäftigter",IF(AND(D10&lt;&gt;E10,D10&lt;&gt;"-",E10&lt;&gt;"-")=TRUE,D10&amp;" - "&amp;E10&amp;" MIV-Nutzer / Beschäftigter","-"))</f>
        <v>0,3 - 0,9 MIV-Nutzer / Beschäftigter</v>
      </c>
      <c r="D10" s="411">
        <v>0.3</v>
      </c>
      <c r="E10" s="411">
        <v>0.9</v>
      </c>
      <c r="G10" s="15" t="s">
        <v>250</v>
      </c>
      <c r="H10" s="14" t="str">
        <f>IF(AND(I10=J10,OR(I10&lt;&gt;"-",J10&lt;&gt;"-")=TRUE)=TRUE,I10&amp;" MIV-Nutzer / Beschäftigter",IF(AND(I10&lt;&gt;J10,I10&lt;&gt;"-",J10&lt;&gt;"-")=TRUE,I10&amp;" - "&amp;J10&amp;" MIV-Nutzer / Beschäftigter","-"))</f>
        <v>0,3 - 0,9 MIV-Nutzer / Beschäftigter</v>
      </c>
      <c r="I10" s="411">
        <v>0.3</v>
      </c>
      <c r="J10" s="411">
        <v>0.9</v>
      </c>
      <c r="L10" s="15" t="s">
        <v>250</v>
      </c>
      <c r="M10" s="14" t="str">
        <f>IF(AND(N10=O10,OR(N10&lt;&gt;"-",O10&lt;&gt;"-")=TRUE)=TRUE,N10&amp;" MIV-Nutzer / Beschäftigter",IF(AND(N10&lt;&gt;O10,N10&lt;&gt;"-",O10&lt;&gt;"-")=TRUE,N10&amp;" - "&amp;O10&amp;" MIV-Nutzer / Beschäftigter","-"))</f>
        <v>0,3 - 0,9 MIV-Nutzer / Beschäftigter</v>
      </c>
      <c r="N10" s="411">
        <v>0.3</v>
      </c>
      <c r="O10" s="411">
        <v>0.9</v>
      </c>
      <c r="Q10" s="15" t="s">
        <v>250</v>
      </c>
      <c r="R10" s="14" t="str">
        <f>IF(AND(S10=T10,OR(S10&lt;&gt;"-",T10&lt;&gt;"-")=TRUE)=TRUE,S10&amp;" MIV-Nutzer / Beschäftigter",IF(AND(S10&lt;&gt;T10,S10&lt;&gt;"-",T10&lt;&gt;"-")=TRUE,S10&amp;" - "&amp;T10&amp;" MIV-Nutzer / Beschäftigter","-"))</f>
        <v>0,3 - 0,9 MIV-Nutzer / Beschäftigter</v>
      </c>
      <c r="S10" s="411">
        <v>0.3</v>
      </c>
      <c r="T10" s="411">
        <v>0.9</v>
      </c>
      <c r="V10" s="15" t="s">
        <v>250</v>
      </c>
      <c r="W10" s="14" t="str">
        <f>IF(AND(X10=Y10,OR(X10&lt;&gt;"-",Y10&lt;&gt;"-")=TRUE)=TRUE,X10&amp;" MIV-Nutzer / Beschäftigter",IF(AND(X10&lt;&gt;Y10,X10&lt;&gt;"-",Y10&lt;&gt;"-")=TRUE,X10&amp;" - "&amp;Y10&amp;" MIV-Nutzer / Beschäftigter","-"))</f>
        <v>0,3 - 0,9 MIV-Nutzer / Beschäftigter</v>
      </c>
      <c r="X10" s="411">
        <v>0.3</v>
      </c>
      <c r="Y10" s="411">
        <v>0.9</v>
      </c>
      <c r="AA10" s="15" t="s">
        <v>250</v>
      </c>
      <c r="AB10" s="14" t="str">
        <f>IF(AND(AC10=AD10,OR(AC10&lt;&gt;"-",AD10&lt;&gt;"-")=TRUE)=TRUE,AC10&amp;" MIV-Nutzer / Beschäftigter",IF(AND(AC10&lt;&gt;AD10,AC10&lt;&gt;"-",AD10&lt;&gt;"-")=TRUE,AC10&amp;" - "&amp;AD10&amp;" MIV-Nutzer / Beschäftigter","-"))</f>
        <v>0,3 - 0,9 MIV-Nutzer / Beschäftigter</v>
      </c>
      <c r="AC10" s="411">
        <v>0.3</v>
      </c>
      <c r="AD10" s="411">
        <v>0.9</v>
      </c>
      <c r="AF10" s="15" t="s">
        <v>250</v>
      </c>
      <c r="AG10" s="14" t="str">
        <f>IF(AND(AH10=AI10,OR(AH10&lt;&gt;"-",AI10&lt;&gt;"-")=TRUE)=TRUE,AH10&amp;" MIV-Nutzer / Beschäftigter",IF(AND(AH10&lt;&gt;AI10,AH10&lt;&gt;"-",AI10&lt;&gt;"-")=TRUE,AH10&amp;" - "&amp;AI10&amp;" MIV-Nutzer / Beschäftigter","-"))</f>
        <v>0,3 - 0,9 MIV-Nutzer / Beschäftigter</v>
      </c>
      <c r="AH10" s="411">
        <v>0.3</v>
      </c>
      <c r="AI10" s="411">
        <v>0.9</v>
      </c>
      <c r="AK10" s="15" t="s">
        <v>250</v>
      </c>
      <c r="AL10" s="14" t="str">
        <f>IF(AND(AM10=AN10,OR(AM10&lt;&gt;"-",AN10&lt;&gt;"-")=TRUE)=TRUE,AM10&amp;" MIV-Nutzer / Beschäftigter",IF(AND(AM10&lt;&gt;AN10,AM10&lt;&gt;"-",AN10&lt;&gt;"-")=TRUE,AM10&amp;" - "&amp;AN10&amp;" MIV-Nutzer / Beschäftigter","-"))</f>
        <v>0,3 - 0,9 MIV-Nutzer / Beschäftigter</v>
      </c>
      <c r="AM10" s="411">
        <v>0.3</v>
      </c>
      <c r="AN10" s="411">
        <v>0.9</v>
      </c>
      <c r="AP10" s="15" t="s">
        <v>250</v>
      </c>
      <c r="AQ10" s="14" t="str">
        <f>IF(AND(AR10=AS10,OR(AR10&lt;&gt;"-",AS10&lt;&gt;"-")=TRUE)=TRUE,AR10&amp;" MIV-Nutzer / Beschäftigter",IF(AND(AR10&lt;&gt;AS10,AR10&lt;&gt;"-",AS10&lt;&gt;"-")=TRUE,AR10&amp;" - "&amp;AS10&amp;" MIV-Nutzer / Beschäftigter","-"))</f>
        <v>0,3 - 0,9 MIV-Nutzer / Beschäftigter</v>
      </c>
      <c r="AR10" s="411">
        <v>0.3</v>
      </c>
      <c r="AS10" s="411">
        <v>0.9</v>
      </c>
      <c r="AU10" s="15" t="s">
        <v>250</v>
      </c>
      <c r="AV10" s="14" t="str">
        <f>IF(AND(AW10=AX10,OR(AW10&lt;&gt;"-",AX10&lt;&gt;"-")=TRUE)=TRUE,AW10&amp;" MIV-Nutzer / Beschäftigter",IF(AND(AW10&lt;&gt;AX10,AW10&lt;&gt;"-",AX10&lt;&gt;"-")=TRUE,AW10&amp;" - "&amp;AX10&amp;" MIV-Nutzer / Beschäftigter","-"))</f>
        <v>0,3 - 0,9 MIV-Nutzer / Beschäftigter</v>
      </c>
      <c r="AW10" s="411">
        <v>0.3</v>
      </c>
      <c r="AX10" s="411">
        <v>0.9</v>
      </c>
      <c r="AZ10" s="15" t="s">
        <v>250</v>
      </c>
      <c r="BA10" s="14" t="str">
        <f>IF(AND(BB10=BC10,OR(BB10&lt;&gt;"-",BC10&lt;&gt;"-")=TRUE)=TRUE,BB10&amp;" MIV-Nutzer / Beschäftigter",IF(AND(BB10&lt;&gt;BC10,BB10&lt;&gt;"-",BC10&lt;&gt;"-")=TRUE,BB10&amp;" - "&amp;BC10&amp;" MIV-Nutzer / Beschäftigter","-"))</f>
        <v>0,3 - 0,9 MIV-Nutzer / Beschäftigter</v>
      </c>
      <c r="BB10" s="411">
        <v>0.3</v>
      </c>
      <c r="BC10" s="411">
        <v>0.9</v>
      </c>
      <c r="BE10" s="15" t="s">
        <v>250</v>
      </c>
      <c r="BF10" s="14" t="str">
        <f>IF(AND(BG10=BH10,OR(BG10&lt;&gt;"-",BH10&lt;&gt;"-")=TRUE)=TRUE,BG10&amp;" MIV-Nutzer / Beschäftigter",IF(AND(BG10&lt;&gt;BH10,BG10&lt;&gt;"-",BH10&lt;&gt;"-")=TRUE,BG10&amp;" - "&amp;BH10&amp;" MIV-Nutzer / Beschäftigter","-"))</f>
        <v>0,3 - 0,9 MIV-Nutzer / Beschäftigter</v>
      </c>
      <c r="BG10" s="411">
        <v>0.3</v>
      </c>
      <c r="BH10" s="411">
        <v>0.9</v>
      </c>
      <c r="BJ10" s="15" t="s">
        <v>250</v>
      </c>
      <c r="BK10" s="14" t="str">
        <f>IF(AND(BL10=BM10,OR(BL10&lt;&gt;"-",BM10&lt;&gt;"-")=TRUE)=TRUE,BL10&amp;" MIV-Nutzer / Beschäftigter",IF(AND(BL10&lt;&gt;BM10,BL10&lt;&gt;"-",BM10&lt;&gt;"-")=TRUE,BL10&amp;" - "&amp;BM10&amp;" MIV-Nutzer / Beschäftigter","-"))</f>
        <v>0,3 - 0,9 MIV-Nutzer / Beschäftigter</v>
      </c>
      <c r="BL10" s="411">
        <v>0.3</v>
      </c>
      <c r="BM10" s="411">
        <v>0.9</v>
      </c>
      <c r="BO10" s="15" t="s">
        <v>250</v>
      </c>
      <c r="BP10" s="14" t="str">
        <f>IF(AND(BQ10=BR10,OR(BQ10&lt;&gt;"-",BR10&lt;&gt;"-")=TRUE)=TRUE,BQ10&amp;" MIV-Nutzer / Beschäftigter",IF(AND(BQ10&lt;&gt;BR10,BQ10&lt;&gt;"-",BR10&lt;&gt;"-")=TRUE,BQ10&amp;" - "&amp;BR10&amp;" MIV-Nutzer / Beschäftigter","-"))</f>
        <v>0,3 - 0,9 MIV-Nutzer / Beschäftigter</v>
      </c>
      <c r="BQ10" s="411">
        <v>0.3</v>
      </c>
      <c r="BR10" s="411">
        <v>0.9</v>
      </c>
      <c r="BT10" s="15" t="s">
        <v>250</v>
      </c>
      <c r="BU10" s="14" t="str">
        <f>IF(AND(BV10=BW10,OR(BV10&lt;&gt;"-",BW10&lt;&gt;"-")=TRUE)=TRUE,BV10&amp;" MIV-Nutzer / Beschäftigter",IF(AND(BV10&lt;&gt;BW10,BV10&lt;&gt;"-",BW10&lt;&gt;"-")=TRUE,BV10&amp;" - "&amp;BW10&amp;" MIV-Nutzer / Beschäftigter","-"))</f>
        <v>0,3 - 0,9 MIV-Nutzer / Beschäftigter</v>
      </c>
      <c r="BV10" s="411">
        <v>0.3</v>
      </c>
      <c r="BW10" s="411">
        <v>0.9</v>
      </c>
      <c r="BY10" s="15" t="s">
        <v>250</v>
      </c>
      <c r="BZ10" s="14" t="str">
        <f>IF(AND(CA10=CB10,OR(CA10&lt;&gt;"-",CB10&lt;&gt;"-")=TRUE)=TRUE,CA10&amp;" MIV-Nutzer / Beschäftigter",IF(AND(CA10&lt;&gt;CB10,CA10&lt;&gt;"-",CB10&lt;&gt;"-")=TRUE,CA10&amp;" - "&amp;CB10&amp;" MIV-Nutzer / Beschäftigter","-"))</f>
        <v>0,3 - 0,9 MIV-Nutzer / Beschäftigter</v>
      </c>
      <c r="CA10" s="411">
        <v>0.3</v>
      </c>
      <c r="CB10" s="411">
        <v>0.9</v>
      </c>
      <c r="CD10" s="15" t="s">
        <v>250</v>
      </c>
      <c r="CE10" s="14" t="str">
        <f>IF(AND(CF10=CG10,OR(CF10&lt;&gt;"-",CG10&lt;&gt;"-")=TRUE)=TRUE,CF10&amp;" MIV-Nutzer / Beschäftigter",IF(AND(CF10&lt;&gt;CG10,CF10&lt;&gt;"-",CG10&lt;&gt;"-")=TRUE,CF10&amp;" - "&amp;CG10&amp;" MIV-Nutzer / Beschäftigter","-"))</f>
        <v>0,3 - 0,9 MIV-Nutzer / Beschäftigter</v>
      </c>
      <c r="CF10" s="411">
        <v>0.3</v>
      </c>
      <c r="CG10" s="411">
        <v>0.9</v>
      </c>
      <c r="CI10" s="15" t="s">
        <v>250</v>
      </c>
      <c r="CJ10" s="14" t="str">
        <f>IF(AND(CK10=CL10,OR(CK10&lt;&gt;"-",CL10&lt;&gt;"-")=TRUE)=TRUE,CK10&amp;" MIV-Nutzer / Beschäftigter",IF(AND(CK10&lt;&gt;CL10,CK10&lt;&gt;"-",CL10&lt;&gt;"-")=TRUE,CK10&amp;" - "&amp;CL10&amp;" MIV-Nutzer / Beschäftigter","-"))</f>
        <v>0,3 - 0,9 MIV-Nutzer / Beschäftigter</v>
      </c>
      <c r="CK10" s="411">
        <v>0.3</v>
      </c>
      <c r="CL10" s="411">
        <v>0.9</v>
      </c>
      <c r="CN10" s="15" t="s">
        <v>250</v>
      </c>
      <c r="CO10" s="14" t="str">
        <f>IF(AND(CP10=CQ10,OR(CP10&lt;&gt;"-",CQ10&lt;&gt;"-")=TRUE)=TRUE,CP10&amp;" MIV-Nutzer / Beschäftigter",IF(AND(CP10&lt;&gt;CQ10,CP10&lt;&gt;"-",CQ10&lt;&gt;"-")=TRUE,CP10&amp;" - "&amp;CQ10&amp;" MIV-Nutzer / Beschäftigter","-"))</f>
        <v>0,3 - 0,9 MIV-Nutzer / Beschäftigter</v>
      </c>
      <c r="CP10" s="411">
        <v>0.3</v>
      </c>
      <c r="CQ10" s="411">
        <v>0.9</v>
      </c>
      <c r="CS10" s="15" t="s">
        <v>250</v>
      </c>
      <c r="CT10" s="14" t="str">
        <f>IF(AND(CU10=CV10,OR(CU10&lt;&gt;"-",CV10&lt;&gt;"-")=TRUE)=TRUE,CU10&amp;" MIV-Nutzer / Beschäftigter",IF(AND(CU10&lt;&gt;CV10,CU10&lt;&gt;"-",CV10&lt;&gt;"-")=TRUE,CU10&amp;" - "&amp;CV10&amp;" MIV-Nutzer / Beschäftigter","-"))</f>
        <v>0,3 - 0,9 MIV-Nutzer / Beschäftigter</v>
      </c>
      <c r="CU10" s="411">
        <v>0.3</v>
      </c>
      <c r="CV10" s="411">
        <v>0.9</v>
      </c>
      <c r="CX10" s="15" t="s">
        <v>251</v>
      </c>
      <c r="CY10" s="14" t="str">
        <f>IF(AND(CZ10=DA10,OR(CZ10&lt;&gt;"-",DA10&lt;&gt;"-")=TRUE)=TRUE,CZ10&amp;" MIV-Nutzer / Bewohner",IF(AND(CZ10&lt;&gt;DA10,CZ10&lt;&gt;"-",DA10&lt;&gt;"-")=TRUE,CZ10&amp;" - "&amp;DA10&amp;" MIV-Nutzer / Bewohner","-"))</f>
        <v>0,3 - 0,7 MIV-Nutzer / Bewohner</v>
      </c>
      <c r="CZ10" s="411">
        <v>0.3</v>
      </c>
      <c r="DA10" s="411">
        <v>0.7</v>
      </c>
      <c r="DC10" s="15" t="s">
        <v>251</v>
      </c>
      <c r="DD10" s="14" t="str">
        <f>IF(AND(DE10=DF10,OR(DE10&lt;&gt;"-",DF10&lt;&gt;"-")=TRUE)=TRUE,DE10&amp;" MIV-Nutzer / Bewohner",IF(AND(DE10&lt;&gt;DF10,DE10&lt;&gt;"-",DF10&lt;&gt;"-")=TRUE,DE10&amp;" - "&amp;DF10&amp;" MIV-Nutzer / Bewohner","-"))</f>
        <v>0,3 - 0,7 MIV-Nutzer / Bewohner</v>
      </c>
      <c r="DE10" s="411">
        <v>0.3</v>
      </c>
      <c r="DF10" s="411">
        <v>0.7</v>
      </c>
    </row>
    <row r="11" spans="1:110" s="18" customFormat="1" ht="18" customHeight="1">
      <c r="A11" s="798"/>
      <c r="B11" s="15" t="s">
        <v>252</v>
      </c>
      <c r="C11" s="14" t="str">
        <f>IF(AND(D11=E11,OR(D11&lt;&gt;"-",E11&lt;&gt;"-")=TRUE)=TRUE,D11&amp;" MIV-Nutzer / Kunde",IF(AND(D11&lt;&gt;E11,D11&lt;&gt;"-",E11&lt;&gt;"-")=TRUE,D11&amp;" - "&amp;E11&amp;" MIV-Nutzer / Kunde","-"))</f>
        <v>0,3 - 0,9 MIV-Nutzer / Kunde</v>
      </c>
      <c r="D11" s="411">
        <v>0.3</v>
      </c>
      <c r="E11" s="411">
        <v>0.9</v>
      </c>
      <c r="G11" s="15" t="s">
        <v>252</v>
      </c>
      <c r="H11" s="14" t="str">
        <f>IF(AND(I11=J11,OR(I11&lt;&gt;"-",J11&lt;&gt;"-")=TRUE)=TRUE,I11&amp;" MIV-Nutzer / Kunde",IF(AND(I11&lt;&gt;J11,I11&lt;&gt;"-",J11&lt;&gt;"-")=TRUE,I11&amp;" - "&amp;J11&amp;" MIV-Nutzer / Kunde","-"))</f>
        <v>0,4 - 0,9 MIV-Nutzer / Kunde</v>
      </c>
      <c r="I11" s="411">
        <v>0.4</v>
      </c>
      <c r="J11" s="411">
        <v>0.9</v>
      </c>
      <c r="L11" s="15" t="s">
        <v>252</v>
      </c>
      <c r="M11" s="14" t="str">
        <f>IF(AND(N11=O11,OR(N11&lt;&gt;"-",O11&lt;&gt;"-")=TRUE)=TRUE,N11&amp;" MIV-Nutzer / Kunde",IF(AND(N11&lt;&gt;O11,N11&lt;&gt;"-",O11&lt;&gt;"-")=TRUE,N11&amp;" - "&amp;O11&amp;" MIV-Nutzer / Kunde","-"))</f>
        <v>0,1 - 0,6 MIV-Nutzer / Kunde</v>
      </c>
      <c r="N11" s="411">
        <v>0.1</v>
      </c>
      <c r="O11" s="411">
        <v>0.6</v>
      </c>
      <c r="Q11" s="15" t="s">
        <v>252</v>
      </c>
      <c r="R11" s="14" t="str">
        <f>IF(AND(S11=T11,OR(S11&lt;&gt;"-",T11&lt;&gt;"-")=TRUE)=TRUE,S11&amp;" MIV-Nutzer / Kunde",IF(AND(S11&lt;&gt;T11,S11&lt;&gt;"-",T11&lt;&gt;"-")=TRUE,S11&amp;" - "&amp;T11&amp;" MIV-Nutzer / Kunde","-"))</f>
        <v>0,5 - 0,95 MIV-Nutzer / Kunde</v>
      </c>
      <c r="S11" s="411">
        <v>0.5</v>
      </c>
      <c r="T11" s="411">
        <v>0.95</v>
      </c>
      <c r="V11" s="15" t="s">
        <v>252</v>
      </c>
      <c r="W11" s="14" t="str">
        <f>IF(AND(X11=Y11,OR(X11&lt;&gt;"-",Y11&lt;&gt;"-")=TRUE)=TRUE,X11&amp;" MIV-Nutzer / Kunde",IF(AND(X11&lt;&gt;Y11,X11&lt;&gt;"-",Y11&lt;&gt;"-")=TRUE,X11&amp;" - "&amp;Y11&amp;" MIV-Nutzer / Kunde","-"))</f>
        <v>0,5 - 0,9 MIV-Nutzer / Kunde</v>
      </c>
      <c r="X11" s="411">
        <v>0.5</v>
      </c>
      <c r="Y11" s="411">
        <v>0.9</v>
      </c>
      <c r="AA11" s="15" t="s">
        <v>252</v>
      </c>
      <c r="AB11" s="14" t="str">
        <f>IF(AND(AC11=AD11,OR(AC11&lt;&gt;"-",AD11&lt;&gt;"-")=TRUE)=TRUE,AC11&amp;" MIV-Nutzer / Kunde",IF(AND(AC11&lt;&gt;AD11,AC11&lt;&gt;"-",AD11&lt;&gt;"-")=TRUE,AC11&amp;" - "&amp;AD11&amp;" MIV-Nutzer / Kunde","-"))</f>
        <v>0,5 - 0,9 MIV-Nutzer / Kunde</v>
      </c>
      <c r="AC11" s="411">
        <v>0.5</v>
      </c>
      <c r="AD11" s="411">
        <v>0.9</v>
      </c>
      <c r="AF11" s="15" t="s">
        <v>252</v>
      </c>
      <c r="AG11" s="14" t="str">
        <f>IF(AND(AH11=AI11,OR(AH11&lt;&gt;"-",AI11&lt;&gt;"-")=TRUE)=TRUE,AH11&amp;" MIV-Nutzer / Kunde",IF(AND(AH11&lt;&gt;AI11,AH11&lt;&gt;"-",AI11&lt;&gt;"-")=TRUE,AH11&amp;" - "&amp;AI11&amp;" MIV-Nutzer / Kunde","-"))</f>
        <v>0,8 - 1 MIV-Nutzer / Kunde</v>
      </c>
      <c r="AH11" s="411">
        <v>0.8</v>
      </c>
      <c r="AI11" s="411">
        <v>1</v>
      </c>
      <c r="AK11" s="15" t="s">
        <v>252</v>
      </c>
      <c r="AL11" s="14" t="str">
        <f>IF(AND(AM11=AN11,OR(AM11&lt;&gt;"-",AN11&lt;&gt;"-")=TRUE)=TRUE,AM11&amp;" MIV-Nutzer / Kunde",IF(AND(AM11&lt;&gt;AN11,AM11&lt;&gt;"-",AN11&lt;&gt;"-")=TRUE,AM11&amp;" - "&amp;AN11&amp;" MIV-Nutzer / Kunde","-"))</f>
        <v>0,3 - 0,9 MIV-Nutzer / Kunde</v>
      </c>
      <c r="AM11" s="411">
        <v>0.3</v>
      </c>
      <c r="AN11" s="411">
        <v>0.9</v>
      </c>
      <c r="AP11" s="15" t="s">
        <v>252</v>
      </c>
      <c r="AQ11" s="14" t="str">
        <f>IF(AND(AR11=AS11,OR(AR11&lt;&gt;"-",AS11&lt;&gt;"-")=TRUE)=TRUE,AR11&amp;" MIV-Nutzer / Kunde",IF(AND(AR11&lt;&gt;AS11,AR11&lt;&gt;"-",AS11&lt;&gt;"-")=TRUE,AR11&amp;" - "&amp;AS11&amp;" MIV-Nutzer / Kunde","-"))</f>
        <v>0,65 - 1 MIV-Nutzer / Kunde</v>
      </c>
      <c r="AR11" s="411">
        <v>0.65</v>
      </c>
      <c r="AS11" s="411">
        <v>1</v>
      </c>
      <c r="AU11" s="15" t="s">
        <v>252</v>
      </c>
      <c r="AV11" s="14" t="str">
        <f>IF(AND(AW11=AX11,OR(AW11&lt;&gt;"-",AX11&lt;&gt;"-")=TRUE)=TRUE,AW11&amp;" MIV-Nutzer / Kunde",IF(AND(AW11&lt;&gt;AX11,AW11&lt;&gt;"-",AX11&lt;&gt;"-")=TRUE,AW11&amp;" - "&amp;AX11&amp;" MIV-Nutzer / Kunde","-"))</f>
        <v>0,3 - 0,9 MIV-Nutzer / Kunde</v>
      </c>
      <c r="AW11" s="411">
        <v>0.3</v>
      </c>
      <c r="AX11" s="411">
        <v>0.9</v>
      </c>
      <c r="AZ11" s="15" t="s">
        <v>252</v>
      </c>
      <c r="BA11" s="14" t="str">
        <f>IF(AND(BB11=BC11,OR(BB11&lt;&gt;"-",BC11&lt;&gt;"-")=TRUE)=TRUE,BB11&amp;" MIV-Nutzer / Kunde",IF(AND(BB11&lt;&gt;BC11,BB11&lt;&gt;"-",BC11&lt;&gt;"-")=TRUE,BB11&amp;" - "&amp;BC11&amp;" MIV-Nutzer / Kunde","-"))</f>
        <v>0,3 - 0,9 MIV-Nutzer / Kunde</v>
      </c>
      <c r="BB11" s="411">
        <v>0.3</v>
      </c>
      <c r="BC11" s="411">
        <v>0.9</v>
      </c>
      <c r="BE11" s="15" t="s">
        <v>252</v>
      </c>
      <c r="BF11" s="14" t="str">
        <f>IF(AND(BG11=BH11,OR(BG11&lt;&gt;"-",BH11&lt;&gt;"-")=TRUE)=TRUE,BG11&amp;" MIV-Nutzer / Kunde",IF(AND(BG11&lt;&gt;BH11,BG11&lt;&gt;"-",BH11&lt;&gt;"-")=TRUE,BG11&amp;" - "&amp;BH11&amp;" MIV-Nutzer / Kunde","-"))</f>
        <v>0,3 - 0,9 MIV-Nutzer / Kunde</v>
      </c>
      <c r="BG11" s="411">
        <v>0.3</v>
      </c>
      <c r="BH11" s="411">
        <v>0.9</v>
      </c>
      <c r="BJ11" s="15" t="s">
        <v>252</v>
      </c>
      <c r="BK11" s="14" t="str">
        <f>IF(AND(BL11=BM11,OR(BL11&lt;&gt;"-",BM11&lt;&gt;"-")=TRUE)=TRUE,BL11&amp;" MIV-Nutzer / Kunde",IF(AND(BL11&lt;&gt;BM11,BL11&lt;&gt;"-",BM11&lt;&gt;"-")=TRUE,BL11&amp;" - "&amp;BM11&amp;" MIV-Nutzer / Kunde","-"))</f>
        <v>0,3 - 0,9 MIV-Nutzer / Kunde</v>
      </c>
      <c r="BL11" s="411">
        <v>0.3</v>
      </c>
      <c r="BM11" s="411">
        <v>0.9</v>
      </c>
      <c r="BO11" s="15" t="s">
        <v>252</v>
      </c>
      <c r="BP11" s="14" t="str">
        <f>IF(AND(BQ11=BR11,OR(BQ11&lt;&gt;"-",BR11&lt;&gt;"-")=TRUE)=TRUE,BQ11&amp;" MIV-Nutzer / Kunde",IF(AND(BQ11&lt;&gt;BR11,BQ11&lt;&gt;"-",BR11&lt;&gt;"-")=TRUE,BQ11&amp;" - "&amp;BR11&amp;" MIV-Nutzer / Kunde","-"))</f>
        <v>0,3 - 0,9 MIV-Nutzer / Kunde</v>
      </c>
      <c r="BQ11" s="411">
        <v>0.3</v>
      </c>
      <c r="BR11" s="411">
        <v>0.9</v>
      </c>
      <c r="BT11" s="15" t="s">
        <v>252</v>
      </c>
      <c r="BU11" s="14" t="str">
        <f>IF(AND(BV11=BW11,OR(BV11&lt;&gt;"-",BW11&lt;&gt;"-")=TRUE)=TRUE,BV11&amp;" MIV-Nutzer / Kunde",IF(AND(BV11&lt;&gt;BW11,BV11&lt;&gt;"-",BW11&lt;&gt;"-")=TRUE,BV11&amp;" - "&amp;BW11&amp;" MIV-Nutzer / Kunde","-"))</f>
        <v>0,6 - 1 MIV-Nutzer / Kunde</v>
      </c>
      <c r="BV11" s="411">
        <v>0.6</v>
      </c>
      <c r="BW11" s="411">
        <v>1</v>
      </c>
      <c r="BY11" s="15" t="s">
        <v>252</v>
      </c>
      <c r="BZ11" s="14" t="str">
        <f>IF(AND(CA11=CB11,OR(CA11&lt;&gt;"-",CB11&lt;&gt;"-")=TRUE)=TRUE,CA11&amp;" MIV-Nutzer / Kunde",IF(AND(CA11&lt;&gt;CB11,CA11&lt;&gt;"-",CB11&lt;&gt;"-")=TRUE,CA11&amp;" - "&amp;CB11&amp;" MIV-Nutzer / Kunde","-"))</f>
        <v>0,75 - 0,95 MIV-Nutzer / Kunde</v>
      </c>
      <c r="CA11" s="411">
        <v>0.75</v>
      </c>
      <c r="CB11" s="411">
        <v>0.95</v>
      </c>
      <c r="CD11" s="15" t="s">
        <v>252</v>
      </c>
      <c r="CE11" s="14" t="str">
        <f>IF(AND(CF11=CG11,OR(CF11&lt;&gt;"-",CG11&lt;&gt;"-")=TRUE)=TRUE,CF11&amp;" MIV-Nutzer / Kunde",IF(AND(CF11&lt;&gt;CG11,CF11&lt;&gt;"-",CG11&lt;&gt;"-")=TRUE,CF11&amp;" - "&amp;CG11&amp;" MIV-Nutzer / Kunde","-"))</f>
        <v>0,75 - 0,95 MIV-Nutzer / Kunde</v>
      </c>
      <c r="CF11" s="411">
        <v>0.75</v>
      </c>
      <c r="CG11" s="411">
        <v>0.95</v>
      </c>
      <c r="CI11" s="15" t="s">
        <v>252</v>
      </c>
      <c r="CJ11" s="14" t="str">
        <f>IF(AND(CK11=CL11,OR(CK11&lt;&gt;"-",CL11&lt;&gt;"-")=TRUE)=TRUE,CK11&amp;" MIV-Nutzer / Kunde",IF(AND(CK11&lt;&gt;CL11,CK11&lt;&gt;"-",CL11&lt;&gt;"-")=TRUE,CK11&amp;" - "&amp;CL11&amp;" MIV-Nutzer / Kunde","-"))</f>
        <v>0,75 - 0,95 MIV-Nutzer / Kunde</v>
      </c>
      <c r="CK11" s="411">
        <v>0.75</v>
      </c>
      <c r="CL11" s="411">
        <v>0.95</v>
      </c>
      <c r="CN11" s="15" t="s">
        <v>252</v>
      </c>
      <c r="CO11" s="14" t="str">
        <f>IF(AND(CP11=CQ11,OR(CP11&lt;&gt;"-",CQ11&lt;&gt;"-")=TRUE)=TRUE,CP11&amp;" MIV-Nutzer / Kunde",IF(AND(CP11&lt;&gt;CQ11,CP11&lt;&gt;"-",CQ11&lt;&gt;"-")=TRUE,CP11&amp;" - "&amp;CQ11&amp;" MIV-Nutzer / Kunde","-"))</f>
        <v>0,75 - 0,95 MIV-Nutzer / Kunde</v>
      </c>
      <c r="CP11" s="411">
        <v>0.75</v>
      </c>
      <c r="CQ11" s="411">
        <v>0.95</v>
      </c>
      <c r="CS11" s="15" t="s">
        <v>252</v>
      </c>
      <c r="CT11" s="14" t="str">
        <f>IF(AND(CU11=CV11,OR(CU11&lt;&gt;"-",CV11&lt;&gt;"-")=TRUE)=TRUE,CU11&amp;" MIV-Nutzer / Kunde",IF(AND(CU11&lt;&gt;CV11,CU11&lt;&gt;"-",CV11&lt;&gt;"-")=TRUE,CU11&amp;" - "&amp;CV11&amp;" MIV-Nutzer / Kunde","-"))</f>
        <v>1 MIV-Nutzer / Kunde</v>
      </c>
      <c r="CU11" s="411">
        <v>1</v>
      </c>
      <c r="CV11" s="411">
        <v>1</v>
      </c>
      <c r="CX11" s="15" t="s">
        <v>253</v>
      </c>
      <c r="CY11" s="14" t="str">
        <f>IF(AND(CZ11=DA11,OR(CZ11&lt;&gt;"-",DA11&lt;&gt;"-")=TRUE)=TRUE,CZ11&amp;" MIV-Nutzer / Besucher",IF(AND(CZ11&lt;&gt;DA11,CZ11&lt;&gt;"-",DA11&lt;&gt;"-")=TRUE,CZ11&amp;" - "&amp;DA11&amp;" MIV-Nutzer / Besucher","-"))</f>
        <v>0,3 - 0,9 MIV-Nutzer / Besucher</v>
      </c>
      <c r="CZ11" s="411">
        <v>0.3</v>
      </c>
      <c r="DA11" s="411">
        <v>0.9</v>
      </c>
      <c r="DC11" s="15" t="s">
        <v>253</v>
      </c>
      <c r="DD11" s="14" t="str">
        <f>IF(AND(DE11=DF11,OR(DE11&lt;&gt;"-",DF11&lt;&gt;"-")=TRUE)=TRUE,DE11&amp;" MIV-Nutzer / Besucher",IF(AND(DE11&lt;&gt;DF11,DE11&lt;&gt;"-",DF11&lt;&gt;"-")=TRUE,DE11&amp;" - "&amp;DF11&amp;" MIV-Nutzer / Besucher","-"))</f>
        <v>0,3 - 0,9 MIV-Nutzer / Besucher</v>
      </c>
      <c r="DE11" s="411">
        <v>0.3</v>
      </c>
      <c r="DF11" s="411">
        <v>0.9</v>
      </c>
    </row>
    <row r="12" spans="1:110" s="18" customFormat="1" ht="18" customHeight="1">
      <c r="A12" s="798"/>
      <c r="B12" s="15" t="s">
        <v>254</v>
      </c>
      <c r="C12" s="14" t="str">
        <f>IF(AND(D12=E12,OR(D12&lt;&gt;"-",E12&lt;&gt;"-")=TRUE)=TRUE,D12&amp;" Beschäftigte(r) / Kfz",IF(AND(D12&lt;&gt;E12,D12&lt;&gt;"-",E12&lt;&gt;"-")=TRUE,D12&amp;" - "&amp;E12&amp;" Beschäftigte(r) / Kfz","-"))</f>
        <v>1,1 Beschäftigte(r) / Kfz</v>
      </c>
      <c r="D12" s="411">
        <v>1.1000000000000001</v>
      </c>
      <c r="E12" s="411">
        <v>1.1000000000000001</v>
      </c>
      <c r="G12" s="15" t="s">
        <v>254</v>
      </c>
      <c r="H12" s="14" t="str">
        <f>IF(AND(I12=J12,OR(I12&lt;&gt;"-",J12&lt;&gt;"-")=TRUE)=TRUE,I12&amp;" Beschäftigte(r) / Kfz",IF(AND(I12&lt;&gt;J12,I12&lt;&gt;"-",J12&lt;&gt;"-")=TRUE,I12&amp;" - "&amp;J12&amp;" Beschäftigte(r) / Kfz","-"))</f>
        <v>1,1 Beschäftigte(r) / Kfz</v>
      </c>
      <c r="I12" s="411">
        <v>1.1000000000000001</v>
      </c>
      <c r="J12" s="411">
        <v>1.1000000000000001</v>
      </c>
      <c r="L12" s="15" t="s">
        <v>254</v>
      </c>
      <c r="M12" s="14" t="str">
        <f>IF(AND(N12=O12,OR(N12&lt;&gt;"-",O12&lt;&gt;"-")=TRUE)=TRUE,N12&amp;" Beschäftigte(r) / Kfz",IF(AND(N12&lt;&gt;O12,N12&lt;&gt;"-",O12&lt;&gt;"-")=TRUE,N12&amp;" - "&amp;O12&amp;" Beschäftigte(r) / Kfz","-"))</f>
        <v>1,1 Beschäftigte(r) / Kfz</v>
      </c>
      <c r="N12" s="411">
        <v>1.1000000000000001</v>
      </c>
      <c r="O12" s="411">
        <v>1.1000000000000001</v>
      </c>
      <c r="Q12" s="15" t="s">
        <v>254</v>
      </c>
      <c r="R12" s="14" t="str">
        <f>IF(AND(S12=T12,OR(S12&lt;&gt;"-",T12&lt;&gt;"-")=TRUE)=TRUE,S12&amp;" Beschäftigte(r) / Kfz",IF(AND(S12&lt;&gt;T12,S12&lt;&gt;"-",T12&lt;&gt;"-")=TRUE,S12&amp;" - "&amp;T12&amp;" Beschäftigte(r) / Kfz","-"))</f>
        <v>1,1 Beschäftigte(r) / Kfz</v>
      </c>
      <c r="S12" s="411">
        <v>1.1000000000000001</v>
      </c>
      <c r="T12" s="411">
        <v>1.1000000000000001</v>
      </c>
      <c r="V12" s="15" t="s">
        <v>254</v>
      </c>
      <c r="W12" s="14" t="str">
        <f>IF(AND(X12=Y12,OR(X12&lt;&gt;"-",Y12&lt;&gt;"-")=TRUE)=TRUE,X12&amp;" Beschäftigte(r) / Kfz",IF(AND(X12&lt;&gt;Y12,X12&lt;&gt;"-",Y12&lt;&gt;"-")=TRUE,X12&amp;" - "&amp;Y12&amp;" Beschäftigte(r) / Kfz","-"))</f>
        <v>1,1 Beschäftigte(r) / Kfz</v>
      </c>
      <c r="X12" s="411">
        <v>1.1000000000000001</v>
      </c>
      <c r="Y12" s="411">
        <v>1.1000000000000001</v>
      </c>
      <c r="AA12" s="15" t="s">
        <v>254</v>
      </c>
      <c r="AB12" s="14" t="str">
        <f>IF(AND(AC12=AD12,OR(AC12&lt;&gt;"-",AD12&lt;&gt;"-")=TRUE)=TRUE,AC12&amp;" Beschäftigte(r) / Kfz",IF(AND(AC12&lt;&gt;AD12,AC12&lt;&gt;"-",AD12&lt;&gt;"-")=TRUE,AC12&amp;" - "&amp;AD12&amp;" Beschäftigte(r) / Kfz","-"))</f>
        <v>1,1 Beschäftigte(r) / Kfz</v>
      </c>
      <c r="AC12" s="411">
        <v>1.1000000000000001</v>
      </c>
      <c r="AD12" s="411">
        <v>1.1000000000000001</v>
      </c>
      <c r="AF12" s="15" t="s">
        <v>254</v>
      </c>
      <c r="AG12" s="14" t="str">
        <f>IF(AND(AH12=AI12,OR(AH12&lt;&gt;"-",AI12&lt;&gt;"-")=TRUE)=TRUE,AH12&amp;" Beschäftigte(r) / Kfz",IF(AND(AH12&lt;&gt;AI12,AH12&lt;&gt;"-",AI12&lt;&gt;"-")=TRUE,AH12&amp;" - "&amp;AI12&amp;" Beschäftigte(r) / Kfz","-"))</f>
        <v>1,1 Beschäftigte(r) / Kfz</v>
      </c>
      <c r="AH12" s="411">
        <v>1.1000000000000001</v>
      </c>
      <c r="AI12" s="411">
        <v>1.1000000000000001</v>
      </c>
      <c r="AK12" s="15" t="s">
        <v>254</v>
      </c>
      <c r="AL12" s="14" t="str">
        <f>IF(AND(AM12=AN12,OR(AM12&lt;&gt;"-",AN12&lt;&gt;"-")=TRUE)=TRUE,AM12&amp;" Beschäftigte(r) / Kfz",IF(AND(AM12&lt;&gt;AN12,AM12&lt;&gt;"-",AN12&lt;&gt;"-")=TRUE,AM12&amp;" - "&amp;AN12&amp;" Beschäftigte(r) / Kfz","-"))</f>
        <v>1,1 Beschäftigte(r) / Kfz</v>
      </c>
      <c r="AM12" s="411">
        <v>1.1000000000000001</v>
      </c>
      <c r="AN12" s="411">
        <v>1.1000000000000001</v>
      </c>
      <c r="AP12" s="15" t="s">
        <v>254</v>
      </c>
      <c r="AQ12" s="14" t="str">
        <f>IF(AND(AR12=AS12,OR(AR12&lt;&gt;"-",AS12&lt;&gt;"-")=TRUE)=TRUE,AR12&amp;" Beschäftigte(r) / Kfz",IF(AND(AR12&lt;&gt;AS12,AR12&lt;&gt;"-",AS12&lt;&gt;"-")=TRUE,AR12&amp;" - "&amp;AS12&amp;" Beschäftigte(r) / Kfz","-"))</f>
        <v>1,1 Beschäftigte(r) / Kfz</v>
      </c>
      <c r="AR12" s="411">
        <v>1.1000000000000001</v>
      </c>
      <c r="AS12" s="411">
        <v>1.1000000000000001</v>
      </c>
      <c r="AU12" s="15" t="s">
        <v>254</v>
      </c>
      <c r="AV12" s="14" t="str">
        <f>IF(AND(AW12=AX12,OR(AW12&lt;&gt;"-",AX12&lt;&gt;"-")=TRUE)=TRUE,AW12&amp;" Beschäftigte(r) / Kfz",IF(AND(AW12&lt;&gt;AX12,AW12&lt;&gt;"-",AX12&lt;&gt;"-")=TRUE,AW12&amp;" - "&amp;AX12&amp;" Beschäftigte(r) / Kfz","-"))</f>
        <v>1,1 Beschäftigte(r) / Kfz</v>
      </c>
      <c r="AW12" s="411">
        <v>1.1000000000000001</v>
      </c>
      <c r="AX12" s="411">
        <v>1.1000000000000001</v>
      </c>
      <c r="AZ12" s="15" t="s">
        <v>254</v>
      </c>
      <c r="BA12" s="14" t="str">
        <f>IF(AND(BB12=BC12,OR(BB12&lt;&gt;"-",BC12&lt;&gt;"-")=TRUE)=TRUE,BB12&amp;" Beschäftigte(r) / Kfz",IF(AND(BB12&lt;&gt;BC12,BB12&lt;&gt;"-",BC12&lt;&gt;"-")=TRUE,BB12&amp;" - "&amp;BC12&amp;" Beschäftigte(r) / Kfz","-"))</f>
        <v>1,1 Beschäftigte(r) / Kfz</v>
      </c>
      <c r="BB12" s="411">
        <v>1.1000000000000001</v>
      </c>
      <c r="BC12" s="411">
        <v>1.1000000000000001</v>
      </c>
      <c r="BE12" s="15" t="s">
        <v>254</v>
      </c>
      <c r="BF12" s="14" t="str">
        <f>IF(AND(BG12=BH12,OR(BG12&lt;&gt;"-",BH12&lt;&gt;"-")=TRUE)=TRUE,BG12&amp;" Beschäftigte(r) / Kfz",IF(AND(BG12&lt;&gt;BH12,BG12&lt;&gt;"-",BH12&lt;&gt;"-")=TRUE,BG12&amp;" - "&amp;BH12&amp;" Beschäftigte(r) / Kfz","-"))</f>
        <v>1,1 Beschäftigte(r) / Kfz</v>
      </c>
      <c r="BG12" s="411">
        <v>1.1000000000000001</v>
      </c>
      <c r="BH12" s="411">
        <v>1.1000000000000001</v>
      </c>
      <c r="BJ12" s="15" t="s">
        <v>254</v>
      </c>
      <c r="BK12" s="14" t="str">
        <f>IF(AND(BL12=BM12,OR(BL12&lt;&gt;"-",BM12&lt;&gt;"-")=TRUE)=TRUE,BL12&amp;" Beschäftigte(r) / Kfz",IF(AND(BL12&lt;&gt;BM12,BL12&lt;&gt;"-",BM12&lt;&gt;"-")=TRUE,BL12&amp;" - "&amp;BM12&amp;" Beschäftigte(r) / Kfz","-"))</f>
        <v>1,1 Beschäftigte(r) / Kfz</v>
      </c>
      <c r="BL12" s="411">
        <v>1.1000000000000001</v>
      </c>
      <c r="BM12" s="411">
        <v>1.1000000000000001</v>
      </c>
      <c r="BO12" s="15" t="s">
        <v>254</v>
      </c>
      <c r="BP12" s="14" t="str">
        <f>IF(AND(BQ12=BR12,OR(BQ12&lt;&gt;"-",BR12&lt;&gt;"-")=TRUE)=TRUE,BQ12&amp;" Beschäftigte(r) / Kfz",IF(AND(BQ12&lt;&gt;BR12,BQ12&lt;&gt;"-",BR12&lt;&gt;"-")=TRUE,BQ12&amp;" - "&amp;BR12&amp;" Beschäftigte(r) / Kfz","-"))</f>
        <v>1,1 Beschäftigte(r) / Kfz</v>
      </c>
      <c r="BQ12" s="411">
        <v>1.1000000000000001</v>
      </c>
      <c r="BR12" s="411">
        <v>1.1000000000000001</v>
      </c>
      <c r="BT12" s="15" t="s">
        <v>254</v>
      </c>
      <c r="BU12" s="14" t="str">
        <f>IF(AND(BV12=BW12,OR(BV12&lt;&gt;"-",BW12&lt;&gt;"-")=TRUE)=TRUE,BV12&amp;" Beschäftigte(r) / Kfz",IF(AND(BV12&lt;&gt;BW12,BV12&lt;&gt;"-",BW12&lt;&gt;"-")=TRUE,BV12&amp;" - "&amp;BW12&amp;" Beschäftigte(r) / Kfz","-"))</f>
        <v>1,1 Beschäftigte(r) / Kfz</v>
      </c>
      <c r="BV12" s="411">
        <v>1.1000000000000001</v>
      </c>
      <c r="BW12" s="411">
        <v>1.1000000000000001</v>
      </c>
      <c r="BY12" s="15" t="s">
        <v>254</v>
      </c>
      <c r="BZ12" s="14" t="str">
        <f>IF(AND(CA12=CB12,OR(CA12&lt;&gt;"-",CB12&lt;&gt;"-")=TRUE)=TRUE,CA12&amp;" Beschäftigte(r) / Kfz",IF(AND(CA12&lt;&gt;CB12,CA12&lt;&gt;"-",CB12&lt;&gt;"-")=TRUE,CA12&amp;" - "&amp;CB12&amp;" Beschäftigte(r) / Kfz","-"))</f>
        <v>1,1 Beschäftigte(r) / Kfz</v>
      </c>
      <c r="CA12" s="411">
        <v>1.1000000000000001</v>
      </c>
      <c r="CB12" s="411">
        <v>1.1000000000000001</v>
      </c>
      <c r="CD12" s="15" t="s">
        <v>254</v>
      </c>
      <c r="CE12" s="14" t="str">
        <f>IF(AND(CF12=CG12,OR(CF12&lt;&gt;"-",CG12&lt;&gt;"-")=TRUE)=TRUE,CF12&amp;" Beschäftigte(r) / Kfz",IF(AND(CF12&lt;&gt;CG12,CF12&lt;&gt;"-",CG12&lt;&gt;"-")=TRUE,CF12&amp;" - "&amp;CG12&amp;" Beschäftigte(r) / Kfz","-"))</f>
        <v>1,1 Beschäftigte(r) / Kfz</v>
      </c>
      <c r="CF12" s="411">
        <v>1.1000000000000001</v>
      </c>
      <c r="CG12" s="411">
        <v>1.1000000000000001</v>
      </c>
      <c r="CI12" s="15" t="s">
        <v>254</v>
      </c>
      <c r="CJ12" s="14" t="str">
        <f>IF(AND(CK12=CL12,OR(CK12&lt;&gt;"-",CL12&lt;&gt;"-")=TRUE)=TRUE,CK12&amp;" Beschäftigte(r) / Kfz",IF(AND(CK12&lt;&gt;CL12,CK12&lt;&gt;"-",CL12&lt;&gt;"-")=TRUE,CK12&amp;" - "&amp;CL12&amp;" Beschäftigte(r) / Kfz","-"))</f>
        <v>1,1 Beschäftigte(r) / Kfz</v>
      </c>
      <c r="CK12" s="411">
        <v>1.1000000000000001</v>
      </c>
      <c r="CL12" s="411">
        <v>1.1000000000000001</v>
      </c>
      <c r="CN12" s="15" t="s">
        <v>254</v>
      </c>
      <c r="CO12" s="14" t="str">
        <f>IF(AND(CP12=CQ12,OR(CP12&lt;&gt;"-",CQ12&lt;&gt;"-")=TRUE)=TRUE,CP12&amp;" Beschäftigte(r) / Kfz",IF(AND(CP12&lt;&gt;CQ12,CP12&lt;&gt;"-",CQ12&lt;&gt;"-")=TRUE,CP12&amp;" - "&amp;CQ12&amp;" Beschäftigte(r) / Kfz","-"))</f>
        <v>1,1 Beschäftigte(r) / Kfz</v>
      </c>
      <c r="CP12" s="411">
        <v>1.1000000000000001</v>
      </c>
      <c r="CQ12" s="411">
        <v>1.1000000000000001</v>
      </c>
      <c r="CS12" s="15" t="s">
        <v>254</v>
      </c>
      <c r="CT12" s="14" t="str">
        <f>IF(AND(CU12=CV12,OR(CU12&lt;&gt;"-",CV12&lt;&gt;"-")=TRUE)=TRUE,CU12&amp;" Beschäftigte(r) / Kfz",IF(AND(CU12&lt;&gt;CV12,CU12&lt;&gt;"-",CV12&lt;&gt;"-")=TRUE,CU12&amp;" - "&amp;CV12&amp;" Beschäftigte(r) / Kfz","-"))</f>
        <v>1,1 Beschäftigte(r) / Kfz</v>
      </c>
      <c r="CU12" s="411">
        <v>1.1000000000000001</v>
      </c>
      <c r="CV12" s="411">
        <v>1.1000000000000001</v>
      </c>
      <c r="CX12" s="15" t="s">
        <v>255</v>
      </c>
      <c r="CY12" s="14" t="str">
        <f>IF(AND(CZ12=DA12,OR(CZ12&lt;&gt;"-",DA12&lt;&gt;"-")=TRUE)=TRUE,CZ12&amp;" Bewohner / Kfz",IF(AND(CZ12&lt;&gt;DA12,CZ12&lt;&gt;"-",DA12&lt;&gt;"-")=TRUE,CZ12&amp;" - "&amp;DA12&amp;" Bewohner / Kfz","-"))</f>
        <v>1,2 Bewohner / Kfz</v>
      </c>
      <c r="CZ12" s="411">
        <v>1.2</v>
      </c>
      <c r="DA12" s="411">
        <v>1.2</v>
      </c>
      <c r="DC12" s="15" t="s">
        <v>255</v>
      </c>
      <c r="DD12" s="14" t="str">
        <f>IF(AND(DE12=DF12,OR(DE12&lt;&gt;"-",DF12&lt;&gt;"-")=TRUE)=TRUE,DE12&amp;" Bewohner / Kfz",IF(AND(DE12&lt;&gt;DF12,DE12&lt;&gt;"-",DF12&lt;&gt;"-")=TRUE,DE12&amp;" - "&amp;DF12&amp;" Bewohner / Kfz","-"))</f>
        <v>1,2 Bewohner / Kfz</v>
      </c>
      <c r="DE12" s="411">
        <v>1.2</v>
      </c>
      <c r="DF12" s="411">
        <v>1.2</v>
      </c>
    </row>
    <row r="13" spans="1:110" s="18" customFormat="1" ht="18" customHeight="1">
      <c r="A13" s="798"/>
      <c r="B13" s="15" t="s">
        <v>256</v>
      </c>
      <c r="C13" s="14" t="str">
        <f>IF(AND(D13=E13,OR(D13&lt;&gt;"-",E13&lt;&gt;"-")=TRUE)=TRUE,D13&amp;" Kunde(n) / Kfz",IF(AND(D13&lt;&gt;E13,D13&lt;&gt;"-",E13&lt;&gt;"-")=TRUE,D13&amp;" - "&amp;E13&amp;" Kunde(n) / Kfz","-"))</f>
        <v>1,1 Kunde(n) / Kfz</v>
      </c>
      <c r="D13" s="411">
        <v>1.1000000000000001</v>
      </c>
      <c r="E13" s="411">
        <v>1.1000000000000001</v>
      </c>
      <c r="G13" s="15" t="s">
        <v>256</v>
      </c>
      <c r="H13" s="14" t="str">
        <f>IF(AND(I13=J13,OR(I13&lt;&gt;"-",J13&lt;&gt;"-")=TRUE)=TRUE,I13&amp;" Kunde(n) / Kfz",IF(AND(I13&lt;&gt;J13,I13&lt;&gt;"-",J13&lt;&gt;"-")=TRUE,I13&amp;" - "&amp;J13&amp;" Kunde(n) / Kfz","-"))</f>
        <v>1,2 - 1,4 Kunde(n) / Kfz</v>
      </c>
      <c r="I13" s="411">
        <v>1.2</v>
      </c>
      <c r="J13" s="411">
        <v>1.4</v>
      </c>
      <c r="L13" s="15" t="s">
        <v>256</v>
      </c>
      <c r="M13" s="14" t="str">
        <f>IF(AND(N13=O13,OR(N13&lt;&gt;"-",O13&lt;&gt;"-")=TRUE)=TRUE,N13&amp;" Kunde(n) / Kfz",IF(AND(N13&lt;&gt;O13,N13&lt;&gt;"-",O13&lt;&gt;"-")=TRUE,N13&amp;" - "&amp;O13&amp;" Kunde(n) / Kfz","-"))</f>
        <v>1,2 Kunde(n) / Kfz</v>
      </c>
      <c r="N13" s="411">
        <v>1.2</v>
      </c>
      <c r="O13" s="411">
        <v>1.2</v>
      </c>
      <c r="Q13" s="15" t="s">
        <v>256</v>
      </c>
      <c r="R13" s="14" t="str">
        <f>IF(AND(S13=T13,OR(S13&lt;&gt;"-",T13&lt;&gt;"-")=TRUE)=TRUE,S13&amp;" Kunde(n) / Kfz",IF(AND(S13&lt;&gt;T13,S13&lt;&gt;"-",T13&lt;&gt;"-")=TRUE,S13&amp;" - "&amp;T13&amp;" Kunde(n) / Kfz","-"))</f>
        <v>1,4 - 1,6 Kunde(n) / Kfz</v>
      </c>
      <c r="S13" s="411">
        <v>1.4</v>
      </c>
      <c r="T13" s="411">
        <v>1.6</v>
      </c>
      <c r="V13" s="15" t="s">
        <v>256</v>
      </c>
      <c r="W13" s="14" t="str">
        <f>IF(AND(X13=Y13,OR(X13&lt;&gt;"-",Y13&lt;&gt;"-")=TRUE)=TRUE,X13&amp;" Kunde(n) / Kfz",IF(AND(X13&lt;&gt;Y13,X13&lt;&gt;"-",Y13&lt;&gt;"-")=TRUE,X13&amp;" - "&amp;Y13&amp;" Kunde(n) / Kfz","-"))</f>
        <v>1,2 - 1,6 Kunde(n) / Kfz</v>
      </c>
      <c r="X13" s="411">
        <v>1.2</v>
      </c>
      <c r="Y13" s="411">
        <v>1.6</v>
      </c>
      <c r="AA13" s="15" t="s">
        <v>256</v>
      </c>
      <c r="AB13" s="14" t="str">
        <f>IF(AND(AC13=AD13,OR(AC13&lt;&gt;"-",AD13&lt;&gt;"-")=TRUE)=TRUE,AC13&amp;" Kunde(n) / Kfz",IF(AND(AC13&lt;&gt;AD13,AC13&lt;&gt;"-",AD13&lt;&gt;"-")=TRUE,AC13&amp;" - "&amp;AD13&amp;" Kunde(n) / Kfz","-"))</f>
        <v>1,2 - 1,6 Kunde(n) / Kfz</v>
      </c>
      <c r="AC13" s="411">
        <v>1.2</v>
      </c>
      <c r="AD13" s="411">
        <v>1.6</v>
      </c>
      <c r="AF13" s="15" t="s">
        <v>256</v>
      </c>
      <c r="AG13" s="14" t="str">
        <f>IF(AND(AH13=AI13,OR(AH13&lt;&gt;"-",AI13&lt;&gt;"-")=TRUE)=TRUE,AH13&amp;" Kunde(n) / Kfz",IF(AND(AH13&lt;&gt;AI13,AH13&lt;&gt;"-",AI13&lt;&gt;"-")=TRUE,AH13&amp;" - "&amp;AI13&amp;" Kunde(n) / Kfz","-"))</f>
        <v>1,8 - 2,3 Kunde(n) / Kfz</v>
      </c>
      <c r="AH13" s="411">
        <v>1.8</v>
      </c>
      <c r="AI13" s="411">
        <v>2.2999999999999998</v>
      </c>
      <c r="AK13" s="15" t="s">
        <v>256</v>
      </c>
      <c r="AL13" s="14" t="str">
        <f>IF(AND(AM13=AN13,OR(AM13&lt;&gt;"-",AN13&lt;&gt;"-")=TRUE)=TRUE,AM13&amp;" Kunde(n) / Kfz",IF(AND(AM13&lt;&gt;AN13,AM13&lt;&gt;"-",AN13&lt;&gt;"-")=TRUE,AM13&amp;" - "&amp;AN13&amp;" Kunde(n) / Kfz","-"))</f>
        <v>1,1 Kunde(n) / Kfz</v>
      </c>
      <c r="AM13" s="411">
        <v>1.1000000000000001</v>
      </c>
      <c r="AN13" s="411">
        <v>1.1000000000000001</v>
      </c>
      <c r="AP13" s="15" t="s">
        <v>256</v>
      </c>
      <c r="AQ13" s="14" t="str">
        <f>IF(AND(AR13=AS13,OR(AR13&lt;&gt;"-",AS13&lt;&gt;"-")=TRUE)=TRUE,AR13&amp;" Kunde(n) / Kfz",IF(AND(AR13&lt;&gt;AS13,AR13&lt;&gt;"-",AS13&lt;&gt;"-")=TRUE,AR13&amp;" - "&amp;AS13&amp;" Kunde(n) / Kfz","-"))</f>
        <v>1,2 - 1,5 Kunde(n) / Kfz</v>
      </c>
      <c r="AR13" s="411">
        <v>1.2</v>
      </c>
      <c r="AS13" s="411">
        <v>1.5</v>
      </c>
      <c r="AU13" s="15" t="s">
        <v>256</v>
      </c>
      <c r="AV13" s="14" t="str">
        <f>IF(AND(AW13=AX13,OR(AW13&lt;&gt;"-",AX13&lt;&gt;"-")=TRUE)=TRUE,AW13&amp;" Kunde(n) / Kfz",IF(AND(AW13&lt;&gt;AX13,AW13&lt;&gt;"-",AX13&lt;&gt;"-")=TRUE,AW13&amp;" - "&amp;AX13&amp;" Kunde(n) / Kfz","-"))</f>
        <v>1,1 Kunde(n) / Kfz</v>
      </c>
      <c r="AW13" s="411">
        <v>1.1000000000000001</v>
      </c>
      <c r="AX13" s="411">
        <v>1.1000000000000001</v>
      </c>
      <c r="AZ13" s="15" t="s">
        <v>256</v>
      </c>
      <c r="BA13" s="14" t="str">
        <f>IF(AND(BB13=BC13,OR(BB13&lt;&gt;"-",BC13&lt;&gt;"-")=TRUE)=TRUE,BB13&amp;" Kunde(n) / Kfz",IF(AND(BB13&lt;&gt;BC13,BB13&lt;&gt;"-",BC13&lt;&gt;"-")=TRUE,BB13&amp;" - "&amp;BC13&amp;" Kunde(n) / Kfz","-"))</f>
        <v>1,1 Kunde(n) / Kfz</v>
      </c>
      <c r="BB13" s="411">
        <v>1.1000000000000001</v>
      </c>
      <c r="BC13" s="411">
        <v>1.1000000000000001</v>
      </c>
      <c r="BE13" s="15" t="s">
        <v>256</v>
      </c>
      <c r="BF13" s="14" t="str">
        <f>IF(AND(BG13=BH13,OR(BG13&lt;&gt;"-",BH13&lt;&gt;"-")=TRUE)=TRUE,BG13&amp;" Kunde(n) / Kfz",IF(AND(BG13&lt;&gt;BH13,BG13&lt;&gt;"-",BH13&lt;&gt;"-")=TRUE,BG13&amp;" - "&amp;BH13&amp;" Kunde(n) / Kfz","-"))</f>
        <v>1,1 Kunde(n) / Kfz</v>
      </c>
      <c r="BG13" s="411">
        <v>1.1000000000000001</v>
      </c>
      <c r="BH13" s="411">
        <v>1.1000000000000001</v>
      </c>
      <c r="BJ13" s="15" t="s">
        <v>256</v>
      </c>
      <c r="BK13" s="14" t="str">
        <f>IF(AND(BL13=BM13,OR(BL13&lt;&gt;"-",BM13&lt;&gt;"-")=TRUE)=TRUE,BL13&amp;" Kunde(n) / Kfz",IF(AND(BL13&lt;&gt;BM13,BL13&lt;&gt;"-",BM13&lt;&gt;"-")=TRUE,BL13&amp;" - "&amp;BM13&amp;" Kunde(n) / Kfz","-"))</f>
        <v>1,1 Kunde(n) / Kfz</v>
      </c>
      <c r="BL13" s="411">
        <v>1.1000000000000001</v>
      </c>
      <c r="BM13" s="411">
        <v>1.1000000000000001</v>
      </c>
      <c r="BO13" s="15" t="s">
        <v>256</v>
      </c>
      <c r="BP13" s="14" t="str">
        <f>IF(AND(BQ13=BR13,OR(BQ13&lt;&gt;"-",BR13&lt;&gt;"-")=TRUE)=TRUE,BQ13&amp;" Kunde(n) / Kfz",IF(AND(BQ13&lt;&gt;BR13,BQ13&lt;&gt;"-",BR13&lt;&gt;"-")=TRUE,BQ13&amp;" - "&amp;BR13&amp;" Kunde(n) / Kfz","-"))</f>
        <v>1,1 Kunde(n) / Kfz</v>
      </c>
      <c r="BQ13" s="411">
        <v>1.1000000000000001</v>
      </c>
      <c r="BR13" s="411">
        <v>1.1000000000000001</v>
      </c>
      <c r="BT13" s="15" t="s">
        <v>256</v>
      </c>
      <c r="BU13" s="14" t="str">
        <f>IF(AND(BV13=BW13,OR(BV13&lt;&gt;"-",BW13&lt;&gt;"-")=TRUE)=TRUE,BV13&amp;" Kunde(n) / Kfz",IF(AND(BV13&lt;&gt;BW13,BV13&lt;&gt;"-",BW13&lt;&gt;"-")=TRUE,BV13&amp;" - "&amp;BW13&amp;" Kunde(n) / Kfz","-"))</f>
        <v>1 - 1,2 Kunde(n) / Kfz</v>
      </c>
      <c r="BV13" s="411">
        <v>1</v>
      </c>
      <c r="BW13" s="411">
        <v>1.2</v>
      </c>
      <c r="BY13" s="15" t="s">
        <v>256</v>
      </c>
      <c r="BZ13" s="14" t="str">
        <f>IF(AND(CA13=CB13,OR(CA13&lt;&gt;"-",CB13&lt;&gt;"-")=TRUE)=TRUE,CA13&amp;" Kunde(n) / Kfz",IF(AND(CA13&lt;&gt;CB13,CA13&lt;&gt;"-",CB13&lt;&gt;"-")=TRUE,CA13&amp;" - "&amp;CB13&amp;" Kunde(n) / Kfz","-"))</f>
        <v>1,5 - 3,2 Kunde(n) / Kfz</v>
      </c>
      <c r="CA13" s="411">
        <v>1.5</v>
      </c>
      <c r="CB13" s="411">
        <v>3.2</v>
      </c>
      <c r="CD13" s="15" t="s">
        <v>256</v>
      </c>
      <c r="CE13" s="14" t="str">
        <f>IF(AND(CF13=CG13,OR(CF13&lt;&gt;"-",CG13&lt;&gt;"-")=TRUE)=TRUE,CF13&amp;" Kunde(n) / Kfz",IF(AND(CF13&lt;&gt;CG13,CF13&lt;&gt;"-",CG13&lt;&gt;"-")=TRUE,CF13&amp;" - "&amp;CG13&amp;" Kunde(n) / Kfz","-"))</f>
        <v>1,5 - 2 Kunde(n) / Kfz</v>
      </c>
      <c r="CF13" s="411">
        <v>1.5</v>
      </c>
      <c r="CG13" s="411">
        <v>2</v>
      </c>
      <c r="CI13" s="15" t="s">
        <v>256</v>
      </c>
      <c r="CJ13" s="14" t="str">
        <f>IF(AND(CK13=CL13,OR(CK13&lt;&gt;"-",CL13&lt;&gt;"-")=TRUE)=TRUE,CK13&amp;" Kunde(n) / Kfz",IF(AND(CK13&lt;&gt;CL13,CK13&lt;&gt;"-",CL13&lt;&gt;"-")=TRUE,CK13&amp;" - "&amp;CL13&amp;" Kunde(n) / Kfz","-"))</f>
        <v>1,5 - 2 Kunde(n) / Kfz</v>
      </c>
      <c r="CK13" s="411">
        <v>1.5</v>
      </c>
      <c r="CL13" s="411">
        <v>2</v>
      </c>
      <c r="CN13" s="15" t="s">
        <v>256</v>
      </c>
      <c r="CO13" s="14" t="str">
        <f>IF(AND(CP13=CQ13,OR(CP13&lt;&gt;"-",CQ13&lt;&gt;"-")=TRUE)=TRUE,CP13&amp;" Kunde(n) / Kfz",IF(AND(CP13&lt;&gt;CQ13,CP13&lt;&gt;"-",CQ13&lt;&gt;"-")=TRUE,CP13&amp;" - "&amp;CQ13&amp;" Kunde(n) / Kfz","-"))</f>
        <v>1,1 Kunde(n) / Kfz</v>
      </c>
      <c r="CP13" s="411">
        <v>1.1000000000000001</v>
      </c>
      <c r="CQ13" s="411">
        <v>1.1000000000000001</v>
      </c>
      <c r="CS13" s="15" t="s">
        <v>256</v>
      </c>
      <c r="CT13" s="14" t="str">
        <f>IF(AND(CU13=CV13,OR(CU13&lt;&gt;"-",CV13&lt;&gt;"-")=TRUE)=TRUE,CU13&amp;" Kunde(n) / Kfz",IF(AND(CU13&lt;&gt;CV13,CU13&lt;&gt;"-",CV13&lt;&gt;"-")=TRUE,CU13&amp;" - "&amp;CV13&amp;" Kunde(n) / Kfz","-"))</f>
        <v>1 Kunde(n) / Kfz</v>
      </c>
      <c r="CU13" s="411">
        <v>1</v>
      </c>
      <c r="CV13" s="411">
        <v>1</v>
      </c>
      <c r="CX13" s="15" t="s">
        <v>257</v>
      </c>
      <c r="CY13" s="14" t="str">
        <f>IF(AND(CZ13=DA13,OR(CZ13&lt;&gt;"-",DA13&lt;&gt;"-")=TRUE)=TRUE,CZ13&amp;" Besucher / Kfz",IF(AND(CZ13&lt;&gt;DA13,CZ13&lt;&gt;"-",DA13&lt;&gt;"-")=TRUE,CZ13&amp;" - "&amp;DA13&amp;" Besucher / Kfz","-"))</f>
        <v>1,2 Besucher / Kfz</v>
      </c>
      <c r="CZ13" s="411">
        <v>1.2</v>
      </c>
      <c r="DA13" s="411">
        <v>1.2</v>
      </c>
      <c r="DC13" s="15" t="s">
        <v>257</v>
      </c>
      <c r="DD13" s="14" t="str">
        <f>IF(AND(DE13=DF13,OR(DE13&lt;&gt;"-",DF13&lt;&gt;"-")=TRUE)=TRUE,DE13&amp;" Besucher / Kfz",IF(AND(DE13&lt;&gt;DF13,DE13&lt;&gt;"-",DF13&lt;&gt;"-")=TRUE,DE13&amp;" - "&amp;DF13&amp;" Besucher / Kfz","-"))</f>
        <v>1,2 Besucher / Kfz</v>
      </c>
      <c r="DE13" s="411">
        <v>1.2</v>
      </c>
      <c r="DF13" s="411">
        <v>1.2</v>
      </c>
    </row>
    <row r="14" spans="1:110" s="18" customFormat="1" ht="18" customHeight="1">
      <c r="A14" s="798"/>
      <c r="B14" s="414" t="s">
        <v>258</v>
      </c>
      <c r="C14" s="14" t="str">
        <f>IF(AND(D14=E14,D14&lt;&gt;"-",E14&lt;&gt;"-")=TRUE,D14&amp;" Fahrten / ",IF(AND(D14&lt;&gt;E14,D14&lt;&gt;"-",E14&lt;&gt;"-")=TRUE,D14&amp;" - "&amp;E14&amp;" Fahrten / ","-"))&amp;IF(AND(E15=1,D14&lt;&gt;"-",E14&lt;&gt;"-")=TRUE,"Beschäftigter",IF(AND(E15=0,D14&lt;&gt;"-",E14&lt;&gt;"-")=TRUE,"100 m² GF",IF(AND(E15=2,D14&lt;&gt;"-",E14&lt;&gt;"-")=TRUE,"Bewohner","")))</f>
        <v>0,1 Fahrten / Beschäftigter</v>
      </c>
      <c r="D14" s="411">
        <v>0.1</v>
      </c>
      <c r="E14" s="413">
        <v>0.1</v>
      </c>
      <c r="G14" s="414" t="s">
        <v>258</v>
      </c>
      <c r="H14" s="14" t="str">
        <f>IF(AND(I14=J14,I14&lt;&gt;"-",J14&lt;&gt;"-")=TRUE,I14&amp;" Fahrten / ",IF(AND(I14&lt;&gt;J14,I14&lt;&gt;"-",J14&lt;&gt;"-")=TRUE,I14&amp;" - "&amp;J14&amp;" Fahrten / ","-"))&amp;IF(AND(J15=1,I14&lt;&gt;"-",J14&lt;&gt;"-")=TRUE,"Beschäftigter",IF(AND(J15=0,I14&lt;&gt;"-",J14&lt;&gt;"-")=TRUE,"100 m² GF",IF(AND(J15=2,I14&lt;&gt;"-",J14&lt;&gt;"-")=TRUE,"Bewohner","")))</f>
        <v>0,1 - 0,55 Fahrten / Beschäftigter</v>
      </c>
      <c r="I14" s="411">
        <v>0.1</v>
      </c>
      <c r="J14" s="413">
        <v>0.55000000000000004</v>
      </c>
      <c r="L14" s="414" t="s">
        <v>259</v>
      </c>
      <c r="M14" s="14" t="str">
        <f>IF(AND(N14=O14,N14&lt;&gt;"-",O14&lt;&gt;"-")=TRUE,N14&amp;" Fahrten / ",IF(AND(N14&lt;&gt;O14,N14&lt;&gt;"-",O14&lt;&gt;"-")=TRUE,N14&amp;" - "&amp;O14&amp;" Fahrten / ","-"))&amp;IF(AND(O15=1,N14&lt;&gt;"-",O14&lt;&gt;"-")=TRUE,"Beschäftigter",IF(AND(O15=0,N14&lt;&gt;"-",O14&lt;&gt;"-")=TRUE,"100 m² GF",IF(AND(O15=2,N14&lt;&gt;"-",O14&lt;&gt;"-")=TRUE,"Bewohner","")))</f>
        <v>1 - 3 Fahrten / 100 m² GF</v>
      </c>
      <c r="N14" s="411">
        <v>1</v>
      </c>
      <c r="O14" s="413">
        <v>3</v>
      </c>
      <c r="Q14" s="414" t="s">
        <v>259</v>
      </c>
      <c r="R14" s="14" t="str">
        <f>IF(AND(S14=T14,S14&lt;&gt;"-",T14&lt;&gt;"-")=TRUE,S14&amp;" Fahrten / ",IF(AND(S14&lt;&gt;T14,S14&lt;&gt;"-",T14&lt;&gt;"-")=TRUE,S14&amp;" - "&amp;T14&amp;" Fahrten / ","-"))&amp;IF(AND(T15=1,S14&lt;&gt;"-",T14&lt;&gt;"-")=TRUE,"Beschäftigter",IF(AND(T15=0,S14&lt;&gt;"-",T14&lt;&gt;"-")=TRUE,"100 m² GF",IF(AND(T15=2,S14&lt;&gt;"-",T14&lt;&gt;"-")=TRUE,"Bewohner","")))</f>
        <v>0,6 Fahrten / 100 m² GF</v>
      </c>
      <c r="S14" s="411">
        <v>0.6</v>
      </c>
      <c r="T14" s="413">
        <v>0.6</v>
      </c>
      <c r="V14" s="414" t="s">
        <v>259</v>
      </c>
      <c r="W14" s="14" t="str">
        <f>IF(AND(X14=Y14,X14&lt;&gt;"-",Y14&lt;&gt;"-")=TRUE,X14&amp;" Fahrten / ",IF(AND(X14&lt;&gt;Y14,X14&lt;&gt;"-",Y14&lt;&gt;"-")=TRUE,X14&amp;" - "&amp;Y14&amp;" Fahrten / ","-"))&amp;IF(AND(Y15=1,X14&lt;&gt;"-",Y14&lt;&gt;"-")=TRUE,"Beschäftigter",IF(AND(Y15=0,X14&lt;&gt;"-",Y14&lt;&gt;"-")=TRUE,"100 m² GF",IF(AND(Y15=2,X14&lt;&gt;"-",Y14&lt;&gt;"-")=TRUE,"Bewohner","")))</f>
        <v>0,4 - 0,8 Fahrten / 100 m² GF</v>
      </c>
      <c r="X14" s="411">
        <v>0.4</v>
      </c>
      <c r="Y14" s="413">
        <v>0.8</v>
      </c>
      <c r="AA14" s="414" t="s">
        <v>259</v>
      </c>
      <c r="AB14" s="14" t="str">
        <f>IF(AND(AC14=AD14,AC14&lt;&gt;"-",AD14&lt;&gt;"-")=TRUE,AC14&amp;" Fahrten / ",IF(AND(AC14&lt;&gt;AD14,AC14&lt;&gt;"-",AD14&lt;&gt;"-")=TRUE,AC14&amp;" - "&amp;AD14&amp;" Fahrten / ","-"))&amp;IF(AND(AD15=1,AC14&lt;&gt;"-",AD14&lt;&gt;"-")=TRUE,"Beschäftigter",IF(AND(AD15=0,AC14&lt;&gt;"-",AD14&lt;&gt;"-")=TRUE,"100 m² GF",IF(AND(AD15=2,AC14&lt;&gt;"-",AD14&lt;&gt;"-")=TRUE,"Bewohner","")))</f>
        <v>0,65 Fahrten / 100 m² GF</v>
      </c>
      <c r="AC14" s="411">
        <v>0.65</v>
      </c>
      <c r="AD14" s="413">
        <v>0.65</v>
      </c>
      <c r="AF14" s="414" t="s">
        <v>259</v>
      </c>
      <c r="AG14" s="14" t="str">
        <f>IF(AND(AH14=AI14,AH14&lt;&gt;"-",AI14&lt;&gt;"-")=TRUE,AH14&amp;" Fahrten / ",IF(AND(AH14&lt;&gt;AI14,AH14&lt;&gt;"-",AI14&lt;&gt;"-")=TRUE,AH14&amp;" - "&amp;AI14&amp;" Fahrten / ","-"))&amp;IF(AND(AI15=1,AH14&lt;&gt;"-",AI14&lt;&gt;"-")=TRUE,"Beschäftigter",IF(AND(AI15=0,AH14&lt;&gt;"-",AI14&lt;&gt;"-")=TRUE,"100 m² GF",IF(AND(AI15=2,AH14&lt;&gt;"-",AI14&lt;&gt;"-")=TRUE,"Bewohner","")))</f>
        <v>0,15 Fahrten / 100 m² GF</v>
      </c>
      <c r="AH14" s="411">
        <v>0.15</v>
      </c>
      <c r="AI14" s="411">
        <v>0.15</v>
      </c>
      <c r="AK14" s="414" t="s">
        <v>258</v>
      </c>
      <c r="AL14" s="14" t="str">
        <f>IF(AND(AM14=AN14,AM14&lt;&gt;"-",AN14&lt;&gt;"-")=TRUE,AM14&amp;" Fahrten / ",IF(AND(AM14&lt;&gt;AN14,AM14&lt;&gt;"-",AN14&lt;&gt;"-")=TRUE,AM14&amp;" - "&amp;AN14&amp;" Fahrten / ","-"))&amp;IF(AND(AN15=1,AM14&lt;&gt;"-",AN14&lt;&gt;"-")=TRUE,"Beschäftigter",IF(AND(AN15=0,AM14&lt;&gt;"-",AN14&lt;&gt;"-")=TRUE,"100 m² GF",IF(AND(AN15=2,AM14&lt;&gt;"-",AN14&lt;&gt;"-")=TRUE,"Bewohner","")))</f>
        <v>0,15 Fahrten / Beschäftigter</v>
      </c>
      <c r="AM14" s="411">
        <v>0.15</v>
      </c>
      <c r="AN14" s="411">
        <v>0.15</v>
      </c>
      <c r="AP14" s="414" t="s">
        <v>259</v>
      </c>
      <c r="AQ14" s="14" t="str">
        <f>IF(AND(AR14=AS14,AR14&lt;&gt;"-",AS14&lt;&gt;"-")=TRUE,AR14&amp;" Fahrten / ",IF(AND(AR14&lt;&gt;AS14,AR14&lt;&gt;"-",AS14&lt;&gt;"-")=TRUE,AR14&amp;" - "&amp;AS14&amp;" Fahrten / ","-"))&amp;IF(AND(AS15=1,AR14&lt;&gt;"-",AS14&lt;&gt;"-")=TRUE,"Beschäftigter",IF(AND(AS15=0,AR14&lt;&gt;"-",AS14&lt;&gt;"-")=TRUE,"100 m² GF",IF(AND(AS15=2,AR14&lt;&gt;"-",AS14&lt;&gt;"-")=TRUE,"Bewohner","")))</f>
        <v>0,2 - 0,25 Fahrten / 100 m² GF</v>
      </c>
      <c r="AR14" s="411">
        <v>0.2</v>
      </c>
      <c r="AS14" s="411">
        <v>0.25</v>
      </c>
      <c r="AU14" s="414" t="s">
        <v>258</v>
      </c>
      <c r="AV14" s="14" t="str">
        <f>IF(AND(AW14=AX14,AW14&lt;&gt;"-",AX14&lt;&gt;"-")=TRUE,AW14&amp;" Fahrten / ",IF(AND(AW14&lt;&gt;AX14,AW14&lt;&gt;"-",AX14&lt;&gt;"-")=TRUE,AW14&amp;" - "&amp;AX14&amp;" Fahrten / ","-"))&amp;IF(AND(AX15=1,AW14&lt;&gt;"-",AX14&lt;&gt;"-")=TRUE,"Beschäftigter",IF(AND(AX15=0,AW14&lt;&gt;"-",AX14&lt;&gt;"-")=TRUE,"100 m² GF",IF(AND(AX15=2,AW14&lt;&gt;"-",AX14&lt;&gt;"-")=TRUE,"Bewohner","")))</f>
        <v>0,2 - 0,5 Fahrten / Beschäftigter</v>
      </c>
      <c r="AW14" s="411">
        <v>0.2</v>
      </c>
      <c r="AX14" s="411">
        <v>0.5</v>
      </c>
      <c r="AZ14" s="414" t="s">
        <v>258</v>
      </c>
      <c r="BA14" s="14" t="str">
        <f>IF(AND(BB14=BC14,BB14&lt;&gt;"-",BC14&lt;&gt;"-")=TRUE,BB14&amp;" Fahrten / ",IF(AND(BB14&lt;&gt;BC14,BB14&lt;&gt;"-",BC14&lt;&gt;"-")=TRUE,BB14&amp;" - "&amp;BC14&amp;" Fahrten / ","-"))&amp;IF(AND(BC15=1,BB14&lt;&gt;"-",BC14&lt;&gt;"-")=TRUE,"Beschäftigter",IF(AND(BC15=0,BB14&lt;&gt;"-",BC14&lt;&gt;"-")=TRUE,"100 m² GF",IF(AND(BC15=2,BB14&lt;&gt;"-",BC14&lt;&gt;"-")=TRUE,"Bewohner","")))</f>
        <v>0,02 Fahrten / Beschäftigter</v>
      </c>
      <c r="BB14" s="411">
        <v>0.02</v>
      </c>
      <c r="BC14" s="411">
        <v>0.02</v>
      </c>
      <c r="BE14" s="414" t="s">
        <v>258</v>
      </c>
      <c r="BF14" s="14" t="str">
        <f>IF(AND(BG14=BH14,BG14&lt;&gt;"-",BH14&lt;&gt;"-")=TRUE,BG14&amp;" Fahrten / ",IF(AND(BG14&lt;&gt;BH14,BG14&lt;&gt;"-",BH14&lt;&gt;"-")=TRUE,BG14&amp;" - "&amp;BH14&amp;" Fahrten / ","-"))&amp;IF(AND(BH15=1,BG14&lt;&gt;"-",BH14&lt;&gt;"-")=TRUE,"Beschäftigter",IF(AND(BH15=0,BG14&lt;&gt;"-",BH14&lt;&gt;"-")=TRUE,"100 m² GF",IF(AND(BH15=2,BG14&lt;&gt;"-",BH14&lt;&gt;"-")=TRUE,"Bewohner","")))</f>
        <v>1,5 Fahrten / Beschäftigter</v>
      </c>
      <c r="BG14" s="411">
        <v>1.5</v>
      </c>
      <c r="BH14" s="411">
        <v>1.5</v>
      </c>
      <c r="BJ14" s="414" t="s">
        <v>258</v>
      </c>
      <c r="BK14" s="14" t="str">
        <f>IF(AND(BL14=BM14,BL14&lt;&gt;"-",BM14&lt;&gt;"-")=TRUE,BL14&amp;" Fahrten / ",IF(AND(BL14&lt;&gt;BM14,BL14&lt;&gt;"-",BM14&lt;&gt;"-")=TRUE,BL14&amp;" - "&amp;BM14&amp;" Fahrten / ","-"))&amp;IF(AND(BM15=1,BL14&lt;&gt;"-",BM14&lt;&gt;"-")=TRUE,"Beschäftigter",IF(AND(BM15=0,BL14&lt;&gt;"-",BM14&lt;&gt;"-")=TRUE,"100 m² GF",IF(AND(BM15=2,BL14&lt;&gt;"-",BM14&lt;&gt;"-")=TRUE,"Bewohner","")))</f>
        <v>1,5 Fahrten / Beschäftigter</v>
      </c>
      <c r="BL14" s="411">
        <v>1.5</v>
      </c>
      <c r="BM14" s="411">
        <v>1.5</v>
      </c>
      <c r="BO14" s="414" t="s">
        <v>258</v>
      </c>
      <c r="BP14" s="14" t="str">
        <f>IF(AND(BQ14=BR14,BQ14&lt;&gt;"-",BR14&lt;&gt;"-")=TRUE,BQ14&amp;" Fahrten / ",IF(AND(BQ14&lt;&gt;BR14,BQ14&lt;&gt;"-",BR14&lt;&gt;"-")=TRUE,BQ14&amp;" - "&amp;BR14&amp;" Fahrten / ","-"))&amp;IF(AND(BR15=1,BQ14&lt;&gt;"-",BR14&lt;&gt;"-")=TRUE,"Beschäftigter",IF(AND(BR15=0,BQ14&lt;&gt;"-",BR14&lt;&gt;"-")=TRUE,"100 m² GF",IF(AND(BR15=2,BQ14&lt;&gt;"-",BR14&lt;&gt;"-")=TRUE,"Bewohner","")))</f>
        <v>0,2 - 0,5 Fahrten / Beschäftigter</v>
      </c>
      <c r="BQ14" s="411">
        <v>0.2</v>
      </c>
      <c r="BR14" s="411">
        <v>0.5</v>
      </c>
      <c r="BT14" s="414" t="s">
        <v>259</v>
      </c>
      <c r="BU14" s="14" t="str">
        <f>IF(AND(BV14=BW14,BV14&lt;&gt;"-",BW14&lt;&gt;"-")=TRUE,BV14&amp;" Fahrten / ",IF(AND(BV14&lt;&gt;BW14,BV14&lt;&gt;"-",BW14&lt;&gt;"-")=TRUE,BV14&amp;" - "&amp;BW14&amp;" Fahrten / ","-"))&amp;IF(AND(BW15=1,BV14&lt;&gt;"-",BW14&lt;&gt;"-")=TRUE,"Beschäftigter",IF(AND(BW15=0,BV14&lt;&gt;"-",BW14&lt;&gt;"-")=TRUE,"100 m² GF",IF(AND(BW15=2,BV14&lt;&gt;"-",BW14&lt;&gt;"-")=TRUE,"Bewohner","")))</f>
        <v>0,05 - 0,1 Fahrten / 100 m² GF</v>
      </c>
      <c r="BV14" s="411">
        <v>0.05</v>
      </c>
      <c r="BW14" s="411">
        <v>0.1</v>
      </c>
      <c r="BY14" s="414" t="s">
        <v>259</v>
      </c>
      <c r="BZ14" s="14" t="str">
        <f>IF(AND(CA14=CB14,CA14&lt;&gt;"-",CB14&lt;&gt;"-")=TRUE,CA14&amp;" Fahrten / ",IF(AND(CA14&lt;&gt;CB14,CA14&lt;&gt;"-",CB14&lt;&gt;"-")=TRUE,CA14&amp;" - "&amp;CB14&amp;" Fahrten / ","-"))&amp;IF(AND(CB15=1,CA14&lt;&gt;"-",CB14&lt;&gt;"-")=TRUE,"Beschäftigter",IF(AND(CB15=0,CA14&lt;&gt;"-",CB14&lt;&gt;"-")=TRUE,"100 m² GF",IF(AND(CB15=2,CA14&lt;&gt;"-",CB14&lt;&gt;"-")=TRUE,"Bewohner","")))</f>
        <v>0,15 Fahrten / 100 m² GF</v>
      </c>
      <c r="CA14" s="411">
        <v>0.15</v>
      </c>
      <c r="CB14" s="411">
        <v>0.15</v>
      </c>
      <c r="CD14" s="414" t="s">
        <v>258</v>
      </c>
      <c r="CE14" s="14" t="str">
        <f>IF(AND(CF14=CG14,CF14&lt;&gt;"-",CG14&lt;&gt;"-")=TRUE,CF14&amp;" Fahrten / ",IF(AND(CF14&lt;&gt;CG14,CF14&lt;&gt;"-",CG14&lt;&gt;"-")=TRUE,CF14&amp;" - "&amp;CG14&amp;" Fahrten / ","-"))&amp;IF(AND(CG15=1,CF14&lt;&gt;"-",CG14&lt;&gt;"-")=TRUE,"Beschäftigter",IF(AND(CG15=0,CF14&lt;&gt;"-",CG14&lt;&gt;"-")=TRUE,"100 m² GF",IF(AND(CG15=2,CF14&lt;&gt;"-",CG14&lt;&gt;"-")=TRUE,"Bewohner","")))</f>
        <v>0,7 - 0,9 Fahrten / Beschäftigter</v>
      </c>
      <c r="CF14" s="411">
        <v>0.7</v>
      </c>
      <c r="CG14" s="411">
        <v>0.9</v>
      </c>
      <c r="CI14" s="414" t="s">
        <v>258</v>
      </c>
      <c r="CJ14" s="14" t="str">
        <f>IF(AND(CK14=CL14,CK14&lt;&gt;"-",CL14&lt;&gt;"-")=TRUE,CK14&amp;" Fahrten / ",IF(AND(CK14&lt;&gt;CL14,CK14&lt;&gt;"-",CL14&lt;&gt;"-")=TRUE,CK14&amp;" - "&amp;CL14&amp;" Fahrten / ","-"))&amp;IF(AND(CL15=1,CK14&lt;&gt;"-",CL14&lt;&gt;"-")=TRUE,"Beschäftigter",IF(AND(CL15=0,CK14&lt;&gt;"-",CL14&lt;&gt;"-")=TRUE,"100 m² GF",IF(AND(CL15=2,CK14&lt;&gt;"-",CL14&lt;&gt;"-")=TRUE,"Bewohner","")))</f>
        <v>0,7 - 0,9 Fahrten / Beschäftigter</v>
      </c>
      <c r="CK14" s="411">
        <v>0.7</v>
      </c>
      <c r="CL14" s="411">
        <v>0.9</v>
      </c>
      <c r="CN14" s="414" t="s">
        <v>258</v>
      </c>
      <c r="CO14" s="14" t="str">
        <f>IF(AND(CP14=CQ14,CP14&lt;&gt;"-",CQ14&lt;&gt;"-")=TRUE,CP14&amp;" Fahrten / ",IF(AND(CP14&lt;&gt;CQ14,CP14&lt;&gt;"-",CQ14&lt;&gt;"-")=TRUE,CP14&amp;" - "&amp;CQ14&amp;" Fahrten / ","-"))&amp;IF(AND(CQ15=1,CP14&lt;&gt;"-",CQ14&lt;&gt;"-")=TRUE,"Beschäftigter",IF(AND(CQ15=0,CP14&lt;&gt;"-",CQ14&lt;&gt;"-")=TRUE,"100 m² GF",IF(AND(CQ15=2,CP14&lt;&gt;"-",CQ14&lt;&gt;"-")=TRUE,"Bewohner","")))</f>
        <v>0,4 - 0,6 Fahrten / Beschäftigter</v>
      </c>
      <c r="CP14" s="411">
        <v>0.4</v>
      </c>
      <c r="CQ14" s="411">
        <v>0.6</v>
      </c>
      <c r="CS14" s="414" t="s">
        <v>258</v>
      </c>
      <c r="CT14" s="14" t="str">
        <f>IF(AND(CU14=CV14,CU14&lt;&gt;"-",CV14&lt;&gt;"-")=TRUE,CU14&amp;" Fahrten / ",IF(AND(CU14&lt;&gt;CV14,CU14&lt;&gt;"-",CV14&lt;&gt;"-")=TRUE,CU14&amp;" - "&amp;CV14&amp;" Fahrten / ","-"))&amp;IF(AND(CV15=1,CU14&lt;&gt;"-",CV14&lt;&gt;"-")=TRUE,"Beschäftigter",IF(AND(CV15=0,CU14&lt;&gt;"-",CV14&lt;&gt;"-")=TRUE,"100 m² GF",IF(AND(CV15=2,CU14&lt;&gt;"-",CV14&lt;&gt;"-")=TRUE,"Bewohner","")))</f>
        <v>0,2 Fahrten / Beschäftigter</v>
      </c>
      <c r="CU14" s="411">
        <v>0.2</v>
      </c>
      <c r="CV14" s="411">
        <v>0.2</v>
      </c>
      <c r="CX14" s="414" t="s">
        <v>260</v>
      </c>
      <c r="CY14" s="14" t="str">
        <f>IF(AND(CZ14=DA14,CZ14&lt;&gt;"-",DA14&lt;&gt;"-")=TRUE,CZ14&amp;" Fahrten / ",IF(AND(CZ14&lt;&gt;DA14,CZ14&lt;&gt;"-",DA14&lt;&gt;"-")=TRUE,CZ14&amp;" - "&amp;DA14&amp;" Fahrten / ","-"))&amp;IF(AND(DA15=1,CZ14&lt;&gt;"-",DA14&lt;&gt;"-")=TRUE,"Beschäftigter",IF(AND(DA15=0,CZ14&lt;&gt;"-",DA14&lt;&gt;"-")=TRUE,"100 m² GF",IF(AND(DA15=2,CZ14&lt;&gt;"-",DA14&lt;&gt;"-")=TRUE,"Bewohner","")))</f>
        <v>0,05 Fahrten / Bewohner</v>
      </c>
      <c r="CZ14" s="411">
        <v>0.05</v>
      </c>
      <c r="DA14" s="411">
        <v>0.05</v>
      </c>
      <c r="DC14" s="414" t="s">
        <v>260</v>
      </c>
      <c r="DD14" s="14" t="str">
        <f>IF(AND(DE14=DF14,DE14&lt;&gt;"-",DF14&lt;&gt;"-")=TRUE,DE14&amp;" Fahrten / ",IF(AND(DE14&lt;&gt;DF14,DE14&lt;&gt;"-",DF14&lt;&gt;"-")=TRUE,DE14&amp;" - "&amp;DF14&amp;" Fahrten / ","-"))&amp;IF(AND(DF15=1,DE14&lt;&gt;"-",DF14&lt;&gt;"-")=TRUE,"Beschäftigter",IF(AND(DF15=0,DE14&lt;&gt;"-",DF14&lt;&gt;"-")=TRUE,"100 m² GF",IF(AND(DF15=2,DE14&lt;&gt;"-",DF14&lt;&gt;"-")=TRUE,"Bewohner","")))</f>
        <v>0,05 Fahrten / Bewohner</v>
      </c>
      <c r="DE14" s="411">
        <v>0.05</v>
      </c>
      <c r="DF14" s="411">
        <v>0.05</v>
      </c>
    </row>
    <row r="15" spans="1:110" ht="18" customHeight="1">
      <c r="A15" s="798"/>
      <c r="E15" s="12">
        <f>IF(B14=$B$22,1,IF(B14=$B$23,2,0))</f>
        <v>1</v>
      </c>
      <c r="J15" s="12">
        <f>IF(G14=$B$22,1,IF(G14=$B$23,2,0))</f>
        <v>1</v>
      </c>
      <c r="O15" s="12">
        <f>IF(L14=$B$22,1,IF(L14=$B$23,2,0))</f>
        <v>0</v>
      </c>
      <c r="T15" s="12">
        <f>IF(Q14=$B$22,1,IF(Q14=$B$23,2,0))</f>
        <v>0</v>
      </c>
      <c r="Y15" s="12">
        <f>IF(V14=$B$22,1,IF(V14=$B$23,2,0))</f>
        <v>0</v>
      </c>
      <c r="AD15" s="12">
        <f>IF(AA14=$B$22,1,IF(AA14=$B$23,2,0))</f>
        <v>0</v>
      </c>
      <c r="AI15" s="12">
        <f>IF(AF14=$B$22,1,IF(AF14=$B$23,2,0))</f>
        <v>0</v>
      </c>
      <c r="AN15" s="12">
        <f>IF(AK14=$B$22,1,IF(AK14=$B$23,2,0))</f>
        <v>1</v>
      </c>
      <c r="AS15" s="12">
        <f>IF(AP14=$B$22,1,IF(AP14=$B$23,2,0))</f>
        <v>0</v>
      </c>
      <c r="AX15" s="12">
        <f>IF(AU14=$B$22,1,IF(AU14=$B$23,2,0))</f>
        <v>1</v>
      </c>
      <c r="BC15" s="12">
        <f>IF(AZ14=$B$22,1,IF(AZ14=$B$23,2,0))</f>
        <v>1</v>
      </c>
      <c r="BH15" s="12">
        <f>IF(BE14=$B$22,1,IF(BE14=$B$23,2,0))</f>
        <v>1</v>
      </c>
      <c r="BM15" s="12">
        <f>IF(BJ14=$B$22,1,IF(BJ14=$B$23,2,0))</f>
        <v>1</v>
      </c>
      <c r="BR15" s="12">
        <f>IF(BO14=$B$22,1,IF(BO14=$B$23,2,0))</f>
        <v>1</v>
      </c>
      <c r="BW15" s="12">
        <f>IF(BT14=$B$22,1,IF(BT14=$B$23,2,0))</f>
        <v>0</v>
      </c>
      <c r="CB15" s="12">
        <f>IF(BY14=$B$22,1,IF(BY14=$B$23,2,0))</f>
        <v>0</v>
      </c>
      <c r="CG15" s="12">
        <f>IF(CD14=$B$22,1,IF(CD14=$B$23,2,0))</f>
        <v>1</v>
      </c>
      <c r="CL15" s="12">
        <f>IF(CI14=$B$22,1,IF(CI14=$B$23,2,0))</f>
        <v>1</v>
      </c>
      <c r="CQ15" s="12">
        <f>IF(CN14=$B$22,1,IF(CN14=$B$23,2,0))</f>
        <v>1</v>
      </c>
      <c r="CV15" s="12">
        <f>IF(CS14=$B$22,1,IF(CS14=$B$23,2,0))</f>
        <v>1</v>
      </c>
      <c r="DA15" s="12">
        <f>IF(CX14=$B$22,1,IF(CX14=$B$23,2,0))</f>
        <v>2</v>
      </c>
      <c r="DF15" s="12">
        <f>IF(DC14=$B$22,1,IF(DC14=$B$23,2,0))</f>
        <v>2</v>
      </c>
    </row>
    <row r="16" spans="1:110">
      <c r="A16" s="798"/>
      <c r="B16" s="4" t="s">
        <v>261</v>
      </c>
      <c r="G16" s="4" t="s">
        <v>261</v>
      </c>
      <c r="L16" s="4" t="s">
        <v>261</v>
      </c>
      <c r="Q16" s="4" t="s">
        <v>261</v>
      </c>
      <c r="V16" s="4" t="s">
        <v>261</v>
      </c>
      <c r="AA16" s="4" t="s">
        <v>261</v>
      </c>
      <c r="AF16" s="4" t="s">
        <v>261</v>
      </c>
      <c r="AK16" s="4" t="s">
        <v>261</v>
      </c>
      <c r="AP16" s="4" t="s">
        <v>261</v>
      </c>
      <c r="AU16" s="4" t="s">
        <v>261</v>
      </c>
      <c r="AZ16" s="4" t="s">
        <v>261</v>
      </c>
      <c r="BE16" s="4" t="s">
        <v>261</v>
      </c>
      <c r="BJ16" s="4" t="s">
        <v>261</v>
      </c>
      <c r="BO16" s="4" t="s">
        <v>261</v>
      </c>
      <c r="BT16" s="4" t="s">
        <v>261</v>
      </c>
      <c r="BY16" s="4" t="s">
        <v>261</v>
      </c>
      <c r="CD16" s="4" t="s">
        <v>261</v>
      </c>
      <c r="CI16" s="4" t="s">
        <v>261</v>
      </c>
      <c r="CN16" s="4" t="s">
        <v>261</v>
      </c>
      <c r="CS16" s="4" t="s">
        <v>261</v>
      </c>
      <c r="CX16" s="4" t="s">
        <v>261</v>
      </c>
      <c r="DC16" s="4" t="s">
        <v>261</v>
      </c>
    </row>
    <row r="17" spans="1:110" ht="6.9" customHeight="1">
      <c r="A17" s="798"/>
      <c r="B17" s="4"/>
      <c r="G17" s="4"/>
      <c r="L17" s="4"/>
      <c r="Q17" s="4"/>
      <c r="V17" s="4"/>
      <c r="AA17" s="4"/>
      <c r="AF17" s="4"/>
      <c r="AK17" s="4"/>
      <c r="AP17" s="4"/>
      <c r="AU17" s="4"/>
      <c r="AZ17" s="4"/>
      <c r="BE17" s="4"/>
      <c r="BJ17" s="4"/>
      <c r="BO17" s="4"/>
      <c r="BT17" s="4"/>
      <c r="BY17" s="4"/>
      <c r="CD17" s="4"/>
      <c r="CI17" s="4"/>
      <c r="CN17" s="4"/>
      <c r="CS17" s="4"/>
      <c r="CX17" s="4"/>
      <c r="DC17" s="4"/>
    </row>
    <row r="18" spans="1:110" s="18" customFormat="1" ht="13.2">
      <c r="A18" s="798"/>
      <c r="B18" s="15" t="s">
        <v>262</v>
      </c>
      <c r="C18" s="14" t="str">
        <f>IF(AND(D18=E18,OR(D18&lt;&gt;"-",E18&lt;&gt;"-")=TRUE)=TRUE,D18&amp;" %",IF(AND(D18&lt;&gt;E18,D18&lt;&gt;"-",E18&lt;&gt;"-")=TRUE,D18&amp;" - "&amp;E18&amp;" %","-"))</f>
        <v>-</v>
      </c>
      <c r="D18" s="415" t="s">
        <v>121</v>
      </c>
      <c r="E18" s="415" t="s">
        <v>121</v>
      </c>
      <c r="G18" s="15" t="s">
        <v>262</v>
      </c>
      <c r="H18" s="14" t="str">
        <f>IF(AND(I18=J18,OR(I18&lt;&gt;"-",J18&lt;&gt;"-")=TRUE)=TRUE,I18&amp;" %",IF(AND(I18&lt;&gt;J18,I18&lt;&gt;"-",J18&lt;&gt;"-")=TRUE,I18&amp;" - "&amp;J18&amp;" %","-"))</f>
        <v>10 - 30 %</v>
      </c>
      <c r="I18" s="415">
        <v>10</v>
      </c>
      <c r="J18" s="415">
        <v>30</v>
      </c>
      <c r="L18" s="15" t="s">
        <v>262</v>
      </c>
      <c r="M18" s="14" t="str">
        <f>IF(AND(N18=O18,OR(N18&lt;&gt;"-",O18&lt;&gt;"-")=TRUE)=TRUE,N18&amp;" %",IF(AND(N18&lt;&gt;O18,N18&lt;&gt;"-",O18&lt;&gt;"-")=TRUE,N18&amp;" - "&amp;O18&amp;" %","-"))</f>
        <v>10 - 30 %</v>
      </c>
      <c r="N18" s="415">
        <v>10</v>
      </c>
      <c r="O18" s="415">
        <v>30</v>
      </c>
      <c r="Q18" s="15" t="s">
        <v>262</v>
      </c>
      <c r="R18" s="14" t="str">
        <f>IF(AND(S18=T18,OR(S18&lt;&gt;"-",T18&lt;&gt;"-")=TRUE)=TRUE,S18&amp;" %",IF(AND(S18&lt;&gt;T18,S18&lt;&gt;"-",T18&lt;&gt;"-")=TRUE,S18&amp;" - "&amp;T18&amp;" %","-"))</f>
        <v>10 - 30 %</v>
      </c>
      <c r="S18" s="415">
        <v>10</v>
      </c>
      <c r="T18" s="415">
        <v>30</v>
      </c>
      <c r="V18" s="15" t="s">
        <v>262</v>
      </c>
      <c r="W18" s="14" t="str">
        <f>IF(AND(X18=Y18,OR(X18&lt;&gt;"-",Y18&lt;&gt;"-")=TRUE)=TRUE,X18&amp;" %",IF(AND(X18&lt;&gt;Y18,X18&lt;&gt;"-",Y18&lt;&gt;"-")=TRUE,X18&amp;" - "&amp;Y18&amp;" %","-"))</f>
        <v>10 - 30 %</v>
      </c>
      <c r="X18" s="415">
        <v>10</v>
      </c>
      <c r="Y18" s="415">
        <v>30</v>
      </c>
      <c r="AA18" s="15" t="s">
        <v>262</v>
      </c>
      <c r="AB18" s="14" t="str">
        <f>IF(AND(AC18=AD18,OR(AC18&lt;&gt;"-",AD18&lt;&gt;"-")=TRUE)=TRUE,AC18&amp;" %",IF(AND(AC18&lt;&gt;AD18,AC18&lt;&gt;"-",AD18&lt;&gt;"-")=TRUE,AC18&amp;" - "&amp;AD18&amp;" %","-"))</f>
        <v>10 - 30 %</v>
      </c>
      <c r="AC18" s="415">
        <v>10</v>
      </c>
      <c r="AD18" s="415">
        <v>30</v>
      </c>
      <c r="AF18" s="15" t="s">
        <v>262</v>
      </c>
      <c r="AG18" s="14" t="str">
        <f>IF(AND(AH18=AI18,OR(AH18&lt;&gt;"-",AI18&lt;&gt;"-")=TRUE)=TRUE,AH18&amp;" %",IF(AND(AH18&lt;&gt;AI18,AH18&lt;&gt;"-",AI18&lt;&gt;"-")=TRUE,AH18&amp;" - "&amp;AI18&amp;" %","-"))</f>
        <v>10 - 30 %</v>
      </c>
      <c r="AH18" s="415">
        <v>10</v>
      </c>
      <c r="AI18" s="415">
        <v>30</v>
      </c>
      <c r="AK18" s="15" t="s">
        <v>262</v>
      </c>
      <c r="AL18" s="14" t="str">
        <f>IF(AND(AM18=AN18,OR(AM18&lt;&gt;"-",AN18&lt;&gt;"-")=TRUE)=TRUE,AM18&amp;" %",IF(AND(AM18&lt;&gt;AN18,AM18&lt;&gt;"-",AN18&lt;&gt;"-")=TRUE,AM18&amp;" - "&amp;AN18&amp;" %","-"))</f>
        <v>-</v>
      </c>
      <c r="AM18" s="415" t="s">
        <v>121</v>
      </c>
      <c r="AN18" s="415" t="s">
        <v>121</v>
      </c>
      <c r="AP18" s="15" t="s">
        <v>262</v>
      </c>
      <c r="AQ18" s="14" t="str">
        <f>IF(AND(AR18=AS18,OR(AR18&lt;&gt;"-",AS18&lt;&gt;"-")=TRUE)=TRUE,AR18&amp;" %",IF(AND(AR18&lt;&gt;AS18,AR18&lt;&gt;"-",AS18&lt;&gt;"-")=TRUE,AR18&amp;" - "&amp;AS18&amp;" %","-"))</f>
        <v>10 - 30 %</v>
      </c>
      <c r="AR18" s="415">
        <v>10</v>
      </c>
      <c r="AS18" s="415">
        <v>30</v>
      </c>
      <c r="AU18" s="15" t="s">
        <v>262</v>
      </c>
      <c r="AV18" s="14" t="str">
        <f>IF(AND(AW18=AX18,OR(AW18&lt;&gt;"-",AX18&lt;&gt;"-")=TRUE)=TRUE,AW18&amp;" %",IF(AND(AW18&lt;&gt;AX18,AW18&lt;&gt;"-",AX18&lt;&gt;"-")=TRUE,AW18&amp;" - "&amp;AX18&amp;" %","-"))</f>
        <v>-</v>
      </c>
      <c r="AW18" s="415" t="s">
        <v>121</v>
      </c>
      <c r="AX18" s="415" t="s">
        <v>121</v>
      </c>
      <c r="AZ18" s="15" t="s">
        <v>262</v>
      </c>
      <c r="BA18" s="14" t="str">
        <f>IF(AND(BB18=BC18,OR(BB18&lt;&gt;"-",BC18&lt;&gt;"-")=TRUE)=TRUE,BB18&amp;" %",IF(AND(BB18&lt;&gt;BC18,BB18&lt;&gt;"-",BC18&lt;&gt;"-")=TRUE,BB18&amp;" - "&amp;BC18&amp;" %","-"))</f>
        <v>-</v>
      </c>
      <c r="BB18" s="415" t="s">
        <v>121</v>
      </c>
      <c r="BC18" s="415" t="s">
        <v>121</v>
      </c>
      <c r="BE18" s="15" t="s">
        <v>262</v>
      </c>
      <c r="BF18" s="14" t="str">
        <f>IF(AND(BG18=BH18,OR(BG18&lt;&gt;"-",BH18&lt;&gt;"-")=TRUE)=TRUE,BG18&amp;" %",IF(AND(BG18&lt;&gt;BH18,BG18&lt;&gt;"-",BH18&lt;&gt;"-")=TRUE,BG18&amp;" - "&amp;BH18&amp;" %","-"))</f>
        <v>-</v>
      </c>
      <c r="BG18" s="415" t="s">
        <v>121</v>
      </c>
      <c r="BH18" s="415" t="s">
        <v>121</v>
      </c>
      <c r="BJ18" s="15" t="s">
        <v>262</v>
      </c>
      <c r="BK18" s="14" t="str">
        <f>IF(AND(BL18=BM18,OR(BL18&lt;&gt;"-",BM18&lt;&gt;"-")=TRUE)=TRUE,BL18&amp;" %",IF(AND(BL18&lt;&gt;BM18,BL18&lt;&gt;"-",BM18&lt;&gt;"-")=TRUE,BL18&amp;" - "&amp;BM18&amp;" %","-"))</f>
        <v>-</v>
      </c>
      <c r="BL18" s="415" t="s">
        <v>121</v>
      </c>
      <c r="BM18" s="415" t="s">
        <v>121</v>
      </c>
      <c r="BO18" s="15" t="s">
        <v>262</v>
      </c>
      <c r="BP18" s="14" t="str">
        <f>IF(AND(BQ18=BR18,OR(BQ18&lt;&gt;"-",BR18&lt;&gt;"-")=TRUE)=TRUE,BQ18&amp;" %",IF(AND(BQ18&lt;&gt;BR18,BQ18&lt;&gt;"-",BR18&lt;&gt;"-")=TRUE,BQ18&amp;" - "&amp;BR18&amp;" %","-"))</f>
        <v>-</v>
      </c>
      <c r="BQ18" s="415" t="s">
        <v>121</v>
      </c>
      <c r="BR18" s="415" t="s">
        <v>121</v>
      </c>
      <c r="BT18" s="15" t="s">
        <v>262</v>
      </c>
      <c r="BU18" s="14" t="str">
        <f>IF(AND(BV18=BW18,OR(BV18&lt;&gt;"-",BW18&lt;&gt;"-")=TRUE)=TRUE,BV18&amp;" %",IF(AND(BV18&lt;&gt;BW18,BV18&lt;&gt;"-",BW18&lt;&gt;"-")=TRUE,BV18&amp;" - "&amp;BW18&amp;" %","-"))</f>
        <v>10 - 30 %</v>
      </c>
      <c r="BV18" s="415">
        <v>10</v>
      </c>
      <c r="BW18" s="415">
        <v>30</v>
      </c>
      <c r="BY18" s="15" t="s">
        <v>262</v>
      </c>
      <c r="BZ18" s="14" t="str">
        <f>IF(AND(CA18=CB18,OR(CA18&lt;&gt;"-",CB18&lt;&gt;"-")=TRUE)=TRUE,CA18&amp;" %",IF(AND(CA18&lt;&gt;CB18,CA18&lt;&gt;"-",CB18&lt;&gt;"-")=TRUE,CA18&amp;" - "&amp;CB18&amp;" %","-"))</f>
        <v>10 - 30 %</v>
      </c>
      <c r="CA18" s="415">
        <v>10</v>
      </c>
      <c r="CB18" s="415">
        <v>30</v>
      </c>
      <c r="CD18" s="15" t="s">
        <v>262</v>
      </c>
      <c r="CE18" s="14" t="str">
        <f>IF(AND(CF18=CG18,OR(CF18&lt;&gt;"-",CG18&lt;&gt;"-")=TRUE)=TRUE,CF18&amp;" %",IF(AND(CF18&lt;&gt;CG18,CF18&lt;&gt;"-",CG18&lt;&gt;"-")=TRUE,CF18&amp;" - "&amp;CG18&amp;" %","-"))</f>
        <v>10 - 30 %</v>
      </c>
      <c r="CF18" s="415">
        <v>10</v>
      </c>
      <c r="CG18" s="415">
        <v>30</v>
      </c>
      <c r="CI18" s="15" t="s">
        <v>262</v>
      </c>
      <c r="CJ18" s="14" t="str">
        <f>IF(AND(CK18=CL18,OR(CK18&lt;&gt;"-",CL18&lt;&gt;"-")=TRUE)=TRUE,CK18&amp;" %",IF(AND(CK18&lt;&gt;CL18,CK18&lt;&gt;"-",CL18&lt;&gt;"-")=TRUE,CK18&amp;" - "&amp;CL18&amp;" %","-"))</f>
        <v>-</v>
      </c>
      <c r="CK18" s="415" t="s">
        <v>121</v>
      </c>
      <c r="CL18" s="415" t="s">
        <v>121</v>
      </c>
      <c r="CN18" s="15" t="s">
        <v>262</v>
      </c>
      <c r="CO18" s="14" t="str">
        <f>IF(AND(CP18=CQ18,OR(CP18&lt;&gt;"-",CQ18&lt;&gt;"-")=TRUE)=TRUE,CP18&amp;" %",IF(AND(CP18&lt;&gt;CQ18,CP18&lt;&gt;"-",CQ18&lt;&gt;"-")=TRUE,CP18&amp;" - "&amp;CQ18&amp;" %","-"))</f>
        <v>-</v>
      </c>
      <c r="CP18" s="415" t="s">
        <v>121</v>
      </c>
      <c r="CQ18" s="415" t="s">
        <v>121</v>
      </c>
      <c r="CS18" s="15" t="s">
        <v>262</v>
      </c>
      <c r="CT18" s="14" t="str">
        <f>IF(AND(CU18=CV18,OR(CU18&lt;&gt;"-",CV18&lt;&gt;"-")=TRUE)=TRUE,CU18&amp;" %",IF(AND(CU18&lt;&gt;CV18,CU18&lt;&gt;"-",CV18&lt;&gt;"-")=TRUE,CU18&amp;" - "&amp;CV18&amp;" %","-"))</f>
        <v>10 - 30 %</v>
      </c>
      <c r="CU18" s="415">
        <v>10</v>
      </c>
      <c r="CV18" s="415">
        <v>30</v>
      </c>
      <c r="CX18" s="15" t="s">
        <v>262</v>
      </c>
      <c r="CY18" s="14" t="str">
        <f>IF(AND(CZ18=DA18,OR(CZ18&lt;&gt;"-",DA18&lt;&gt;"-")=TRUE)=TRUE,CZ18&amp;" %",IF(AND(CZ18&lt;&gt;DA18,CZ18&lt;&gt;"-",DA18&lt;&gt;"-")=TRUE,CZ18&amp;" - "&amp;DA18&amp;" %","-"))</f>
        <v>-</v>
      </c>
      <c r="CZ18" s="415" t="s">
        <v>121</v>
      </c>
      <c r="DA18" s="415" t="s">
        <v>121</v>
      </c>
      <c r="DC18" s="15" t="s">
        <v>262</v>
      </c>
      <c r="DD18" s="14" t="str">
        <f>IF(AND(DE18=DF18,OR(DE18&lt;&gt;"-",DF18&lt;&gt;"-")=TRUE)=TRUE,DE18&amp;" %",IF(AND(DE18&lt;&gt;DF18,DE18&lt;&gt;"-",DF18&lt;&gt;"-")=TRUE,DE18&amp;" - "&amp;DF18&amp;" %","-"))</f>
        <v>-</v>
      </c>
      <c r="DE18" s="415" t="s">
        <v>121</v>
      </c>
      <c r="DF18" s="415" t="s">
        <v>121</v>
      </c>
    </row>
    <row r="19" spans="1:110" s="18" customFormat="1" ht="13.2">
      <c r="A19" s="798"/>
      <c r="B19" s="15" t="s">
        <v>263</v>
      </c>
      <c r="C19" s="14" t="str">
        <f>IF(AND(D19=E19,OR(D19&lt;&gt;"-",E19&lt;&gt;"-")=TRUE)=TRUE,D19&amp;" %",IF(AND(D19&lt;&gt;E19,D19&lt;&gt;"-",E19&lt;&gt;"-")=TRUE,D19&amp;" - "&amp;E19&amp;" %","-"))</f>
        <v>-</v>
      </c>
      <c r="D19" s="415" t="s">
        <v>121</v>
      </c>
      <c r="E19" s="415" t="s">
        <v>121</v>
      </c>
      <c r="G19" s="15" t="s">
        <v>263</v>
      </c>
      <c r="H19" s="14" t="str">
        <f>IF(AND(I19=J19,OR(I19&lt;&gt;"-",J19&lt;&gt;"-")=TRUE)=TRUE,I19&amp;" %",IF(AND(I19&lt;&gt;J19,I19&lt;&gt;"-",J19&lt;&gt;"-")=TRUE,I19&amp;" - "&amp;J19&amp;" %","-"))</f>
        <v>5 - 35 %</v>
      </c>
      <c r="I19" s="416">
        <v>5</v>
      </c>
      <c r="J19" s="416">
        <v>35</v>
      </c>
      <c r="L19" s="15" t="s">
        <v>263</v>
      </c>
      <c r="M19" s="14" t="str">
        <f>IF(AND(N19=O19,OR(N19&lt;&gt;"-",O19&lt;&gt;"-")=TRUE)=TRUE,N19&amp;" %",IF(AND(N19&lt;&gt;O19,N19&lt;&gt;"-",O19&lt;&gt;"-")=TRUE,N19&amp;" - "&amp;O19&amp;" %","-"))</f>
        <v>5 - 35 %</v>
      </c>
      <c r="N19" s="416">
        <v>5</v>
      </c>
      <c r="O19" s="416">
        <v>35</v>
      </c>
      <c r="Q19" s="15" t="s">
        <v>263</v>
      </c>
      <c r="R19" s="14" t="str">
        <f>IF(AND(S19=T19,OR(S19&lt;&gt;"-",T19&lt;&gt;"-")=TRUE)=TRUE,S19&amp;" %",IF(AND(S19&lt;&gt;T19,S19&lt;&gt;"-",T19&lt;&gt;"-")=TRUE,S19&amp;" - "&amp;T19&amp;" %","-"))</f>
        <v>5 - 35 %</v>
      </c>
      <c r="S19" s="416">
        <v>5</v>
      </c>
      <c r="T19" s="416">
        <v>35</v>
      </c>
      <c r="V19" s="15" t="s">
        <v>263</v>
      </c>
      <c r="W19" s="14" t="str">
        <f>IF(AND(X19=Y19,OR(X19&lt;&gt;"-",Y19&lt;&gt;"-")=TRUE)=TRUE,X19&amp;" %",IF(AND(X19&lt;&gt;Y19,X19&lt;&gt;"-",Y19&lt;&gt;"-")=TRUE,X19&amp;" - "&amp;Y19&amp;" %","-"))</f>
        <v>5 - 35 %</v>
      </c>
      <c r="X19" s="416">
        <v>5</v>
      </c>
      <c r="Y19" s="416">
        <v>35</v>
      </c>
      <c r="AA19" s="15" t="s">
        <v>263</v>
      </c>
      <c r="AB19" s="14" t="str">
        <f>IF(AND(AC19=AD19,OR(AC19&lt;&gt;"-",AD19&lt;&gt;"-")=TRUE)=TRUE,AC19&amp;" %",IF(AND(AC19&lt;&gt;AD19,AC19&lt;&gt;"-",AD19&lt;&gt;"-")=TRUE,AC19&amp;" - "&amp;AD19&amp;" %","-"))</f>
        <v>5 - 35 %</v>
      </c>
      <c r="AC19" s="416">
        <v>5</v>
      </c>
      <c r="AD19" s="416">
        <v>35</v>
      </c>
      <c r="AF19" s="15" t="s">
        <v>263</v>
      </c>
      <c r="AG19" s="14" t="str">
        <f>IF(AND(AH19=AI19,OR(AH19&lt;&gt;"-",AI19&lt;&gt;"-")=TRUE)=TRUE,AH19&amp;" %",IF(AND(AH19&lt;&gt;AI19,AH19&lt;&gt;"-",AI19&lt;&gt;"-")=TRUE,AH19&amp;" - "&amp;AI19&amp;" %","-"))</f>
        <v>5 - 35 %</v>
      </c>
      <c r="AH19" s="416">
        <v>5</v>
      </c>
      <c r="AI19" s="416">
        <v>35</v>
      </c>
      <c r="AK19" s="15" t="s">
        <v>263</v>
      </c>
      <c r="AL19" s="14" t="str">
        <f>IF(AND(AM19=AN19,OR(AM19&lt;&gt;"-",AN19&lt;&gt;"-")=TRUE)=TRUE,AM19&amp;" %",IF(AND(AM19&lt;&gt;AN19,AM19&lt;&gt;"-",AN19&lt;&gt;"-")=TRUE,AM19&amp;" - "&amp;AN19&amp;" %","-"))</f>
        <v>-</v>
      </c>
      <c r="AM19" s="415" t="s">
        <v>121</v>
      </c>
      <c r="AN19" s="415" t="s">
        <v>121</v>
      </c>
      <c r="AP19" s="15" t="s">
        <v>263</v>
      </c>
      <c r="AQ19" s="14" t="str">
        <f>IF(AND(AR19=AS19,OR(AR19&lt;&gt;"-",AS19&lt;&gt;"-")=TRUE)=TRUE,AR19&amp;" %",IF(AND(AR19&lt;&gt;AS19,AR19&lt;&gt;"-",AS19&lt;&gt;"-")=TRUE,AR19&amp;" - "&amp;AS19&amp;" %","-"))</f>
        <v>5 - 35 %</v>
      </c>
      <c r="AR19" s="416">
        <v>5</v>
      </c>
      <c r="AS19" s="416">
        <v>35</v>
      </c>
      <c r="AU19" s="15" t="s">
        <v>263</v>
      </c>
      <c r="AV19" s="14" t="str">
        <f>IF(AND(AW19=AX19,OR(AW19&lt;&gt;"-",AX19&lt;&gt;"-")=TRUE)=TRUE,AW19&amp;" %",IF(AND(AW19&lt;&gt;AX19,AW19&lt;&gt;"-",AX19&lt;&gt;"-")=TRUE,AW19&amp;" - "&amp;AX19&amp;" %","-"))</f>
        <v>-</v>
      </c>
      <c r="AW19" s="415" t="s">
        <v>121</v>
      </c>
      <c r="AX19" s="415" t="s">
        <v>121</v>
      </c>
      <c r="AZ19" s="15" t="s">
        <v>263</v>
      </c>
      <c r="BA19" s="14" t="str">
        <f>IF(AND(BB19=BC19,OR(BB19&lt;&gt;"-",BC19&lt;&gt;"-")=TRUE)=TRUE,BB19&amp;" %",IF(AND(BB19&lt;&gt;BC19,BB19&lt;&gt;"-",BC19&lt;&gt;"-")=TRUE,BB19&amp;" - "&amp;BC19&amp;" %","-"))</f>
        <v>5 - 35 %</v>
      </c>
      <c r="BB19" s="416">
        <v>5</v>
      </c>
      <c r="BC19" s="416">
        <v>35</v>
      </c>
      <c r="BE19" s="15" t="s">
        <v>263</v>
      </c>
      <c r="BF19" s="14" t="str">
        <f>IF(AND(BG19=BH19,OR(BG19&lt;&gt;"-",BH19&lt;&gt;"-")=TRUE)=TRUE,BG19&amp;" %",IF(AND(BG19&lt;&gt;BH19,BG19&lt;&gt;"-",BH19&lt;&gt;"-")=TRUE,BG19&amp;" - "&amp;BH19&amp;" %","-"))</f>
        <v>-</v>
      </c>
      <c r="BG19" s="415" t="s">
        <v>121</v>
      </c>
      <c r="BH19" s="415" t="s">
        <v>121</v>
      </c>
      <c r="BJ19" s="15" t="s">
        <v>263</v>
      </c>
      <c r="BK19" s="14" t="str">
        <f>IF(AND(BL19=BM19,OR(BL19&lt;&gt;"-",BM19&lt;&gt;"-")=TRUE)=TRUE,BL19&amp;" %",IF(AND(BL19&lt;&gt;BM19,BL19&lt;&gt;"-",BM19&lt;&gt;"-")=TRUE,BL19&amp;" - "&amp;BM19&amp;" %","-"))</f>
        <v>-</v>
      </c>
      <c r="BL19" s="415" t="s">
        <v>121</v>
      </c>
      <c r="BM19" s="415" t="s">
        <v>121</v>
      </c>
      <c r="BO19" s="15" t="s">
        <v>263</v>
      </c>
      <c r="BP19" s="14" t="str">
        <f>IF(AND(BQ19=BR19,OR(BQ19&lt;&gt;"-",BR19&lt;&gt;"-")=TRUE)=TRUE,BQ19&amp;" %",IF(AND(BQ19&lt;&gt;BR19,BQ19&lt;&gt;"-",BR19&lt;&gt;"-")=TRUE,BQ19&amp;" - "&amp;BR19&amp;" %","-"))</f>
        <v>-</v>
      </c>
      <c r="BQ19" s="415" t="s">
        <v>121</v>
      </c>
      <c r="BR19" s="415" t="s">
        <v>121</v>
      </c>
      <c r="BT19" s="15" t="s">
        <v>263</v>
      </c>
      <c r="BU19" s="14" t="str">
        <f>IF(AND(BV19=BW19,OR(BV19&lt;&gt;"-",BW19&lt;&gt;"-")=TRUE)=TRUE,BV19&amp;" %",IF(AND(BV19&lt;&gt;BW19,BV19&lt;&gt;"-",BW19&lt;&gt;"-")=TRUE,BV19&amp;" - "&amp;BW19&amp;" %","-"))</f>
        <v>5 - 35 %</v>
      </c>
      <c r="BV19" s="416">
        <v>5</v>
      </c>
      <c r="BW19" s="416">
        <v>35</v>
      </c>
      <c r="BY19" s="15" t="s">
        <v>263</v>
      </c>
      <c r="BZ19" s="14" t="str">
        <f>IF(AND(CA19=CB19,OR(CA19&lt;&gt;"-",CB19&lt;&gt;"-")=TRUE)=TRUE,CA19&amp;" %",IF(AND(CA19&lt;&gt;CB19,CA19&lt;&gt;"-",CB19&lt;&gt;"-")=TRUE,CA19&amp;" - "&amp;CB19&amp;" %","-"))</f>
        <v>5 - 35 %</v>
      </c>
      <c r="CA19" s="416">
        <v>5</v>
      </c>
      <c r="CB19" s="416">
        <v>35</v>
      </c>
      <c r="CD19" s="15" t="s">
        <v>263</v>
      </c>
      <c r="CE19" s="14" t="str">
        <f>IF(AND(CF19=CG19,OR(CF19&lt;&gt;"-",CG19&lt;&gt;"-")=TRUE)=TRUE,CF19&amp;" %",IF(AND(CF19&lt;&gt;CG19,CF19&lt;&gt;"-",CG19&lt;&gt;"-")=TRUE,CF19&amp;" - "&amp;CG19&amp;" %","-"))</f>
        <v>5 - 35 %</v>
      </c>
      <c r="CF19" s="416">
        <v>5</v>
      </c>
      <c r="CG19" s="416">
        <v>35</v>
      </c>
      <c r="CI19" s="15" t="s">
        <v>263</v>
      </c>
      <c r="CJ19" s="14" t="str">
        <f>IF(AND(CK19=CL19,OR(CK19&lt;&gt;"-",CL19&lt;&gt;"-")=TRUE)=TRUE,CK19&amp;" %",IF(AND(CK19&lt;&gt;CL19,CK19&lt;&gt;"-",CL19&lt;&gt;"-")=TRUE,CK19&amp;" - "&amp;CL19&amp;" %","-"))</f>
        <v>-</v>
      </c>
      <c r="CK19" s="415" t="s">
        <v>121</v>
      </c>
      <c r="CL19" s="415" t="s">
        <v>121</v>
      </c>
      <c r="CN19" s="15" t="s">
        <v>263</v>
      </c>
      <c r="CO19" s="14" t="str">
        <f>IF(AND(CP19=CQ19,OR(CP19&lt;&gt;"-",CQ19&lt;&gt;"-")=TRUE)=TRUE,CP19&amp;" %",IF(AND(CP19&lt;&gt;CQ19,CP19&lt;&gt;"-",CQ19&lt;&gt;"-")=TRUE,CP19&amp;" - "&amp;CQ19&amp;" %","-"))</f>
        <v>-</v>
      </c>
      <c r="CP19" s="415" t="s">
        <v>121</v>
      </c>
      <c r="CQ19" s="415" t="s">
        <v>121</v>
      </c>
      <c r="CS19" s="15" t="s">
        <v>263</v>
      </c>
      <c r="CT19" s="14" t="str">
        <f>IF(AND(CU19=CV19,OR(CU19&lt;&gt;"-",CV19&lt;&gt;"-")=TRUE)=TRUE,CU19&amp;" %",IF(AND(CU19&lt;&gt;CV19,CU19&lt;&gt;"-",CV19&lt;&gt;"-")=TRUE,CU19&amp;" - "&amp;CV19&amp;" %","-"))</f>
        <v>50 %</v>
      </c>
      <c r="CU19" s="416">
        <v>50</v>
      </c>
      <c r="CV19" s="416">
        <v>50</v>
      </c>
      <c r="CX19" s="15" t="s">
        <v>263</v>
      </c>
      <c r="CY19" s="14" t="str">
        <f>IF(AND(CZ19=DA19,OR(CZ19&lt;&gt;"-",DA19&lt;&gt;"-")=TRUE)=TRUE,CZ19&amp;" %",IF(AND(CZ19&lt;&gt;DA19,CZ19&lt;&gt;"-",DA19&lt;&gt;"-")=TRUE,CZ19&amp;" - "&amp;DA19&amp;" %","-"))</f>
        <v>-</v>
      </c>
      <c r="CZ19" s="416" t="s">
        <v>121</v>
      </c>
      <c r="DA19" s="416" t="s">
        <v>121</v>
      </c>
      <c r="DC19" s="15" t="s">
        <v>263</v>
      </c>
      <c r="DD19" s="14" t="str">
        <f>IF(AND(DE19=DF19,OR(DE19&lt;&gt;"-",DF19&lt;&gt;"-")=TRUE)=TRUE,DE19&amp;" %",IF(AND(DE19&lt;&gt;DF19,DE19&lt;&gt;"-",DF19&lt;&gt;"-")=TRUE,DE19&amp;" - "&amp;DF19&amp;" %","-"))</f>
        <v>-</v>
      </c>
      <c r="DE19" s="416" t="s">
        <v>121</v>
      </c>
      <c r="DF19" s="416" t="s">
        <v>121</v>
      </c>
    </row>
    <row r="20" spans="1:110" s="18" customFormat="1" ht="13.2">
      <c r="A20" s="798"/>
      <c r="B20" s="15" t="s">
        <v>264</v>
      </c>
      <c r="C20" s="14" t="str">
        <f>IF(AND(D20=E20,OR(D20&lt;&gt;"-",E20&lt;&gt;"-")=TRUE)=TRUE,"&gt; "&amp;D20&amp;" %",IF(AND(D20&lt;&gt;E20,D20&lt;&gt;"-",E20&lt;&gt;"-")=TRUE,D20&amp;" - "&amp;E20&amp;" %","-"))</f>
        <v>-</v>
      </c>
      <c r="D20" s="415" t="s">
        <v>121</v>
      </c>
      <c r="E20" s="415" t="s">
        <v>121</v>
      </c>
      <c r="G20" s="15" t="s">
        <v>264</v>
      </c>
      <c r="H20" s="14" t="str">
        <f>IF(AND(I20=J20,OR(I20&lt;&gt;"-",J20&lt;&gt;"-")=TRUE)=TRUE,"&gt; "&amp;I20&amp;" %",IF(AND(I20&lt;&gt;J20,I20&lt;&gt;"-",J20&lt;&gt;"-")=TRUE,I20&amp;" - "&amp;J20&amp;" %","-"))</f>
        <v>&gt; 15 %</v>
      </c>
      <c r="I20" s="415">
        <v>15</v>
      </c>
      <c r="J20" s="415">
        <v>15</v>
      </c>
      <c r="L20" s="15" t="s">
        <v>264</v>
      </c>
      <c r="M20" s="14" t="str">
        <f>IF(AND(N20=O20,OR(N20&lt;&gt;"-",O20&lt;&gt;"-")=TRUE)=TRUE,"&gt; "&amp;N20&amp;" %",IF(AND(N20&lt;&gt;O20,N20&lt;&gt;"-",O20&lt;&gt;"-")=TRUE,N20&amp;" - "&amp;O20&amp;" %","-"))</f>
        <v>&gt; 15 %</v>
      </c>
      <c r="N20" s="415">
        <v>15</v>
      </c>
      <c r="O20" s="415">
        <v>15</v>
      </c>
      <c r="Q20" s="15" t="s">
        <v>264</v>
      </c>
      <c r="R20" s="14" t="str">
        <f>IF(AND(S20=T20,OR(S20&lt;&gt;"-",T20&lt;&gt;"-")=TRUE)=TRUE,"&gt; "&amp;S20&amp;" %",IF(AND(S20&lt;&gt;T20,S20&lt;&gt;"-",T20&lt;&gt;"-")=TRUE,S20&amp;" - "&amp;T20&amp;" %","-"))</f>
        <v>&gt; 15 %</v>
      </c>
      <c r="S20" s="415">
        <v>15</v>
      </c>
      <c r="T20" s="415">
        <v>15</v>
      </c>
      <c r="V20" s="15" t="s">
        <v>264</v>
      </c>
      <c r="W20" s="14" t="str">
        <f>IF(AND(X20=Y20,OR(X20&lt;&gt;"-",Y20&lt;&gt;"-")=TRUE)=TRUE,"&gt; "&amp;X20&amp;" %",IF(AND(X20&lt;&gt;Y20,X20&lt;&gt;"-",Y20&lt;&gt;"-")=TRUE,X20&amp;" - "&amp;Y20&amp;" %","-"))</f>
        <v>&gt; 15 %</v>
      </c>
      <c r="X20" s="415">
        <v>15</v>
      </c>
      <c r="Y20" s="415">
        <v>15</v>
      </c>
      <c r="AA20" s="15" t="s">
        <v>264</v>
      </c>
      <c r="AB20" s="14" t="str">
        <f>IF(AND(AC20=AD20,OR(AC20&lt;&gt;"-",AD20&lt;&gt;"-")=TRUE)=TRUE,"&gt; "&amp;AC20&amp;" %",IF(AND(AC20&lt;&gt;AD20,AC20&lt;&gt;"-",AD20&lt;&gt;"-")=TRUE,AC20&amp;" - "&amp;AD20&amp;" %","-"))</f>
        <v>&gt; 15 %</v>
      </c>
      <c r="AC20" s="415">
        <v>15</v>
      </c>
      <c r="AD20" s="415">
        <v>15</v>
      </c>
      <c r="AF20" s="15" t="s">
        <v>264</v>
      </c>
      <c r="AG20" s="14" t="str">
        <f>IF(AND(AH20=AI20,OR(AH20&lt;&gt;"-",AI20&lt;&gt;"-")=TRUE)=TRUE,"&gt; "&amp;AH20&amp;" %",IF(AND(AH20&lt;&gt;AI20,AH20&lt;&gt;"-",AI20&lt;&gt;"-")=TRUE,AH20&amp;" - "&amp;AI20&amp;" %","-"))</f>
        <v>&gt; 15 %</v>
      </c>
      <c r="AH20" s="415">
        <v>15</v>
      </c>
      <c r="AI20" s="415">
        <v>15</v>
      </c>
      <c r="AK20" s="15" t="s">
        <v>264</v>
      </c>
      <c r="AL20" s="14" t="str">
        <f>IF(AND(AM20=AN20,OR(AM20&lt;&gt;"-",AN20&lt;&gt;"-")=TRUE)=TRUE,"&gt; "&amp;AM20&amp;" %",IF(AND(AM20&lt;&gt;AN20,AM20&lt;&gt;"-",AN20&lt;&gt;"-")=TRUE,AM20&amp;" - "&amp;AN20&amp;" %","-"))</f>
        <v>-</v>
      </c>
      <c r="AM20" s="415" t="s">
        <v>121</v>
      </c>
      <c r="AN20" s="415" t="s">
        <v>121</v>
      </c>
      <c r="AP20" s="15" t="s">
        <v>264</v>
      </c>
      <c r="AQ20" s="14" t="str">
        <f>IF(AND(AR20=AS20,OR(AR20&lt;&gt;"-",AS20&lt;&gt;"-")=TRUE)=TRUE,"&gt; "&amp;AR20&amp;" %",IF(AND(AR20&lt;&gt;AS20,AR20&lt;&gt;"-",AS20&lt;&gt;"-")=TRUE,AR20&amp;" - "&amp;AS20&amp;" %","-"))</f>
        <v>&gt; 15 %</v>
      </c>
      <c r="AR20" s="415">
        <v>15</v>
      </c>
      <c r="AS20" s="415">
        <v>15</v>
      </c>
      <c r="AU20" s="15" t="s">
        <v>264</v>
      </c>
      <c r="AV20" s="14" t="str">
        <f>IF(AND(AW20=AX20,OR(AW20&lt;&gt;"-",AX20&lt;&gt;"-")=TRUE)=TRUE,"&gt; "&amp;AW20&amp;" %",IF(AND(AW20&lt;&gt;AX20,AW20&lt;&gt;"-",AX20&lt;&gt;"-")=TRUE,AW20&amp;" - "&amp;AX20&amp;" %","-"))</f>
        <v>-</v>
      </c>
      <c r="AW20" s="415" t="s">
        <v>121</v>
      </c>
      <c r="AX20" s="415" t="s">
        <v>121</v>
      </c>
      <c r="AZ20" s="15" t="s">
        <v>264</v>
      </c>
      <c r="BA20" s="14" t="str">
        <f>IF(AND(BB20=BC20,OR(BB20&lt;&gt;"-",BC20&lt;&gt;"-")=TRUE)=TRUE,"&gt; "&amp;BB20&amp;" %",IF(AND(BB20&lt;&gt;BC20,BB20&lt;&gt;"-",BC20&lt;&gt;"-")=TRUE,BB20&amp;" - "&amp;BC20&amp;" %","-"))</f>
        <v>&gt; 15 %</v>
      </c>
      <c r="BB20" s="415">
        <v>15</v>
      </c>
      <c r="BC20" s="415">
        <v>15</v>
      </c>
      <c r="BE20" s="15" t="s">
        <v>264</v>
      </c>
      <c r="BF20" s="14" t="str">
        <f>IF(AND(BG20=BH20,OR(BG20&lt;&gt;"-",BH20&lt;&gt;"-")=TRUE)=TRUE,"&gt; "&amp;BG20&amp;" %",IF(AND(BG20&lt;&gt;BH20,BG20&lt;&gt;"-",BH20&lt;&gt;"-")=TRUE,BG20&amp;" - "&amp;BH20&amp;" %","-"))</f>
        <v>-</v>
      </c>
      <c r="BG20" s="415" t="s">
        <v>121</v>
      </c>
      <c r="BH20" s="415" t="s">
        <v>121</v>
      </c>
      <c r="BJ20" s="15" t="s">
        <v>264</v>
      </c>
      <c r="BK20" s="14" t="str">
        <f>IF(AND(BL20=BM20,OR(BL20&lt;&gt;"-",BM20&lt;&gt;"-")=TRUE)=TRUE,"&gt; "&amp;BL20&amp;" %",IF(AND(BL20&lt;&gt;BM20,BL20&lt;&gt;"-",BM20&lt;&gt;"-")=TRUE,BL20&amp;" - "&amp;BM20&amp;" %","-"))</f>
        <v>-</v>
      </c>
      <c r="BL20" s="415" t="s">
        <v>121</v>
      </c>
      <c r="BM20" s="415" t="s">
        <v>121</v>
      </c>
      <c r="BO20" s="15" t="s">
        <v>264</v>
      </c>
      <c r="BP20" s="14" t="str">
        <f>IF(AND(BQ20=BR20,OR(BQ20&lt;&gt;"-",BR20&lt;&gt;"-")=TRUE)=TRUE,"&gt; "&amp;BQ20&amp;" %",IF(AND(BQ20&lt;&gt;BR20,BQ20&lt;&gt;"-",BR20&lt;&gt;"-")=TRUE,BQ20&amp;" - "&amp;BR20&amp;" %","-"))</f>
        <v>-</v>
      </c>
      <c r="BQ20" s="415" t="s">
        <v>121</v>
      </c>
      <c r="BR20" s="415" t="s">
        <v>121</v>
      </c>
      <c r="BT20" s="15" t="s">
        <v>264</v>
      </c>
      <c r="BU20" s="14" t="str">
        <f>IF(AND(BV20=BW20,OR(BV20&lt;&gt;"-",BW20&lt;&gt;"-")=TRUE)=TRUE,"&gt; "&amp;BV20&amp;" %",IF(AND(BV20&lt;&gt;BW20,BV20&lt;&gt;"-",BW20&lt;&gt;"-")=TRUE,BV20&amp;" - "&amp;BW20&amp;" %","-"))</f>
        <v>-</v>
      </c>
      <c r="BV20" s="415" t="s">
        <v>121</v>
      </c>
      <c r="BW20" s="415" t="s">
        <v>121</v>
      </c>
      <c r="BY20" s="15" t="s">
        <v>264</v>
      </c>
      <c r="BZ20" s="14" t="str">
        <f>IF(AND(CA20=CB20,OR(CA20&lt;&gt;"-",CB20&lt;&gt;"-")=TRUE)=TRUE,"&gt; "&amp;CA20&amp;" %",IF(AND(CA20&lt;&gt;CB20,CA20&lt;&gt;"-",CB20&lt;&gt;"-")=TRUE,CA20&amp;" - "&amp;CB20&amp;" %","-"))</f>
        <v>-</v>
      </c>
      <c r="CA20" s="415" t="s">
        <v>121</v>
      </c>
      <c r="CB20" s="415" t="s">
        <v>121</v>
      </c>
      <c r="CD20" s="15" t="s">
        <v>264</v>
      </c>
      <c r="CE20" s="14" t="str">
        <f>IF(AND(CF20=CG20,OR(CF20&lt;&gt;"-",CG20&lt;&gt;"-")=TRUE)=TRUE,"&gt; "&amp;CF20&amp;" %",IF(AND(CF20&lt;&gt;CG20,CF20&lt;&gt;"-",CG20&lt;&gt;"-")=TRUE,CF20&amp;" - "&amp;CG20&amp;" %","-"))</f>
        <v>-</v>
      </c>
      <c r="CF20" s="415" t="s">
        <v>121</v>
      </c>
      <c r="CG20" s="415" t="s">
        <v>121</v>
      </c>
      <c r="CI20" s="15" t="s">
        <v>264</v>
      </c>
      <c r="CJ20" s="14" t="str">
        <f>IF(AND(CK20=CL20,OR(CK20&lt;&gt;"-",CL20&lt;&gt;"-")=TRUE)=TRUE,"&gt; "&amp;CK20&amp;" %",IF(AND(CK20&lt;&gt;CL20,CK20&lt;&gt;"-",CL20&lt;&gt;"-")=TRUE,CK20&amp;" - "&amp;CL20&amp;" %","-"))</f>
        <v>-</v>
      </c>
      <c r="CK20" s="415" t="s">
        <v>121</v>
      </c>
      <c r="CL20" s="415" t="s">
        <v>121</v>
      </c>
      <c r="CN20" s="15" t="s">
        <v>264</v>
      </c>
      <c r="CO20" s="14" t="str">
        <f>IF(AND(CP20=CQ20,OR(CP20&lt;&gt;"-",CQ20&lt;&gt;"-")=TRUE)=TRUE,"&gt; "&amp;CP20&amp;" %",IF(AND(CP20&lt;&gt;CQ20,CP20&lt;&gt;"-",CQ20&lt;&gt;"-")=TRUE,CP20&amp;" - "&amp;CQ20&amp;" %","-"))</f>
        <v>-</v>
      </c>
      <c r="CP20" s="415" t="s">
        <v>121</v>
      </c>
      <c r="CQ20" s="415" t="s">
        <v>121</v>
      </c>
      <c r="CS20" s="15" t="s">
        <v>264</v>
      </c>
      <c r="CT20" s="14" t="str">
        <f>IF(AND(CU20=CV20,OR(CU20&lt;&gt;"-",CV20&lt;&gt;"-")=TRUE)=TRUE,"&gt; "&amp;CU20&amp;" %",IF(AND(CU20&lt;&gt;CV20,CU20&lt;&gt;"-",CV20&lt;&gt;"-")=TRUE,CU20&amp;" - "&amp;CV20&amp;" %","-"))</f>
        <v>-</v>
      </c>
      <c r="CU20" s="415" t="s">
        <v>121</v>
      </c>
      <c r="CV20" s="415" t="s">
        <v>121</v>
      </c>
      <c r="CX20" s="15" t="s">
        <v>264</v>
      </c>
      <c r="CY20" s="14" t="str">
        <f>IF(AND(CZ20=DA20,OR(CZ20&lt;&gt;"-",DA20&lt;&gt;"-")=TRUE)=TRUE,"&gt; "&amp;CZ20&amp;" %",IF(AND(CZ20&lt;&gt;DA20,CZ20&lt;&gt;"-",DA20&lt;&gt;"-")=TRUE,CZ20&amp;" - "&amp;DA20&amp;" %","-"))</f>
        <v>-</v>
      </c>
      <c r="CZ20" s="415" t="s">
        <v>121</v>
      </c>
      <c r="DA20" s="415" t="s">
        <v>121</v>
      </c>
      <c r="DC20" s="15" t="s">
        <v>264</v>
      </c>
      <c r="DD20" s="14" t="str">
        <f>IF(AND(DE20=DF20,OR(DE20&lt;&gt;"-",DF20&lt;&gt;"-")=TRUE)=TRUE,"&gt; "&amp;DE20&amp;" %",IF(AND(DE20&lt;&gt;DF20,DE20&lt;&gt;"-",DF20&lt;&gt;"-")=TRUE,DE20&amp;" - "&amp;DF20&amp;" %","-"))</f>
        <v>-</v>
      </c>
      <c r="DE20" s="415" t="s">
        <v>121</v>
      </c>
      <c r="DF20" s="415" t="s">
        <v>121</v>
      </c>
    </row>
    <row r="21" spans="1:110">
      <c r="A21" s="798"/>
    </row>
    <row r="22" spans="1:110" ht="12.75" customHeight="1">
      <c r="A22" s="798"/>
      <c r="B22" s="8" t="s">
        <v>265</v>
      </c>
      <c r="C22" s="799" t="str">
        <f>"Diese drei Zellen nicht bearbeiten, sie dienen zur Auswahl in Zeile "&amp;ROW(B14)</f>
        <v>Diese drei Zellen nicht bearbeiten, sie dienen zur Auswahl in Zeile 14</v>
      </c>
      <c r="D22" s="800"/>
      <c r="E22" s="800"/>
    </row>
    <row r="23" spans="1:110" ht="12.75" customHeight="1">
      <c r="A23" s="798"/>
      <c r="B23" s="8" t="s">
        <v>260</v>
      </c>
      <c r="C23" s="799"/>
      <c r="D23" s="800"/>
      <c r="E23" s="800"/>
    </row>
    <row r="24" spans="1:110">
      <c r="A24" s="798"/>
      <c r="B24" s="8" t="s">
        <v>259</v>
      </c>
      <c r="C24" s="799"/>
      <c r="D24" s="800"/>
      <c r="E24" s="800"/>
    </row>
    <row r="25" spans="1:110">
      <c r="C25" s="52"/>
      <c r="D25" s="429"/>
      <c r="E25" s="429"/>
    </row>
    <row r="26" spans="1:110">
      <c r="C26" s="497" t="s">
        <v>266</v>
      </c>
      <c r="D26" s="429"/>
      <c r="E26" s="429"/>
    </row>
    <row r="27" spans="1:110">
      <c r="B27" s="498" t="s">
        <v>267</v>
      </c>
      <c r="C27" s="497" t="s">
        <v>268</v>
      </c>
      <c r="D27" s="429"/>
      <c r="E27" s="429"/>
    </row>
    <row r="28" spans="1:110" s="3" customFormat="1">
      <c r="B28" s="11" t="str">
        <f>C3</f>
        <v>Büronutzung</v>
      </c>
      <c r="C28" s="2">
        <v>1</v>
      </c>
      <c r="D28" s="10"/>
      <c r="E28" s="10"/>
      <c r="I28" s="10"/>
      <c r="J28" s="10"/>
      <c r="N28" s="10"/>
      <c r="O28" s="10"/>
      <c r="S28" s="10"/>
      <c r="T28" s="10"/>
      <c r="X28" s="10"/>
      <c r="Y28" s="10"/>
      <c r="AC28" s="10"/>
      <c r="AD28" s="10"/>
      <c r="AH28" s="10"/>
      <c r="AI28" s="10"/>
      <c r="AM28" s="10"/>
      <c r="AN28" s="10"/>
      <c r="AR28" s="10"/>
      <c r="AS28" s="10"/>
      <c r="AW28" s="10"/>
      <c r="AX28" s="10"/>
      <c r="BB28" s="10"/>
      <c r="BC28" s="10"/>
      <c r="BG28" s="10"/>
      <c r="BH28" s="10"/>
      <c r="BL28" s="10"/>
      <c r="BM28" s="10"/>
      <c r="BQ28" s="10"/>
      <c r="BR28" s="10"/>
      <c r="BV28" s="10"/>
      <c r="BW28" s="10"/>
      <c r="CA28" s="10"/>
      <c r="CB28" s="10"/>
      <c r="CF28" s="10"/>
      <c r="CG28" s="10"/>
      <c r="CK28" s="10"/>
      <c r="CL28" s="10"/>
      <c r="CP28" s="10"/>
      <c r="CQ28" s="10"/>
      <c r="CU28" s="10"/>
      <c r="CV28" s="10"/>
      <c r="CZ28" s="10"/>
      <c r="DA28" s="10"/>
      <c r="DE28" s="10"/>
      <c r="DF28" s="10"/>
    </row>
    <row r="29" spans="1:110" s="3" customFormat="1">
      <c r="B29" s="11" t="str">
        <f ca="1">INDIRECT(ADDRESS(ROW($C$3),COLUMN($C$3)+(C28*5)))</f>
        <v>Discounter</v>
      </c>
      <c r="C29" s="2">
        <f>C28+1</f>
        <v>2</v>
      </c>
      <c r="D29" s="10"/>
      <c r="E29" s="10"/>
      <c r="I29" s="10"/>
      <c r="J29" s="10"/>
      <c r="N29" s="10"/>
      <c r="O29" s="10"/>
      <c r="S29" s="10"/>
      <c r="T29" s="10"/>
      <c r="X29" s="10"/>
      <c r="Y29" s="10"/>
      <c r="AC29" s="10"/>
      <c r="AD29" s="10"/>
      <c r="AH29" s="10"/>
      <c r="AI29" s="10"/>
      <c r="AM29" s="10"/>
      <c r="AN29" s="10"/>
      <c r="AR29" s="10"/>
      <c r="AS29" s="10"/>
      <c r="AW29" s="10"/>
      <c r="AX29" s="10"/>
      <c r="BB29" s="10"/>
      <c r="BC29" s="10"/>
      <c r="BG29" s="10"/>
      <c r="BH29" s="10"/>
      <c r="BL29" s="10"/>
      <c r="BM29" s="10"/>
      <c r="BQ29" s="10"/>
      <c r="BR29" s="10"/>
      <c r="BV29" s="10"/>
      <c r="BW29" s="10"/>
      <c r="CA29" s="10"/>
      <c r="CB29" s="10"/>
      <c r="CF29" s="10"/>
      <c r="CG29" s="10"/>
      <c r="CK29" s="10"/>
      <c r="CL29" s="10"/>
      <c r="CP29" s="10"/>
      <c r="CQ29" s="10"/>
      <c r="CU29" s="10"/>
      <c r="CV29" s="10"/>
      <c r="CZ29" s="10"/>
      <c r="DA29" s="10"/>
      <c r="DE29" s="10"/>
      <c r="DF29" s="10"/>
    </row>
    <row r="30" spans="1:110" s="3" customFormat="1">
      <c r="B30" s="11" t="str">
        <f t="shared" ref="B30:B57" ca="1" si="0">INDIRECT(ADDRESS(ROW($C$3),COLUMN($C$3)+(C29*5)))</f>
        <v>kleinfl. Einzelhandel</v>
      </c>
      <c r="C30" s="2">
        <f t="shared" ref="C30:C40" si="1">C29+1</f>
        <v>3</v>
      </c>
      <c r="D30" s="10"/>
      <c r="E30" s="10"/>
      <c r="I30" s="10"/>
      <c r="J30" s="10"/>
      <c r="N30" s="10"/>
      <c r="O30" s="10"/>
      <c r="S30" s="10"/>
      <c r="T30" s="10"/>
      <c r="X30" s="10"/>
      <c r="Y30" s="10"/>
      <c r="AC30" s="10"/>
      <c r="AD30" s="10"/>
      <c r="AH30" s="10"/>
      <c r="AI30" s="10"/>
      <c r="AM30" s="10"/>
      <c r="AN30" s="10"/>
      <c r="AR30" s="10"/>
      <c r="AS30" s="10"/>
      <c r="AW30" s="10"/>
      <c r="AX30" s="10"/>
      <c r="BB30" s="10"/>
      <c r="BC30" s="10"/>
      <c r="BG30" s="10"/>
      <c r="BH30" s="10"/>
      <c r="BL30" s="10"/>
      <c r="BM30" s="10"/>
      <c r="BQ30" s="10"/>
      <c r="BR30" s="10"/>
      <c r="BV30" s="10"/>
      <c r="BW30" s="10"/>
      <c r="CA30" s="10"/>
      <c r="CB30" s="10"/>
      <c r="CF30" s="10"/>
      <c r="CG30" s="10"/>
      <c r="CK30" s="10"/>
      <c r="CL30" s="10"/>
      <c r="CP30" s="10"/>
      <c r="CQ30" s="10"/>
      <c r="CU30" s="10"/>
      <c r="CV30" s="10"/>
      <c r="CZ30" s="10"/>
      <c r="DA30" s="10"/>
      <c r="DE30" s="10"/>
      <c r="DF30" s="10"/>
    </row>
    <row r="31" spans="1:110" s="3" customFormat="1">
      <c r="B31" s="11" t="str">
        <f t="shared" ca="1" si="0"/>
        <v>Einkaufszentrum</v>
      </c>
      <c r="C31" s="2">
        <f t="shared" si="1"/>
        <v>4</v>
      </c>
      <c r="D31" s="10"/>
      <c r="E31" s="10"/>
      <c r="I31" s="10"/>
      <c r="J31" s="10"/>
      <c r="N31" s="10"/>
      <c r="O31" s="10"/>
      <c r="S31" s="10"/>
      <c r="T31" s="10"/>
      <c r="X31" s="10"/>
      <c r="Y31" s="10"/>
      <c r="AC31" s="10"/>
      <c r="AD31" s="10"/>
      <c r="AH31" s="10"/>
      <c r="AI31" s="10"/>
      <c r="AM31" s="10"/>
      <c r="AN31" s="10"/>
      <c r="AR31" s="10"/>
      <c r="AS31" s="10"/>
      <c r="AW31" s="10"/>
      <c r="AX31" s="10"/>
      <c r="BB31" s="10"/>
      <c r="BC31" s="10"/>
      <c r="BG31" s="10"/>
      <c r="BH31" s="10"/>
      <c r="BL31" s="10"/>
      <c r="BM31" s="10"/>
      <c r="BQ31" s="10"/>
      <c r="BR31" s="10"/>
      <c r="BV31" s="10"/>
      <c r="BW31" s="10"/>
      <c r="CA31" s="10"/>
      <c r="CB31" s="10"/>
      <c r="CF31" s="10"/>
      <c r="CG31" s="10"/>
      <c r="CK31" s="10"/>
      <c r="CL31" s="10"/>
      <c r="CP31" s="10"/>
      <c r="CQ31" s="10"/>
      <c r="CU31" s="10"/>
      <c r="CV31" s="10"/>
      <c r="CZ31" s="10"/>
      <c r="DA31" s="10"/>
      <c r="DE31" s="10"/>
      <c r="DF31" s="10"/>
    </row>
    <row r="32" spans="1:110" s="3" customFormat="1">
      <c r="B32" s="11" t="str">
        <f t="shared" ca="1" si="0"/>
        <v>großfl. Einzelhandel</v>
      </c>
      <c r="C32" s="2">
        <f t="shared" si="1"/>
        <v>5</v>
      </c>
      <c r="D32" s="10"/>
      <c r="E32" s="10"/>
      <c r="I32" s="10"/>
      <c r="J32" s="10"/>
      <c r="N32" s="10"/>
      <c r="O32" s="10"/>
      <c r="S32" s="10"/>
      <c r="T32" s="10"/>
      <c r="X32" s="10"/>
      <c r="Y32" s="10"/>
      <c r="AC32" s="10"/>
      <c r="AD32" s="10"/>
      <c r="AH32" s="10"/>
      <c r="AI32" s="10"/>
      <c r="AM32" s="10"/>
      <c r="AN32" s="10"/>
      <c r="AR32" s="10"/>
      <c r="AS32" s="10"/>
      <c r="AW32" s="10"/>
      <c r="AX32" s="10"/>
      <c r="BB32" s="10"/>
      <c r="BC32" s="10"/>
      <c r="BG32" s="10"/>
      <c r="BH32" s="10"/>
      <c r="BL32" s="10"/>
      <c r="BM32" s="10"/>
      <c r="BQ32" s="10"/>
      <c r="BR32" s="10"/>
      <c r="BV32" s="10"/>
      <c r="BW32" s="10"/>
      <c r="CA32" s="10"/>
      <c r="CB32" s="10"/>
      <c r="CF32" s="10"/>
      <c r="CG32" s="10"/>
      <c r="CK32" s="10"/>
      <c r="CL32" s="10"/>
      <c r="CP32" s="10"/>
      <c r="CQ32" s="10"/>
      <c r="CU32" s="10"/>
      <c r="CV32" s="10"/>
      <c r="CZ32" s="10"/>
      <c r="DA32" s="10"/>
      <c r="DE32" s="10"/>
      <c r="DF32" s="10"/>
    </row>
    <row r="33" spans="2:110" s="3" customFormat="1">
      <c r="B33" s="11" t="str">
        <f t="shared" ca="1" si="0"/>
        <v>Getränkemarkt</v>
      </c>
      <c r="C33" s="2">
        <f t="shared" si="1"/>
        <v>6</v>
      </c>
      <c r="D33" s="10"/>
      <c r="E33" s="10"/>
      <c r="I33" s="10"/>
      <c r="J33" s="10"/>
      <c r="N33" s="10"/>
      <c r="O33" s="10"/>
      <c r="S33" s="10"/>
      <c r="T33" s="10"/>
      <c r="X33" s="10"/>
      <c r="Y33" s="10"/>
      <c r="AC33" s="10"/>
      <c r="AD33" s="10"/>
      <c r="AH33" s="10"/>
      <c r="AI33" s="10"/>
      <c r="AM33" s="10"/>
      <c r="AN33" s="10"/>
      <c r="AR33" s="10"/>
      <c r="AS33" s="10"/>
      <c r="AW33" s="10"/>
      <c r="AX33" s="10"/>
      <c r="BB33" s="10"/>
      <c r="BC33" s="10"/>
      <c r="BG33" s="10"/>
      <c r="BH33" s="10"/>
      <c r="BL33" s="10"/>
      <c r="BM33" s="10"/>
      <c r="BQ33" s="10"/>
      <c r="BR33" s="10"/>
      <c r="BV33" s="10"/>
      <c r="BW33" s="10"/>
      <c r="CA33" s="10"/>
      <c r="CB33" s="10"/>
      <c r="CF33" s="10"/>
      <c r="CG33" s="10"/>
      <c r="CK33" s="10"/>
      <c r="CL33" s="10"/>
      <c r="CP33" s="10"/>
      <c r="CQ33" s="10"/>
      <c r="CU33" s="10"/>
      <c r="CV33" s="10"/>
      <c r="CZ33" s="10"/>
      <c r="DA33" s="10"/>
      <c r="DE33" s="10"/>
      <c r="DF33" s="10"/>
    </row>
    <row r="34" spans="2:110" s="3" customFormat="1">
      <c r="B34" s="11" t="str">
        <f t="shared" ca="1" si="0"/>
        <v>Möbelmarkt</v>
      </c>
      <c r="C34" s="2">
        <f t="shared" si="1"/>
        <v>7</v>
      </c>
      <c r="D34" s="10"/>
      <c r="E34" s="10"/>
      <c r="I34" s="10"/>
      <c r="J34" s="10"/>
      <c r="N34" s="10"/>
      <c r="O34" s="10"/>
      <c r="S34" s="10"/>
      <c r="T34" s="10"/>
      <c r="X34" s="10"/>
      <c r="Y34" s="10"/>
      <c r="AC34" s="10"/>
      <c r="AD34" s="10"/>
      <c r="AH34" s="10"/>
      <c r="AI34" s="10"/>
      <c r="AM34" s="10"/>
      <c r="AN34" s="10"/>
      <c r="AR34" s="10"/>
      <c r="AS34" s="10"/>
      <c r="AW34" s="10"/>
      <c r="AX34" s="10"/>
      <c r="BB34" s="10"/>
      <c r="BC34" s="10"/>
      <c r="BG34" s="10"/>
      <c r="BH34" s="10"/>
      <c r="BL34" s="10"/>
      <c r="BM34" s="10"/>
      <c r="BQ34" s="10"/>
      <c r="BR34" s="10"/>
      <c r="BV34" s="10"/>
      <c r="BW34" s="10"/>
      <c r="CA34" s="10"/>
      <c r="CB34" s="10"/>
      <c r="CF34" s="10"/>
      <c r="CG34" s="10"/>
      <c r="CK34" s="10"/>
      <c r="CL34" s="10"/>
      <c r="CP34" s="10"/>
      <c r="CQ34" s="10"/>
      <c r="CU34" s="10"/>
      <c r="CV34" s="10"/>
      <c r="CZ34" s="10"/>
      <c r="DA34" s="10"/>
      <c r="DE34" s="10"/>
      <c r="DF34" s="10"/>
    </row>
    <row r="35" spans="2:110" s="3" customFormat="1">
      <c r="B35" s="11" t="str">
        <f t="shared" ca="1" si="0"/>
        <v>Logistikzentrum</v>
      </c>
      <c r="C35" s="2">
        <f t="shared" si="1"/>
        <v>8</v>
      </c>
      <c r="D35" s="10"/>
      <c r="E35" s="10"/>
      <c r="I35" s="10"/>
      <c r="J35" s="10"/>
      <c r="N35" s="10"/>
      <c r="O35" s="10"/>
      <c r="S35" s="10"/>
      <c r="T35" s="10"/>
      <c r="X35" s="10"/>
      <c r="Y35" s="10"/>
      <c r="AC35" s="10"/>
      <c r="AD35" s="10"/>
      <c r="AH35" s="10"/>
      <c r="AI35" s="10"/>
      <c r="AM35" s="10"/>
      <c r="AN35" s="10"/>
      <c r="AR35" s="10"/>
      <c r="AS35" s="10"/>
      <c r="AW35" s="10"/>
      <c r="AX35" s="10"/>
      <c r="BB35" s="10"/>
      <c r="BC35" s="10"/>
      <c r="BG35" s="10"/>
      <c r="BH35" s="10"/>
      <c r="BL35" s="10"/>
      <c r="BM35" s="10"/>
      <c r="BQ35" s="10"/>
      <c r="BR35" s="10"/>
      <c r="BV35" s="10"/>
      <c r="BW35" s="10"/>
      <c r="CA35" s="10"/>
      <c r="CB35" s="10"/>
      <c r="CF35" s="10"/>
      <c r="CG35" s="10"/>
      <c r="CK35" s="10"/>
      <c r="CL35" s="10"/>
      <c r="CP35" s="10"/>
      <c r="CQ35" s="10"/>
      <c r="CU35" s="10"/>
      <c r="CV35" s="10"/>
      <c r="CZ35" s="10"/>
      <c r="DA35" s="10"/>
      <c r="DE35" s="10"/>
      <c r="DF35" s="10"/>
    </row>
    <row r="36" spans="2:110" s="3" customFormat="1">
      <c r="B36" s="11" t="str">
        <f t="shared" ca="1" si="0"/>
        <v>Baumarkt</v>
      </c>
      <c r="C36" s="2">
        <f t="shared" si="1"/>
        <v>9</v>
      </c>
      <c r="D36" s="10"/>
      <c r="E36" s="10"/>
      <c r="I36" s="10"/>
      <c r="J36" s="10"/>
      <c r="N36" s="10"/>
      <c r="O36" s="10"/>
      <c r="S36" s="10"/>
      <c r="T36" s="10"/>
      <c r="X36" s="10"/>
      <c r="Y36" s="10"/>
      <c r="AC36" s="10"/>
      <c r="AD36" s="10"/>
      <c r="AH36" s="10"/>
      <c r="AI36" s="10"/>
      <c r="AM36" s="10"/>
      <c r="AN36" s="10"/>
      <c r="AR36" s="10"/>
      <c r="AS36" s="10"/>
      <c r="AW36" s="10"/>
      <c r="AX36" s="10"/>
      <c r="BB36" s="10"/>
      <c r="BC36" s="10"/>
      <c r="BG36" s="10"/>
      <c r="BH36" s="10"/>
      <c r="BL36" s="10"/>
      <c r="BM36" s="10"/>
      <c r="BQ36" s="10"/>
      <c r="BR36" s="10"/>
      <c r="BV36" s="10"/>
      <c r="BW36" s="10"/>
      <c r="CA36" s="10"/>
      <c r="CB36" s="10"/>
      <c r="CF36" s="10"/>
      <c r="CG36" s="10"/>
      <c r="CK36" s="10"/>
      <c r="CL36" s="10"/>
      <c r="CP36" s="10"/>
      <c r="CQ36" s="10"/>
      <c r="CU36" s="10"/>
      <c r="CV36" s="10"/>
      <c r="CZ36" s="10"/>
      <c r="DA36" s="10"/>
      <c r="DE36" s="10"/>
      <c r="DF36" s="10"/>
    </row>
    <row r="37" spans="2:110" s="3" customFormat="1">
      <c r="B37" s="11" t="str">
        <f t="shared" ca="1" si="0"/>
        <v>Handwerksbetrieb</v>
      </c>
      <c r="C37" s="2">
        <f t="shared" si="1"/>
        <v>10</v>
      </c>
      <c r="D37" s="10"/>
      <c r="E37" s="10"/>
      <c r="I37" s="10"/>
      <c r="J37" s="10"/>
      <c r="N37" s="10"/>
      <c r="O37" s="10"/>
      <c r="S37" s="10"/>
      <c r="T37" s="10"/>
      <c r="X37" s="10"/>
      <c r="Y37" s="10"/>
      <c r="AC37" s="10"/>
      <c r="AD37" s="10"/>
      <c r="AH37" s="10"/>
      <c r="AI37" s="10"/>
      <c r="AM37" s="10"/>
      <c r="AN37" s="10"/>
      <c r="AR37" s="10"/>
      <c r="AS37" s="10"/>
      <c r="AW37" s="10"/>
      <c r="AX37" s="10"/>
      <c r="BB37" s="10"/>
      <c r="BC37" s="10"/>
      <c r="BG37" s="10"/>
      <c r="BH37" s="10"/>
      <c r="BL37" s="10"/>
      <c r="BM37" s="10"/>
      <c r="BQ37" s="10"/>
      <c r="BR37" s="10"/>
      <c r="BV37" s="10"/>
      <c r="BW37" s="10"/>
      <c r="CA37" s="10"/>
      <c r="CB37" s="10"/>
      <c r="CF37" s="10"/>
      <c r="CG37" s="10"/>
      <c r="CK37" s="10"/>
      <c r="CL37" s="10"/>
      <c r="CP37" s="10"/>
      <c r="CQ37" s="10"/>
      <c r="CU37" s="10"/>
      <c r="CV37" s="10"/>
      <c r="CZ37" s="10"/>
      <c r="DA37" s="10"/>
      <c r="DE37" s="10"/>
      <c r="DF37" s="10"/>
    </row>
    <row r="38" spans="2:110" s="3" customFormat="1">
      <c r="B38" s="11" t="str">
        <f t="shared" ca="1" si="0"/>
        <v>Autohaus</v>
      </c>
      <c r="C38" s="2">
        <f t="shared" si="1"/>
        <v>11</v>
      </c>
      <c r="D38" s="10"/>
      <c r="E38" s="10"/>
      <c r="I38" s="10"/>
      <c r="J38" s="10"/>
      <c r="N38" s="10"/>
      <c r="O38" s="10"/>
      <c r="S38" s="10"/>
      <c r="T38" s="10"/>
      <c r="X38" s="10"/>
      <c r="Y38" s="10"/>
      <c r="AC38" s="10"/>
      <c r="AD38" s="10"/>
      <c r="AH38" s="10"/>
      <c r="AI38" s="10"/>
      <c r="AM38" s="10"/>
      <c r="AN38" s="10"/>
      <c r="AR38" s="10"/>
      <c r="AS38" s="10"/>
      <c r="AW38" s="10"/>
      <c r="AX38" s="10"/>
      <c r="BB38" s="10"/>
      <c r="BC38" s="10"/>
      <c r="BG38" s="10"/>
      <c r="BH38" s="10"/>
      <c r="BL38" s="10"/>
      <c r="BM38" s="10"/>
      <c r="BQ38" s="10"/>
      <c r="BR38" s="10"/>
      <c r="BV38" s="10"/>
      <c r="BW38" s="10"/>
      <c r="CA38" s="10"/>
      <c r="CB38" s="10"/>
      <c r="CF38" s="10"/>
      <c r="CG38" s="10"/>
      <c r="CK38" s="10"/>
      <c r="CL38" s="10"/>
      <c r="CP38" s="10"/>
      <c r="CQ38" s="10"/>
      <c r="CU38" s="10"/>
      <c r="CV38" s="10"/>
      <c r="CZ38" s="10"/>
      <c r="DA38" s="10"/>
      <c r="DE38" s="10"/>
      <c r="DF38" s="10"/>
    </row>
    <row r="39" spans="2:110" s="3" customFormat="1">
      <c r="B39" s="11" t="str">
        <f t="shared" ca="1" si="0"/>
        <v>Produktionsbetrieb</v>
      </c>
      <c r="C39" s="2">
        <f t="shared" si="1"/>
        <v>12</v>
      </c>
      <c r="D39" s="10"/>
      <c r="E39" s="10"/>
      <c r="I39" s="10"/>
      <c r="J39" s="10"/>
      <c r="N39" s="10"/>
      <c r="O39" s="10"/>
      <c r="S39" s="10"/>
      <c r="T39" s="10"/>
      <c r="X39" s="10"/>
      <c r="Y39" s="10"/>
      <c r="AC39" s="10"/>
      <c r="AD39" s="10"/>
      <c r="AH39" s="10"/>
      <c r="AI39" s="10"/>
      <c r="AM39" s="10"/>
      <c r="AN39" s="10"/>
      <c r="AR39" s="10"/>
      <c r="AS39" s="10"/>
      <c r="AW39" s="10"/>
      <c r="AX39" s="10"/>
      <c r="BB39" s="10"/>
      <c r="BC39" s="10"/>
      <c r="BG39" s="10"/>
      <c r="BH39" s="10"/>
      <c r="BL39" s="10"/>
      <c r="BM39" s="10"/>
      <c r="BQ39" s="10"/>
      <c r="BR39" s="10"/>
      <c r="BV39" s="10"/>
      <c r="BW39" s="10"/>
      <c r="CA39" s="10"/>
      <c r="CB39" s="10"/>
      <c r="CF39" s="10"/>
      <c r="CG39" s="10"/>
      <c r="CK39" s="10"/>
      <c r="CL39" s="10"/>
      <c r="CP39" s="10"/>
      <c r="CQ39" s="10"/>
      <c r="CU39" s="10"/>
      <c r="CV39" s="10"/>
      <c r="CZ39" s="10"/>
      <c r="DA39" s="10"/>
      <c r="DE39" s="10"/>
      <c r="DF39" s="10"/>
    </row>
    <row r="40" spans="2:110" s="3" customFormat="1">
      <c r="B40" s="11" t="str">
        <f t="shared" ca="1" si="0"/>
        <v>Lagerhaus</v>
      </c>
      <c r="C40" s="2">
        <f t="shared" si="1"/>
        <v>13</v>
      </c>
      <c r="D40" s="10"/>
      <c r="E40" s="10"/>
      <c r="I40" s="10"/>
      <c r="J40" s="10"/>
      <c r="N40" s="10"/>
      <c r="O40" s="10"/>
      <c r="S40" s="10"/>
      <c r="T40" s="10"/>
      <c r="X40" s="10"/>
      <c r="Y40" s="10"/>
      <c r="AC40" s="10"/>
      <c r="AD40" s="10"/>
      <c r="AH40" s="10"/>
      <c r="AI40" s="10"/>
      <c r="AM40" s="10"/>
      <c r="AN40" s="10"/>
      <c r="AR40" s="10"/>
      <c r="AS40" s="10"/>
      <c r="AW40" s="10"/>
      <c r="AX40" s="10"/>
      <c r="BB40" s="10"/>
      <c r="BC40" s="10"/>
      <c r="BG40" s="10"/>
      <c r="BH40" s="10"/>
      <c r="BL40" s="10"/>
      <c r="BM40" s="10"/>
      <c r="BQ40" s="10"/>
      <c r="BR40" s="10"/>
      <c r="BV40" s="10"/>
      <c r="BW40" s="10"/>
      <c r="CA40" s="10"/>
      <c r="CB40" s="10"/>
      <c r="CF40" s="10"/>
      <c r="CG40" s="10"/>
      <c r="CK40" s="10"/>
      <c r="CL40" s="10"/>
      <c r="CP40" s="10"/>
      <c r="CQ40" s="10"/>
      <c r="CU40" s="10"/>
      <c r="CV40" s="10"/>
      <c r="CZ40" s="10"/>
      <c r="DA40" s="10"/>
      <c r="DE40" s="10"/>
      <c r="DF40" s="10"/>
    </row>
    <row r="41" spans="2:110" s="3" customFormat="1">
      <c r="B41" s="11" t="str">
        <f t="shared" ca="1" si="0"/>
        <v>Dienstleistungsbetrieb</v>
      </c>
      <c r="C41" s="2">
        <f t="shared" ref="C41:C57" si="2">C40+1</f>
        <v>14</v>
      </c>
      <c r="D41" s="10"/>
      <c r="E41" s="10"/>
      <c r="I41" s="10"/>
      <c r="J41" s="10"/>
      <c r="N41" s="10"/>
      <c r="O41" s="10"/>
      <c r="S41" s="10"/>
      <c r="T41" s="10"/>
      <c r="X41" s="10"/>
      <c r="Y41" s="10"/>
      <c r="AC41" s="10"/>
      <c r="AD41" s="10"/>
      <c r="AH41" s="10"/>
      <c r="AI41" s="10"/>
      <c r="AM41" s="10"/>
      <c r="AN41" s="10"/>
      <c r="AR41" s="10"/>
      <c r="AS41" s="10"/>
      <c r="AW41" s="10"/>
      <c r="AX41" s="10"/>
      <c r="BB41" s="10"/>
      <c r="BC41" s="10"/>
      <c r="BG41" s="10"/>
      <c r="BH41" s="10"/>
      <c r="BL41" s="10"/>
      <c r="BM41" s="10"/>
      <c r="BQ41" s="10"/>
      <c r="BR41" s="10"/>
      <c r="BV41" s="10"/>
      <c r="BW41" s="10"/>
      <c r="CA41" s="10"/>
      <c r="CB41" s="10"/>
      <c r="CF41" s="10"/>
      <c r="CG41" s="10"/>
      <c r="CK41" s="10"/>
      <c r="CL41" s="10"/>
      <c r="CP41" s="10"/>
      <c r="CQ41" s="10"/>
      <c r="CU41" s="10"/>
      <c r="CV41" s="10"/>
      <c r="CZ41" s="10"/>
      <c r="DA41" s="10"/>
      <c r="DE41" s="10"/>
      <c r="DF41" s="10"/>
    </row>
    <row r="42" spans="2:110" s="3" customFormat="1">
      <c r="B42" s="11" t="str">
        <f t="shared" ca="1" si="0"/>
        <v>Fitnesscenter</v>
      </c>
      <c r="C42" s="2">
        <f t="shared" si="2"/>
        <v>15</v>
      </c>
      <c r="D42" s="10"/>
      <c r="E42" s="10"/>
      <c r="I42" s="10"/>
      <c r="J42" s="10"/>
      <c r="N42" s="10"/>
      <c r="O42" s="10"/>
      <c r="S42" s="10"/>
      <c r="T42" s="10"/>
      <c r="X42" s="10"/>
      <c r="Y42" s="10"/>
      <c r="AC42" s="10"/>
      <c r="AD42" s="10"/>
      <c r="AH42" s="10"/>
      <c r="AI42" s="10"/>
      <c r="AM42" s="10"/>
      <c r="AN42" s="10"/>
      <c r="AR42" s="10"/>
      <c r="AS42" s="10"/>
      <c r="AW42" s="10"/>
      <c r="AX42" s="10"/>
      <c r="BB42" s="10"/>
      <c r="BC42" s="10"/>
      <c r="BG42" s="10"/>
      <c r="BH42" s="10"/>
      <c r="BL42" s="10"/>
      <c r="BM42" s="10"/>
      <c r="BQ42" s="10"/>
      <c r="BR42" s="10"/>
      <c r="BV42" s="10"/>
      <c r="BW42" s="10"/>
      <c r="CA42" s="10"/>
      <c r="CB42" s="10"/>
      <c r="CF42" s="10"/>
      <c r="CG42" s="10"/>
      <c r="CK42" s="10"/>
      <c r="CL42" s="10"/>
      <c r="CP42" s="10"/>
      <c r="CQ42" s="10"/>
      <c r="CU42" s="10"/>
      <c r="CV42" s="10"/>
      <c r="CZ42" s="10"/>
      <c r="DA42" s="10"/>
      <c r="DE42" s="10"/>
      <c r="DF42" s="10"/>
    </row>
    <row r="43" spans="2:110" s="3" customFormat="1">
      <c r="B43" s="11" t="str">
        <f t="shared" ca="1" si="0"/>
        <v>Sport und Freizeit</v>
      </c>
      <c r="C43" s="2">
        <f t="shared" si="2"/>
        <v>16</v>
      </c>
      <c r="D43" s="10"/>
      <c r="E43" s="10"/>
      <c r="I43" s="10"/>
      <c r="J43" s="10"/>
      <c r="N43" s="10"/>
      <c r="O43" s="10"/>
      <c r="S43" s="10"/>
      <c r="T43" s="10"/>
      <c r="X43" s="10"/>
      <c r="Y43" s="10"/>
      <c r="AC43" s="10"/>
      <c r="AD43" s="10"/>
      <c r="AH43" s="10"/>
      <c r="AI43" s="10"/>
      <c r="AM43" s="10"/>
      <c r="AN43" s="10"/>
      <c r="AR43" s="10"/>
      <c r="AS43" s="10"/>
      <c r="AW43" s="10"/>
      <c r="AX43" s="10"/>
      <c r="BB43" s="10"/>
      <c r="BC43" s="10"/>
      <c r="BG43" s="10"/>
      <c r="BH43" s="10"/>
      <c r="BL43" s="10"/>
      <c r="BM43" s="10"/>
      <c r="BQ43" s="10"/>
      <c r="BR43" s="10"/>
      <c r="BV43" s="10"/>
      <c r="BW43" s="10"/>
      <c r="CA43" s="10"/>
      <c r="CB43" s="10"/>
      <c r="CF43" s="10"/>
      <c r="CG43" s="10"/>
      <c r="CK43" s="10"/>
      <c r="CL43" s="10"/>
      <c r="CP43" s="10"/>
      <c r="CQ43" s="10"/>
      <c r="CU43" s="10"/>
      <c r="CV43" s="10"/>
      <c r="CZ43" s="10"/>
      <c r="DA43" s="10"/>
      <c r="DE43" s="10"/>
      <c r="DF43" s="10"/>
    </row>
    <row r="44" spans="2:110" s="3" customFormat="1">
      <c r="B44" s="11" t="str">
        <f t="shared" ca="1" si="0"/>
        <v>Fastfood</v>
      </c>
      <c r="C44" s="2">
        <f t="shared" si="2"/>
        <v>17</v>
      </c>
      <c r="D44" s="10"/>
      <c r="E44" s="10"/>
      <c r="I44" s="10"/>
      <c r="J44" s="10"/>
      <c r="N44" s="10"/>
      <c r="O44" s="10"/>
      <c r="S44" s="10"/>
      <c r="T44" s="10"/>
      <c r="X44" s="10"/>
      <c r="Y44" s="10"/>
      <c r="AC44" s="10"/>
      <c r="AD44" s="10"/>
      <c r="AH44" s="10"/>
      <c r="AI44" s="10"/>
      <c r="AM44" s="10"/>
      <c r="AN44" s="10"/>
      <c r="AR44" s="10"/>
      <c r="AS44" s="10"/>
      <c r="AW44" s="10"/>
      <c r="AX44" s="10"/>
      <c r="BB44" s="10"/>
      <c r="BC44" s="10"/>
      <c r="BG44" s="10"/>
      <c r="BH44" s="10"/>
      <c r="BL44" s="10"/>
      <c r="BM44" s="10"/>
      <c r="BQ44" s="10"/>
      <c r="BR44" s="10"/>
      <c r="BV44" s="10"/>
      <c r="BW44" s="10"/>
      <c r="CA44" s="10"/>
      <c r="CB44" s="10"/>
      <c r="CF44" s="10"/>
      <c r="CG44" s="10"/>
      <c r="CK44" s="10"/>
      <c r="CL44" s="10"/>
      <c r="CP44" s="10"/>
      <c r="CQ44" s="10"/>
      <c r="CU44" s="10"/>
      <c r="CV44" s="10"/>
      <c r="CZ44" s="10"/>
      <c r="DA44" s="10"/>
      <c r="DE44" s="10"/>
      <c r="DF44" s="10"/>
    </row>
    <row r="45" spans="2:110" s="3" customFormat="1">
      <c r="B45" s="11" t="str">
        <f t="shared" ca="1" si="0"/>
        <v>Restaurant</v>
      </c>
      <c r="C45" s="2">
        <f t="shared" si="2"/>
        <v>18</v>
      </c>
      <c r="D45" s="10"/>
      <c r="E45" s="10"/>
      <c r="I45" s="10"/>
      <c r="J45" s="10"/>
      <c r="N45" s="10"/>
      <c r="O45" s="10"/>
      <c r="S45" s="10"/>
      <c r="T45" s="10"/>
      <c r="X45" s="10"/>
      <c r="Y45" s="10"/>
      <c r="AC45" s="10"/>
      <c r="AD45" s="10"/>
      <c r="AH45" s="10"/>
      <c r="AI45" s="10"/>
      <c r="AM45" s="10"/>
      <c r="AN45" s="10"/>
      <c r="AR45" s="10"/>
      <c r="AS45" s="10"/>
      <c r="AW45" s="10"/>
      <c r="AX45" s="10"/>
      <c r="BB45" s="10"/>
      <c r="BC45" s="10"/>
      <c r="BG45" s="10"/>
      <c r="BH45" s="10"/>
      <c r="BL45" s="10"/>
      <c r="BM45" s="10"/>
      <c r="BQ45" s="10"/>
      <c r="BR45" s="10"/>
      <c r="BV45" s="10"/>
      <c r="BW45" s="10"/>
      <c r="CA45" s="10"/>
      <c r="CB45" s="10"/>
      <c r="CF45" s="10"/>
      <c r="CG45" s="10"/>
      <c r="CK45" s="10"/>
      <c r="CL45" s="10"/>
      <c r="CP45" s="10"/>
      <c r="CQ45" s="10"/>
      <c r="CU45" s="10"/>
      <c r="CV45" s="10"/>
      <c r="CZ45" s="10"/>
      <c r="DA45" s="10"/>
      <c r="DE45" s="10"/>
      <c r="DF45" s="10"/>
    </row>
    <row r="46" spans="2:110" s="3" customFormat="1">
      <c r="B46" s="11" t="str">
        <f t="shared" ca="1" si="0"/>
        <v>Hotel</v>
      </c>
      <c r="C46" s="2">
        <f t="shared" si="2"/>
        <v>19</v>
      </c>
      <c r="D46" s="10"/>
      <c r="E46" s="10"/>
      <c r="I46" s="10"/>
      <c r="J46" s="10"/>
      <c r="N46" s="10"/>
      <c r="O46" s="10"/>
      <c r="S46" s="10"/>
      <c r="T46" s="10"/>
      <c r="X46" s="10"/>
      <c r="Y46" s="10"/>
      <c r="AC46" s="10"/>
      <c r="AD46" s="10"/>
      <c r="AH46" s="10"/>
      <c r="AI46" s="10"/>
      <c r="AM46" s="10"/>
      <c r="AN46" s="10"/>
      <c r="AR46" s="10"/>
      <c r="AS46" s="10"/>
      <c r="AW46" s="10"/>
      <c r="AX46" s="10"/>
      <c r="BB46" s="10"/>
      <c r="BC46" s="10"/>
      <c r="BG46" s="10"/>
      <c r="BH46" s="10"/>
      <c r="BL46" s="10"/>
      <c r="BM46" s="10"/>
      <c r="BQ46" s="10"/>
      <c r="BR46" s="10"/>
      <c r="BV46" s="10"/>
      <c r="BW46" s="10"/>
      <c r="CA46" s="10"/>
      <c r="CB46" s="10"/>
      <c r="CF46" s="10"/>
      <c r="CG46" s="10"/>
      <c r="CK46" s="10"/>
      <c r="CL46" s="10"/>
      <c r="CP46" s="10"/>
      <c r="CQ46" s="10"/>
      <c r="CU46" s="10"/>
      <c r="CV46" s="10"/>
      <c r="CZ46" s="10"/>
      <c r="DA46" s="10"/>
      <c r="DE46" s="10"/>
      <c r="DF46" s="10"/>
    </row>
    <row r="47" spans="2:110" s="3" customFormat="1">
      <c r="B47" s="11" t="str">
        <f ca="1">INDIRECT(ADDRESS(ROW($C$3),COLUMN($C$3)+(C46*5)))</f>
        <v>Tankstelle</v>
      </c>
      <c r="C47" s="2">
        <f t="shared" si="2"/>
        <v>20</v>
      </c>
      <c r="D47" s="10"/>
      <c r="E47" s="10"/>
      <c r="I47" s="10"/>
      <c r="J47" s="10"/>
      <c r="N47" s="10"/>
      <c r="O47" s="10"/>
      <c r="S47" s="10"/>
      <c r="T47" s="10"/>
      <c r="X47" s="10"/>
      <c r="Y47" s="10"/>
      <c r="AC47" s="10"/>
      <c r="AD47" s="10"/>
      <c r="AH47" s="10"/>
      <c r="AI47" s="10"/>
      <c r="AM47" s="10"/>
      <c r="AN47" s="10"/>
      <c r="AR47" s="10"/>
      <c r="AS47" s="10"/>
      <c r="AW47" s="10"/>
      <c r="AX47" s="10"/>
      <c r="BB47" s="10"/>
      <c r="BC47" s="10"/>
      <c r="BG47" s="10"/>
      <c r="BH47" s="10"/>
      <c r="BL47" s="10"/>
      <c r="BM47" s="10"/>
      <c r="BQ47" s="10"/>
      <c r="BR47" s="10"/>
      <c r="BV47" s="10"/>
      <c r="BW47" s="10"/>
      <c r="CA47" s="10"/>
      <c r="CB47" s="10"/>
      <c r="CF47" s="10"/>
      <c r="CG47" s="10"/>
      <c r="CK47" s="10"/>
      <c r="CL47" s="10"/>
      <c r="CP47" s="10"/>
      <c r="CQ47" s="10"/>
      <c r="CU47" s="10"/>
      <c r="CV47" s="10"/>
      <c r="CZ47" s="10"/>
      <c r="DA47" s="10"/>
      <c r="DE47" s="10"/>
      <c r="DF47" s="10"/>
    </row>
    <row r="48" spans="2:110" s="3" customFormat="1">
      <c r="B48" s="11" t="str">
        <f ca="1">INDIRECT(ADDRESS(ROW($C$3),COLUMN($C$3)+(C47*5)))</f>
        <v>Wohnen</v>
      </c>
      <c r="C48" s="2">
        <f t="shared" si="2"/>
        <v>21</v>
      </c>
      <c r="D48" s="10"/>
      <c r="E48" s="10"/>
      <c r="I48" s="10"/>
      <c r="J48" s="10"/>
      <c r="N48" s="10"/>
      <c r="O48" s="10"/>
      <c r="S48" s="10"/>
      <c r="T48" s="10"/>
      <c r="X48" s="10"/>
      <c r="Y48" s="10"/>
      <c r="AC48" s="10"/>
      <c r="AD48" s="10"/>
      <c r="AH48" s="10"/>
      <c r="AI48" s="10"/>
      <c r="AM48" s="10"/>
      <c r="AN48" s="10"/>
      <c r="AR48" s="10"/>
      <c r="AS48" s="10"/>
      <c r="AW48" s="10"/>
      <c r="AX48" s="10"/>
      <c r="BB48" s="10"/>
      <c r="BC48" s="10"/>
      <c r="BG48" s="10"/>
      <c r="BH48" s="10"/>
      <c r="BL48" s="10"/>
      <c r="BM48" s="10"/>
      <c r="BQ48" s="10"/>
      <c r="BR48" s="10"/>
      <c r="BV48" s="10"/>
      <c r="BW48" s="10"/>
      <c r="CA48" s="10"/>
      <c r="CB48" s="10"/>
      <c r="CF48" s="10"/>
      <c r="CG48" s="10"/>
      <c r="CK48" s="10"/>
      <c r="CL48" s="10"/>
      <c r="CP48" s="10"/>
      <c r="CQ48" s="10"/>
      <c r="CU48" s="10"/>
      <c r="CV48" s="10"/>
      <c r="CZ48" s="10"/>
      <c r="DA48" s="10"/>
      <c r="DE48" s="10"/>
      <c r="DF48" s="10"/>
    </row>
    <row r="49" spans="2:110" s="3" customFormat="1">
      <c r="B49" s="11" t="str">
        <f t="shared" ca="1" si="0"/>
        <v>Wohnen (in ha)</v>
      </c>
      <c r="C49" s="2">
        <f t="shared" si="2"/>
        <v>22</v>
      </c>
      <c r="D49" s="10"/>
      <c r="E49" s="10"/>
      <c r="I49" s="10"/>
      <c r="J49" s="10"/>
      <c r="N49" s="10"/>
      <c r="O49" s="10"/>
      <c r="S49" s="10"/>
      <c r="T49" s="10"/>
      <c r="X49" s="10"/>
      <c r="Y49" s="10"/>
      <c r="AC49" s="10"/>
      <c r="AD49" s="10"/>
      <c r="AH49" s="10"/>
      <c r="AI49" s="10"/>
      <c r="AM49" s="10"/>
      <c r="AN49" s="10"/>
      <c r="AR49" s="10"/>
      <c r="AS49" s="10"/>
      <c r="AW49" s="10"/>
      <c r="AX49" s="10"/>
      <c r="BB49" s="10"/>
      <c r="BC49" s="10"/>
      <c r="BG49" s="10"/>
      <c r="BH49" s="10"/>
      <c r="BL49" s="10"/>
      <c r="BM49" s="10"/>
      <c r="BQ49" s="10"/>
      <c r="BR49" s="10"/>
      <c r="BV49" s="10"/>
      <c r="BW49" s="10"/>
      <c r="CA49" s="10"/>
      <c r="CB49" s="10"/>
      <c r="CF49" s="10"/>
      <c r="CG49" s="10"/>
      <c r="CK49" s="10"/>
      <c r="CL49" s="10"/>
      <c r="CP49" s="10"/>
      <c r="CQ49" s="10"/>
      <c r="CU49" s="10"/>
      <c r="CV49" s="10"/>
      <c r="CZ49" s="10"/>
      <c r="DA49" s="10"/>
      <c r="DE49" s="10"/>
      <c r="DF49" s="10"/>
    </row>
    <row r="50" spans="2:110" s="3" customFormat="1">
      <c r="B50" s="11">
        <f t="shared" ca="1" si="0"/>
        <v>0</v>
      </c>
      <c r="C50" s="2">
        <f t="shared" si="2"/>
        <v>23</v>
      </c>
      <c r="D50" s="10"/>
      <c r="E50" s="10"/>
      <c r="I50" s="10"/>
      <c r="J50" s="10"/>
      <c r="N50" s="10"/>
      <c r="O50" s="10"/>
      <c r="S50" s="10"/>
      <c r="T50" s="10"/>
      <c r="X50" s="10"/>
      <c r="Y50" s="10"/>
      <c r="AC50" s="10"/>
      <c r="AD50" s="10"/>
      <c r="AH50" s="10"/>
      <c r="AI50" s="10"/>
      <c r="AM50" s="10"/>
      <c r="AN50" s="10"/>
      <c r="AR50" s="10"/>
      <c r="AS50" s="10"/>
      <c r="AW50" s="10"/>
      <c r="AX50" s="10"/>
      <c r="BB50" s="10"/>
      <c r="BC50" s="10"/>
      <c r="BG50" s="10"/>
      <c r="BH50" s="10"/>
      <c r="BL50" s="10"/>
      <c r="BM50" s="10"/>
      <c r="BQ50" s="10"/>
      <c r="BR50" s="10"/>
      <c r="BV50" s="10"/>
      <c r="BW50" s="10"/>
      <c r="CA50" s="10"/>
      <c r="CB50" s="10"/>
      <c r="CF50" s="10"/>
      <c r="CG50" s="10"/>
      <c r="CK50" s="10"/>
      <c r="CL50" s="10"/>
      <c r="CP50" s="10"/>
      <c r="CQ50" s="10"/>
      <c r="CU50" s="10"/>
      <c r="CV50" s="10"/>
      <c r="CZ50" s="10"/>
      <c r="DA50" s="10"/>
      <c r="DE50" s="10"/>
      <c r="DF50" s="10"/>
    </row>
    <row r="51" spans="2:110" s="3" customFormat="1">
      <c r="B51" s="11">
        <f t="shared" ca="1" si="0"/>
        <v>0</v>
      </c>
      <c r="C51" s="2">
        <f t="shared" si="2"/>
        <v>24</v>
      </c>
      <c r="D51" s="10"/>
      <c r="E51" s="10"/>
      <c r="I51" s="10"/>
      <c r="J51" s="10"/>
      <c r="N51" s="10"/>
      <c r="O51" s="10"/>
      <c r="S51" s="10"/>
      <c r="T51" s="10"/>
      <c r="X51" s="10"/>
      <c r="Y51" s="10"/>
      <c r="AC51" s="10"/>
      <c r="AD51" s="10"/>
      <c r="AH51" s="10"/>
      <c r="AI51" s="10"/>
      <c r="AM51" s="10"/>
      <c r="AN51" s="10"/>
      <c r="AR51" s="10"/>
      <c r="AS51" s="10"/>
      <c r="AW51" s="10"/>
      <c r="AX51" s="10"/>
      <c r="BB51" s="10"/>
      <c r="BC51" s="10"/>
      <c r="BG51" s="10"/>
      <c r="BH51" s="10"/>
      <c r="BL51" s="10"/>
      <c r="BM51" s="10"/>
      <c r="BQ51" s="10"/>
      <c r="BR51" s="10"/>
      <c r="BV51" s="10"/>
      <c r="BW51" s="10"/>
      <c r="CA51" s="10"/>
      <c r="CB51" s="10"/>
      <c r="CF51" s="10"/>
      <c r="CG51" s="10"/>
      <c r="CK51" s="10"/>
      <c r="CL51" s="10"/>
      <c r="CP51" s="10"/>
      <c r="CQ51" s="10"/>
      <c r="CU51" s="10"/>
      <c r="CV51" s="10"/>
      <c r="CZ51" s="10"/>
      <c r="DA51" s="10"/>
      <c r="DE51" s="10"/>
      <c r="DF51" s="10"/>
    </row>
    <row r="52" spans="2:110" s="3" customFormat="1">
      <c r="B52" s="11">
        <f t="shared" ca="1" si="0"/>
        <v>0</v>
      </c>
      <c r="C52" s="2">
        <f t="shared" si="2"/>
        <v>25</v>
      </c>
      <c r="D52" s="10"/>
      <c r="E52" s="10"/>
      <c r="I52" s="10"/>
      <c r="J52" s="10"/>
      <c r="N52" s="10"/>
      <c r="O52" s="10"/>
      <c r="S52" s="10"/>
      <c r="T52" s="10"/>
      <c r="X52" s="10"/>
      <c r="Y52" s="10"/>
      <c r="AC52" s="10"/>
      <c r="AD52" s="10"/>
      <c r="AH52" s="10"/>
      <c r="AI52" s="10"/>
      <c r="AM52" s="10"/>
      <c r="AN52" s="10"/>
      <c r="AR52" s="10"/>
      <c r="AS52" s="10"/>
      <c r="AW52" s="10"/>
      <c r="AX52" s="10"/>
      <c r="BB52" s="10"/>
      <c r="BC52" s="10"/>
      <c r="BG52" s="10"/>
      <c r="BH52" s="10"/>
      <c r="BL52" s="10"/>
      <c r="BM52" s="10"/>
      <c r="BQ52" s="10"/>
      <c r="BR52" s="10"/>
      <c r="BV52" s="10"/>
      <c r="BW52" s="10"/>
      <c r="CA52" s="10"/>
      <c r="CB52" s="10"/>
      <c r="CF52" s="10"/>
      <c r="CG52" s="10"/>
      <c r="CK52" s="10"/>
      <c r="CL52" s="10"/>
      <c r="CP52" s="10"/>
      <c r="CQ52" s="10"/>
      <c r="CU52" s="10"/>
      <c r="CV52" s="10"/>
      <c r="CZ52" s="10"/>
      <c r="DA52" s="10"/>
      <c r="DE52" s="10"/>
      <c r="DF52" s="10"/>
    </row>
    <row r="53" spans="2:110" s="3" customFormat="1">
      <c r="B53" s="11">
        <f t="shared" ca="1" si="0"/>
        <v>0</v>
      </c>
      <c r="C53" s="2">
        <f t="shared" si="2"/>
        <v>26</v>
      </c>
      <c r="D53" s="10"/>
      <c r="E53" s="10"/>
      <c r="I53" s="10"/>
      <c r="J53" s="10"/>
      <c r="N53" s="10"/>
      <c r="O53" s="10"/>
      <c r="S53" s="10"/>
      <c r="T53" s="10"/>
      <c r="X53" s="10"/>
      <c r="Y53" s="10"/>
      <c r="AC53" s="10"/>
      <c r="AD53" s="10"/>
      <c r="AH53" s="10"/>
      <c r="AI53" s="10"/>
      <c r="AM53" s="10"/>
      <c r="AN53" s="10"/>
      <c r="AR53" s="10"/>
      <c r="AS53" s="10"/>
      <c r="AW53" s="10"/>
      <c r="AX53" s="10"/>
      <c r="BB53" s="10"/>
      <c r="BC53" s="10"/>
      <c r="BG53" s="10"/>
      <c r="BH53" s="10"/>
      <c r="BL53" s="10"/>
      <c r="BM53" s="10"/>
      <c r="BQ53" s="10"/>
      <c r="BR53" s="10"/>
      <c r="BV53" s="10"/>
      <c r="BW53" s="10"/>
      <c r="CA53" s="10"/>
      <c r="CB53" s="10"/>
      <c r="CF53" s="10"/>
      <c r="CG53" s="10"/>
      <c r="CK53" s="10"/>
      <c r="CL53" s="10"/>
      <c r="CP53" s="10"/>
      <c r="CQ53" s="10"/>
      <c r="CU53" s="10"/>
      <c r="CV53" s="10"/>
      <c r="CZ53" s="10"/>
      <c r="DA53" s="10"/>
      <c r="DE53" s="10"/>
      <c r="DF53" s="10"/>
    </row>
    <row r="54" spans="2:110" s="3" customFormat="1">
      <c r="B54" s="11">
        <f t="shared" ca="1" si="0"/>
        <v>0</v>
      </c>
      <c r="C54" s="2">
        <f t="shared" si="2"/>
        <v>27</v>
      </c>
      <c r="D54" s="10"/>
      <c r="E54" s="10"/>
      <c r="I54" s="10"/>
      <c r="J54" s="10"/>
      <c r="N54" s="10"/>
      <c r="O54" s="10"/>
      <c r="S54" s="10"/>
      <c r="T54" s="10"/>
      <c r="X54" s="10"/>
      <c r="Y54" s="10"/>
      <c r="AC54" s="10"/>
      <c r="AD54" s="10"/>
      <c r="AH54" s="10"/>
      <c r="AI54" s="10"/>
      <c r="AM54" s="10"/>
      <c r="AN54" s="10"/>
      <c r="AR54" s="10"/>
      <c r="AS54" s="10"/>
      <c r="AW54" s="10"/>
      <c r="AX54" s="10"/>
      <c r="BB54" s="10"/>
      <c r="BC54" s="10"/>
      <c r="BG54" s="10"/>
      <c r="BH54" s="10"/>
      <c r="BL54" s="10"/>
      <c r="BM54" s="10"/>
      <c r="BQ54" s="10"/>
      <c r="BR54" s="10"/>
      <c r="BV54" s="10"/>
      <c r="BW54" s="10"/>
      <c r="CA54" s="10"/>
      <c r="CB54" s="10"/>
      <c r="CF54" s="10"/>
      <c r="CG54" s="10"/>
      <c r="CK54" s="10"/>
      <c r="CL54" s="10"/>
      <c r="CP54" s="10"/>
      <c r="CQ54" s="10"/>
      <c r="CU54" s="10"/>
      <c r="CV54" s="10"/>
      <c r="CZ54" s="10"/>
      <c r="DA54" s="10"/>
      <c r="DE54" s="10"/>
      <c r="DF54" s="10"/>
    </row>
    <row r="55" spans="2:110" s="3" customFormat="1">
      <c r="B55" s="11">
        <f t="shared" ca="1" si="0"/>
        <v>0</v>
      </c>
      <c r="C55" s="2">
        <f t="shared" si="2"/>
        <v>28</v>
      </c>
      <c r="D55" s="10"/>
      <c r="E55" s="10"/>
      <c r="I55" s="10"/>
      <c r="J55" s="10"/>
      <c r="N55" s="10"/>
      <c r="O55" s="10"/>
      <c r="S55" s="10"/>
      <c r="T55" s="10"/>
      <c r="X55" s="10"/>
      <c r="Y55" s="10"/>
      <c r="AC55" s="10"/>
      <c r="AD55" s="10"/>
      <c r="AH55" s="10"/>
      <c r="AI55" s="10"/>
      <c r="AM55" s="10"/>
      <c r="AN55" s="10"/>
      <c r="AR55" s="10"/>
      <c r="AS55" s="10"/>
      <c r="AW55" s="10"/>
      <c r="AX55" s="10"/>
      <c r="BB55" s="10"/>
      <c r="BC55" s="10"/>
      <c r="BG55" s="10"/>
      <c r="BH55" s="10"/>
      <c r="BL55" s="10"/>
      <c r="BM55" s="10"/>
      <c r="BQ55" s="10"/>
      <c r="BR55" s="10"/>
      <c r="BV55" s="10"/>
      <c r="BW55" s="10"/>
      <c r="CA55" s="10"/>
      <c r="CB55" s="10"/>
      <c r="CF55" s="10"/>
      <c r="CG55" s="10"/>
      <c r="CK55" s="10"/>
      <c r="CL55" s="10"/>
      <c r="CP55" s="10"/>
      <c r="CQ55" s="10"/>
      <c r="CU55" s="10"/>
      <c r="CV55" s="10"/>
      <c r="CZ55" s="10"/>
      <c r="DA55" s="10"/>
      <c r="DE55" s="10"/>
      <c r="DF55" s="10"/>
    </row>
    <row r="56" spans="2:110" s="3" customFormat="1">
      <c r="B56" s="11">
        <f t="shared" ca="1" si="0"/>
        <v>0</v>
      </c>
      <c r="C56" s="2">
        <f t="shared" si="2"/>
        <v>29</v>
      </c>
      <c r="D56" s="10"/>
      <c r="E56" s="10"/>
      <c r="I56" s="10"/>
      <c r="J56" s="10"/>
      <c r="N56" s="10"/>
      <c r="O56" s="10"/>
      <c r="S56" s="10"/>
      <c r="T56" s="10"/>
      <c r="X56" s="10"/>
      <c r="Y56" s="10"/>
      <c r="AC56" s="10"/>
      <c r="AD56" s="10"/>
      <c r="AH56" s="10"/>
      <c r="AI56" s="10"/>
      <c r="AM56" s="10"/>
      <c r="AN56" s="10"/>
      <c r="AR56" s="10"/>
      <c r="AS56" s="10"/>
      <c r="AW56" s="10"/>
      <c r="AX56" s="10"/>
      <c r="BB56" s="10"/>
      <c r="BC56" s="10"/>
      <c r="BG56" s="10"/>
      <c r="BH56" s="10"/>
      <c r="BL56" s="10"/>
      <c r="BM56" s="10"/>
      <c r="BQ56" s="10"/>
      <c r="BR56" s="10"/>
      <c r="BV56" s="10"/>
      <c r="BW56" s="10"/>
      <c r="CA56" s="10"/>
      <c r="CB56" s="10"/>
      <c r="CF56" s="10"/>
      <c r="CG56" s="10"/>
      <c r="CK56" s="10"/>
      <c r="CL56" s="10"/>
      <c r="CP56" s="10"/>
      <c r="CQ56" s="10"/>
      <c r="CU56" s="10"/>
      <c r="CV56" s="10"/>
      <c r="CZ56" s="10"/>
      <c r="DA56" s="10"/>
      <c r="DE56" s="10"/>
      <c r="DF56" s="10"/>
    </row>
    <row r="57" spans="2:110" s="3" customFormat="1">
      <c r="B57" s="11">
        <f t="shared" ca="1" si="0"/>
        <v>0</v>
      </c>
      <c r="C57" s="2">
        <f t="shared" si="2"/>
        <v>30</v>
      </c>
      <c r="D57" s="10"/>
      <c r="E57" s="10"/>
      <c r="I57" s="10"/>
      <c r="J57" s="10"/>
      <c r="N57" s="10"/>
      <c r="O57" s="10"/>
      <c r="S57" s="10"/>
      <c r="T57" s="10"/>
      <c r="X57" s="10"/>
      <c r="Y57" s="10"/>
      <c r="AC57" s="10"/>
      <c r="AD57" s="10"/>
      <c r="AH57" s="10"/>
      <c r="AI57" s="10"/>
      <c r="AM57" s="10"/>
      <c r="AN57" s="10"/>
      <c r="AR57" s="10"/>
      <c r="AS57" s="10"/>
      <c r="AW57" s="10"/>
      <c r="AX57" s="10"/>
      <c r="BB57" s="10"/>
      <c r="BC57" s="10"/>
      <c r="BG57" s="10"/>
      <c r="BH57" s="10"/>
      <c r="BL57" s="10"/>
      <c r="BM57" s="10"/>
      <c r="BQ57" s="10"/>
      <c r="BR57" s="10"/>
      <c r="BV57" s="10"/>
      <c r="BW57" s="10"/>
      <c r="CA57" s="10"/>
      <c r="CB57" s="10"/>
      <c r="CF57" s="10"/>
      <c r="CG57" s="10"/>
      <c r="CK57" s="10"/>
      <c r="CL57" s="10"/>
      <c r="CP57" s="10"/>
      <c r="CQ57" s="10"/>
      <c r="CU57" s="10"/>
      <c r="CV57" s="10"/>
      <c r="CZ57" s="10"/>
      <c r="DA57" s="10"/>
      <c r="DE57" s="10"/>
      <c r="DF57" s="10"/>
    </row>
    <row r="58" spans="2:110" s="3" customFormat="1">
      <c r="B58" s="11"/>
      <c r="C58" s="2"/>
      <c r="D58" s="10"/>
      <c r="E58" s="10"/>
      <c r="I58" s="10"/>
      <c r="J58" s="10"/>
      <c r="N58" s="10"/>
      <c r="O58" s="10"/>
      <c r="S58" s="10"/>
      <c r="T58" s="10"/>
      <c r="X58" s="10"/>
      <c r="Y58" s="10"/>
      <c r="AC58" s="10"/>
      <c r="AD58" s="10"/>
      <c r="AH58" s="10"/>
      <c r="AI58" s="10"/>
      <c r="AM58" s="10"/>
      <c r="AN58" s="10"/>
      <c r="AR58" s="10"/>
      <c r="AS58" s="10"/>
      <c r="AW58" s="10"/>
      <c r="AX58" s="10"/>
      <c r="BB58" s="10"/>
      <c r="BC58" s="10"/>
      <c r="BG58" s="10"/>
      <c r="BH58" s="10"/>
      <c r="BL58" s="10"/>
      <c r="BM58" s="10"/>
      <c r="BQ58" s="10"/>
      <c r="BR58" s="10"/>
      <c r="BV58" s="10"/>
      <c r="BW58" s="10"/>
      <c r="CA58" s="10"/>
      <c r="CB58" s="10"/>
      <c r="CF58" s="10"/>
      <c r="CG58" s="10"/>
      <c r="CK58" s="10"/>
      <c r="CL58" s="10"/>
      <c r="CP58" s="10"/>
      <c r="CQ58" s="10"/>
      <c r="CU58" s="10"/>
      <c r="CV58" s="10"/>
      <c r="CZ58" s="10"/>
      <c r="DA58" s="10"/>
      <c r="DE58" s="10"/>
      <c r="DF58" s="10"/>
    </row>
    <row r="59" spans="2:110" s="3" customFormat="1">
      <c r="B59" s="11"/>
      <c r="C59" s="2"/>
      <c r="D59" s="10"/>
      <c r="E59" s="10"/>
      <c r="I59" s="10"/>
      <c r="J59" s="10"/>
      <c r="N59" s="10"/>
      <c r="O59" s="10"/>
      <c r="S59" s="10"/>
      <c r="T59" s="10"/>
      <c r="X59" s="10"/>
      <c r="Y59" s="10"/>
      <c r="AC59" s="10"/>
      <c r="AD59" s="10"/>
      <c r="AH59" s="10"/>
      <c r="AI59" s="10"/>
      <c r="AM59" s="10"/>
      <c r="AN59" s="10"/>
      <c r="AR59" s="10"/>
      <c r="AS59" s="10"/>
      <c r="AW59" s="10"/>
      <c r="AX59" s="10"/>
      <c r="BB59" s="10"/>
      <c r="BC59" s="10"/>
      <c r="BG59" s="10"/>
      <c r="BH59" s="10"/>
      <c r="BL59" s="10"/>
      <c r="BM59" s="10"/>
      <c r="BQ59" s="10"/>
      <c r="BR59" s="10"/>
      <c r="BV59" s="10"/>
      <c r="BW59" s="10"/>
      <c r="CA59" s="10"/>
      <c r="CB59" s="10"/>
      <c r="CF59" s="10"/>
      <c r="CG59" s="10"/>
      <c r="CK59" s="10"/>
      <c r="CL59" s="10"/>
      <c r="CP59" s="10"/>
      <c r="CQ59" s="10"/>
      <c r="CU59" s="10"/>
      <c r="CV59" s="10"/>
      <c r="CZ59" s="10"/>
      <c r="DA59" s="10"/>
      <c r="DE59" s="10"/>
      <c r="DF59" s="10"/>
    </row>
    <row r="60" spans="2:110" s="3" customFormat="1">
      <c r="B60" s="11"/>
      <c r="C60" s="2"/>
      <c r="D60" s="10"/>
      <c r="E60" s="10"/>
      <c r="I60" s="10"/>
      <c r="J60" s="10"/>
      <c r="N60" s="10"/>
      <c r="O60" s="10"/>
      <c r="S60" s="10"/>
      <c r="T60" s="10"/>
      <c r="X60" s="10"/>
      <c r="Y60" s="10"/>
      <c r="AC60" s="10"/>
      <c r="AD60" s="10"/>
      <c r="AH60" s="10"/>
      <c r="AI60" s="10"/>
      <c r="AM60" s="10"/>
      <c r="AN60" s="10"/>
      <c r="AR60" s="10"/>
      <c r="AS60" s="10"/>
      <c r="AW60" s="10"/>
      <c r="AX60" s="10"/>
      <c r="BB60" s="10"/>
      <c r="BC60" s="10"/>
      <c r="BG60" s="10"/>
      <c r="BH60" s="10"/>
      <c r="BL60" s="10"/>
      <c r="BM60" s="10"/>
      <c r="BQ60" s="10"/>
      <c r="BR60" s="10"/>
      <c r="BV60" s="10"/>
      <c r="BW60" s="10"/>
      <c r="CA60" s="10"/>
      <c r="CB60" s="10"/>
      <c r="CF60" s="10"/>
      <c r="CG60" s="10"/>
      <c r="CK60" s="10"/>
      <c r="CL60" s="10"/>
      <c r="CP60" s="10"/>
      <c r="CQ60" s="10"/>
      <c r="CU60" s="10"/>
      <c r="CV60" s="10"/>
      <c r="CZ60" s="10"/>
      <c r="DA60" s="10"/>
      <c r="DE60" s="10"/>
      <c r="DF60" s="10"/>
    </row>
    <row r="61" spans="2:110" s="3" customFormat="1">
      <c r="B61" s="11"/>
      <c r="C61" s="2"/>
      <c r="D61" s="10"/>
      <c r="E61" s="10"/>
      <c r="I61" s="10"/>
      <c r="J61" s="10"/>
      <c r="N61" s="10"/>
      <c r="O61" s="10"/>
      <c r="S61" s="10"/>
      <c r="T61" s="10"/>
      <c r="X61" s="10"/>
      <c r="Y61" s="10"/>
      <c r="AC61" s="10"/>
      <c r="AD61" s="10"/>
      <c r="AH61" s="10"/>
      <c r="AI61" s="10"/>
      <c r="AM61" s="10"/>
      <c r="AN61" s="10"/>
      <c r="AR61" s="10"/>
      <c r="AS61" s="10"/>
      <c r="AW61" s="10"/>
      <c r="AX61" s="10"/>
      <c r="BB61" s="10"/>
      <c r="BC61" s="10"/>
      <c r="BG61" s="10"/>
      <c r="BH61" s="10"/>
      <c r="BL61" s="10"/>
      <c r="BM61" s="10"/>
      <c r="BQ61" s="10"/>
      <c r="BR61" s="10"/>
      <c r="BV61" s="10"/>
      <c r="BW61" s="10"/>
      <c r="CA61" s="10"/>
      <c r="CB61" s="10"/>
      <c r="CF61" s="10"/>
      <c r="CG61" s="10"/>
      <c r="CK61" s="10"/>
      <c r="CL61" s="10"/>
      <c r="CP61" s="10"/>
      <c r="CQ61" s="10"/>
      <c r="CU61" s="10"/>
      <c r="CV61" s="10"/>
      <c r="CZ61" s="10"/>
      <c r="DA61" s="10"/>
      <c r="DE61" s="10"/>
      <c r="DF61" s="10"/>
    </row>
    <row r="62" spans="2:110">
      <c r="B62" s="11"/>
      <c r="C62" s="2"/>
    </row>
    <row r="63" spans="2:110">
      <c r="B63" s="11"/>
      <c r="C63" s="2"/>
    </row>
  </sheetData>
  <sheetProtection selectLockedCells="1"/>
  <mergeCells count="46">
    <mergeCell ref="A4:A24"/>
    <mergeCell ref="C22:E24"/>
    <mergeCell ref="AM3:AN3"/>
    <mergeCell ref="AR3:AS3"/>
    <mergeCell ref="AH3:AI3"/>
    <mergeCell ref="I3:J3"/>
    <mergeCell ref="D3:E3"/>
    <mergeCell ref="S3:T3"/>
    <mergeCell ref="N3:O3"/>
    <mergeCell ref="CZ3:DA3"/>
    <mergeCell ref="AC3:AD3"/>
    <mergeCell ref="X3:Y3"/>
    <mergeCell ref="CA3:CB3"/>
    <mergeCell ref="BQ3:BR3"/>
    <mergeCell ref="BV3:BW3"/>
    <mergeCell ref="BB3:BC3"/>
    <mergeCell ref="BG3:BH3"/>
    <mergeCell ref="BL3:BM3"/>
    <mergeCell ref="AW3:AX3"/>
    <mergeCell ref="BT1:BW1"/>
    <mergeCell ref="BO1:BR1"/>
    <mergeCell ref="AK1:AN1"/>
    <mergeCell ref="CF3:CG3"/>
    <mergeCell ref="DC1:DF1"/>
    <mergeCell ref="CD1:CG1"/>
    <mergeCell ref="CI1:CL1"/>
    <mergeCell ref="BE1:BH1"/>
    <mergeCell ref="CS1:CV1"/>
    <mergeCell ref="CX1:DA1"/>
    <mergeCell ref="BY1:CB1"/>
    <mergeCell ref="CN1:CQ1"/>
    <mergeCell ref="DE3:DF3"/>
    <mergeCell ref="CK3:CL3"/>
    <mergeCell ref="CU3:CV3"/>
    <mergeCell ref="CP3:CQ3"/>
    <mergeCell ref="AP1:AS1"/>
    <mergeCell ref="AU1:AX1"/>
    <mergeCell ref="AZ1:BC1"/>
    <mergeCell ref="BJ1:BM1"/>
    <mergeCell ref="B1:E1"/>
    <mergeCell ref="G1:J1"/>
    <mergeCell ref="L1:O1"/>
    <mergeCell ref="Q1:T1"/>
    <mergeCell ref="V1:Y1"/>
    <mergeCell ref="AA1:AD1"/>
    <mergeCell ref="AF1:AI1"/>
  </mergeCells>
  <phoneticPr fontId="2" type="noConversion"/>
  <conditionalFormatting sqref="S18:T20 S6:T14">
    <cfRule type="expression" dxfId="8" priority="3" stopIfTrue="1">
      <formula>$S6&gt;$T6</formula>
    </cfRule>
  </conditionalFormatting>
  <conditionalFormatting sqref="AH6:AI14 AH18:AI20 AM18:AN20 AM6:AN14 AR6:AS14 AR18:AS20 AW18:AX20 AW6:AX14 BB6:BC14 BB18:BC20 BG18:BH20 BG6:BH14 BL6:BM14 BL18:BM20 BQ18:BR20 BQ6:BR14 BV6:BW14 BV18:BW20 CA18:CB20 CA6:CB14 CF6:CG14 CF18:CG20 CK18:CL20 CK6:CL14 CP6:CQ14 CP18:CQ20 CU6:CV14 CU18:CV20 CZ18:DA20 DE18:DF20">
    <cfRule type="expression" dxfId="7" priority="4" stopIfTrue="1">
      <formula>$AH6&gt;$AI6</formula>
    </cfRule>
  </conditionalFormatting>
  <conditionalFormatting sqref="AC6:AD14 AC18:AD20">
    <cfRule type="expression" dxfId="6" priority="5" stopIfTrue="1">
      <formula>$AC6&gt;$AD6</formula>
    </cfRule>
  </conditionalFormatting>
  <conditionalFormatting sqref="X6:Y14 X18:Y20">
    <cfRule type="expression" dxfId="5" priority="6" stopIfTrue="1">
      <formula>$X6&gt;$Y6</formula>
    </cfRule>
  </conditionalFormatting>
  <conditionalFormatting sqref="N6:O14 N18:O20">
    <cfRule type="expression" dxfId="4" priority="7" stopIfTrue="1">
      <formula>$N6&gt;$O6</formula>
    </cfRule>
  </conditionalFormatting>
  <conditionalFormatting sqref="I6:J14 I18:J20">
    <cfRule type="expression" dxfId="3" priority="8" stopIfTrue="1">
      <formula>$I6&gt;$J6</formula>
    </cfRule>
  </conditionalFormatting>
  <conditionalFormatting sqref="D6:E14 D18:E20">
    <cfRule type="expression" dxfId="2" priority="9" stopIfTrue="1">
      <formula>$D6&gt;$E6</formula>
    </cfRule>
  </conditionalFormatting>
  <conditionalFormatting sqref="CZ6:DA14">
    <cfRule type="expression" dxfId="1" priority="2" stopIfTrue="1">
      <formula>$AH6&gt;$AI6</formula>
    </cfRule>
  </conditionalFormatting>
  <conditionalFormatting sqref="DE6:DF14">
    <cfRule type="expression" dxfId="0" priority="1" stopIfTrue="1">
      <formula>$AH6&gt;$AI6</formula>
    </cfRule>
  </conditionalFormatting>
  <dataValidations count="1">
    <dataValidation type="list" allowBlank="1" showInputMessage="1" showErrorMessage="1" sqref="B14 CX14 CS14 CN14 CI14 CD14 BY14 BT14 BO14 BJ14 BE14 AZ14 AU14 AP14 AK14 AF14 AA14 V14 Q14 L14 G14 DC14" xr:uid="{00000000-0002-0000-0D00-000000000000}">
      <formula1>$B$22:$B$24</formula1>
    </dataValidation>
  </dataValidations>
  <pageMargins left="0.78740157499999996" right="0.78740157499999996" top="0.984251969" bottom="0.984251969" header="0.5" footer="0.5"/>
  <pageSetup paperSize="9" orientation="portrait" horizontalDpi="4294967292" verticalDpi="4294967292"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a71543e-6a9e-4b02-934d-76d0d21af3c4" xsi:nil="true"/>
    <lcf76f155ced4ddcb4097134ff3c332f xmlns="752d48a2-7110-4c50-8aac-1eaff9eb93c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54338215580604AABE59BC0EBE29D24" ma:contentTypeVersion="13" ma:contentTypeDescription="Create a new document." ma:contentTypeScope="" ma:versionID="bd5cc72b9247d503e0d772ab1ca05d4c">
  <xsd:schema xmlns:xsd="http://www.w3.org/2001/XMLSchema" xmlns:xs="http://www.w3.org/2001/XMLSchema" xmlns:p="http://schemas.microsoft.com/office/2006/metadata/properties" xmlns:ns2="752d48a2-7110-4c50-8aac-1eaff9eb93ce" xmlns:ns3="1a71543e-6a9e-4b02-934d-76d0d21af3c4" targetNamespace="http://schemas.microsoft.com/office/2006/metadata/properties" ma:root="true" ma:fieldsID="44ebeee85fd3116aabad8170e7443b86" ns2:_="" ns3:_="">
    <xsd:import namespace="752d48a2-7110-4c50-8aac-1eaff9eb93ce"/>
    <xsd:import namespace="1a71543e-6a9e-4b02-934d-76d0d21af3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2d48a2-7110-4c50-8aac-1eaff9eb93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3fa978b-cdad-45a5-877c-f631a0e6dfe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71543e-6a9e-4b02-934d-76d0d21af3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b89434f-b8a4-46d2-a6b2-f167681ae7df}" ma:internalName="TaxCatchAll" ma:showField="CatchAllData" ma:web="1a71543e-6a9e-4b02-934d-76d0d21af3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BEC854-7B07-4C36-9D8B-7DEF06BC7CE6}">
  <ds:schemaRefs>
    <ds:schemaRef ds:uri="http://schemas.microsoft.com/sharepoint/v3/contenttype/forms"/>
  </ds:schemaRefs>
</ds:datastoreItem>
</file>

<file path=customXml/itemProps2.xml><?xml version="1.0" encoding="utf-8"?>
<ds:datastoreItem xmlns:ds="http://schemas.openxmlformats.org/officeDocument/2006/customXml" ds:itemID="{3662E3EB-4AD6-4D12-83C0-96F0E63B53F5}">
  <ds:schemaRefs>
    <ds:schemaRef ds:uri="http://schemas.microsoft.com/office/2006/metadata/properties"/>
    <ds:schemaRef ds:uri="http://schemas.microsoft.com/office/infopath/2007/PartnerControls"/>
    <ds:schemaRef ds:uri="1a71543e-6a9e-4b02-934d-76d0d21af3c4"/>
    <ds:schemaRef ds:uri="752d48a2-7110-4c50-8aac-1eaff9eb93ce"/>
  </ds:schemaRefs>
</ds:datastoreItem>
</file>

<file path=customXml/itemProps3.xml><?xml version="1.0" encoding="utf-8"?>
<ds:datastoreItem xmlns:ds="http://schemas.openxmlformats.org/officeDocument/2006/customXml" ds:itemID="{1FB1CCB0-2829-4FAB-BF8F-1413CFDDE2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2d48a2-7110-4c50-8aac-1eaff9eb93ce"/>
    <ds:schemaRef ds:uri="1a71543e-6a9e-4b02-934d-76d0d21af3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Hinweise</vt:lpstr>
      <vt:lpstr>Gesamtübersicht</vt:lpstr>
      <vt:lpstr>Test</vt:lpstr>
      <vt:lpstr>großfl. Einzelhandel </vt:lpstr>
      <vt:lpstr>großfl. Einzelhandel BT A</vt:lpstr>
      <vt:lpstr>Logistikzentrum Bushof</vt:lpstr>
      <vt:lpstr>Dienstleistungsbetrieb BT B</vt:lpstr>
      <vt:lpstr>Wohnen </vt:lpstr>
      <vt:lpstr>Dienstleistungsbetrieb </vt:lpstr>
      <vt:lpstr>Discounter A</vt:lpstr>
      <vt:lpstr>08 - keine Nutzung</vt:lpstr>
      <vt:lpstr>09 - keine Nutzung</vt:lpstr>
      <vt:lpstr>10 - keine Nutzung</vt:lpstr>
      <vt:lpstr>GL-Sets</vt:lpstr>
      <vt:lpstr>NF-Sets</vt:lpstr>
      <vt:lpstr>'08 - keine Nutzung'!Print_Area</vt:lpstr>
      <vt:lpstr>'09 - keine Nutzung'!Print_Area</vt:lpstr>
      <vt:lpstr>'10 - keine Nutzung'!Print_Area</vt:lpstr>
      <vt:lpstr>'Dienstleistungsbetrieb '!Print_Area</vt:lpstr>
      <vt:lpstr>'Dienstleistungsbetrieb BT B'!Print_Area</vt:lpstr>
      <vt:lpstr>'Discounter A'!Print_Area</vt:lpstr>
      <vt:lpstr>Gesamtübersicht!Print_Area</vt:lpstr>
      <vt:lpstr>'großfl. Einzelhandel '!Print_Area</vt:lpstr>
      <vt:lpstr>'großfl. Einzelhandel BT A'!Print_Area</vt:lpstr>
      <vt:lpstr>'Logistikzentrum Bushof'!Print_Area</vt:lpstr>
      <vt:lpstr>'Wohnen '!Print_Area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vg</dc:creator>
  <cp:keywords/>
  <dc:description/>
  <cp:lastModifiedBy>Erida Bendo</cp:lastModifiedBy>
  <cp:revision/>
  <dcterms:created xsi:type="dcterms:W3CDTF">2010-05-13T07:58:42Z</dcterms:created>
  <dcterms:modified xsi:type="dcterms:W3CDTF">2025-02-26T13:36:07Z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0x010100154338215580604AABE59BC0EBE29D24</vt:lpwstr>
  </property>
  <property fmtid="{D5CDD505-2E9C-101B-9397-08002B2CF9AE}" pid="3" name="MediaServiceImageTags">
    <vt:lpwstr/>
  </property>
</Properties>
</file>